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חוברת_עבודה_זו" hidePivotFieldList="1"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13_ncr:1_{98683970-AEDD-4FD7-BAD4-E16D0C5F95AE}" xr6:coauthVersionLast="47" xr6:coauthVersionMax="47" xr10:uidLastSave="{00000000-0000-0000-0000-000000000000}"/>
  <bookViews>
    <workbookView xWindow="-120" yWindow="-120" windowWidth="29040" windowHeight="15720" tabRatio="678" firstSheet="21" activeTab="27" xr2:uid="{00000000-000D-0000-FFFF-FFFF00000000}"/>
  </bookViews>
  <sheets>
    <sheet name="ProtectSettings" sheetId="575" state="veryHidden" r:id="rId1"/>
    <sheet name="הדרכה למשתמש" sheetId="453" r:id="rId2"/>
    <sheet name="פרמטרים לקריטריונים" sheetId="1" r:id="rId3"/>
    <sheet name="הוראת שעה" sheetId="537" state="hidden" r:id="rId4"/>
    <sheet name="תנאי סף" sheetId="477" r:id="rId5"/>
    <sheet name="סיווג" sheetId="536" r:id="rId6"/>
    <sheet name="מספר הרצות" sheetId="469" r:id="rId7"/>
    <sheet name="מספר מבצעים בתשלום" sheetId="471" r:id="rId8"/>
    <sheet name="מיקום ההרצות" sheetId="472" r:id="rId9"/>
    <sheet name="רמה מקצועית ואמנותית" sheetId="473" r:id="rId10"/>
    <sheet name="מיקום גיאוגרפי" sheetId="474" r:id="rId11"/>
    <sheet name="תקציב" sheetId="475" r:id="rId12"/>
    <sheet name="תיעוד" sheetId="558" r:id="rId13"/>
    <sheet name="עידוד יצירה ישראלית" sheetId="476" r:id="rId14"/>
    <sheet name="התחשיב הבסיסי" sheetId="370" r:id="rId15"/>
    <sheet name="פרמטרים לעקרונות חישוב התמיכה" sheetId="519" r:id="rId16"/>
    <sheet name="ייצוב" sheetId="521" r:id="rId17"/>
    <sheet name="גיליון2" sheetId="577" state="hidden" r:id="rId18"/>
    <sheet name="הגנה" sheetId="522" r:id="rId19"/>
    <sheet name="הרכב חברי הוועדה" sheetId="526" r:id="rId20"/>
    <sheet name="תמיכה מינימלית" sheetId="539" r:id="rId21"/>
    <sheet name="סיכום" sheetId="527" r:id="rId22"/>
    <sheet name="הגבלה לסכום מבוקש (1)" sheetId="528" r:id="rId23"/>
    <sheet name="קיזוזים בגין איחורים" sheetId="529" r:id="rId24"/>
    <sheet name="קיזוזים- החלטות ועדה" sheetId="530" r:id="rId25"/>
    <sheet name="הגבלה לסכום מבוקש (2)" sheetId="531" r:id="rId26"/>
    <sheet name="סיכום לועדה- הזנת נתונים" sheetId="532" r:id="rId27"/>
    <sheet name="סיכום לועדה - תוצאות" sheetId="535" r:id="rId28"/>
    <sheet name="מרכבה" sheetId="578" state="hidden" r:id="rId29"/>
    <sheet name="הלמס" sheetId="579" state="hidden" r:id="rId30"/>
  </sheets>
  <definedNames>
    <definedName name="_xlnm._FilterDatabase" localSheetId="29" hidden="1">הלמס!$A$1:$G$258</definedName>
    <definedName name="_xlnm._FilterDatabase" localSheetId="28" hidden="1">מרכבה!$A$1:$L$361</definedName>
    <definedName name="_xlnm._FilterDatabase" localSheetId="26" hidden="1">'סיכום לועדה- הזנת נתונים'!$A$30:$Z$131</definedName>
    <definedName name="_xlnm._FilterDatabase" localSheetId="27" hidden="1">'סיכום לועדה - תוצאות'!$A$30:$AZ$131</definedName>
    <definedName name="_xlnm._FilterDatabase" localSheetId="4" hidden="1">'תנאי סף'!$B$29:$AP$131</definedName>
    <definedName name="a" localSheetId="29">#REF!</definedName>
    <definedName name="a">#REF!</definedName>
    <definedName name="aa" localSheetId="29">#REF!</definedName>
    <definedName name="aa">#REF!</definedName>
    <definedName name="b" localSheetId="29">#REF!</definedName>
    <definedName name="b">#REF!</definedName>
    <definedName name="DDDD" localSheetId="29">#REF!</definedName>
    <definedName name="DDDD">#REF!</definedName>
    <definedName name="ee" localSheetId="29">#REF!</definedName>
    <definedName name="ee">#REF!</definedName>
    <definedName name="ngf" localSheetId="29">#REF!</definedName>
    <definedName name="ngf">#REF!</definedName>
    <definedName name="solver_adj" localSheetId="16" hidden="1">ייצוב!#REF!</definedName>
    <definedName name="solver_cvg" localSheetId="16" hidden="1">0.0001</definedName>
    <definedName name="solver_drv" localSheetId="16" hidden="1">1</definedName>
    <definedName name="solver_est" localSheetId="16" hidden="1">1</definedName>
    <definedName name="solver_itr" localSheetId="16" hidden="1">100</definedName>
    <definedName name="solver_lhs1" localSheetId="16" hidden="1">ייצוב!#REF!</definedName>
    <definedName name="solver_lhs2" localSheetId="16" hidden="1">ייצוב!#REF!</definedName>
    <definedName name="solver_lhs3" localSheetId="16" hidden="1">ייצוב!#REF!</definedName>
    <definedName name="solver_lin" localSheetId="16" hidden="1">2</definedName>
    <definedName name="solver_neg" localSheetId="16" hidden="1">1</definedName>
    <definedName name="solver_num" localSheetId="16" hidden="1">3</definedName>
    <definedName name="solver_nwt" localSheetId="16" hidden="1">1</definedName>
    <definedName name="solver_opt" localSheetId="16" hidden="1">ייצוב!#REF!</definedName>
    <definedName name="solver_pre" localSheetId="16" hidden="1">0.000001</definedName>
    <definedName name="solver_rel1" localSheetId="16" hidden="1">3</definedName>
    <definedName name="solver_rel2" localSheetId="16" hidden="1">3</definedName>
    <definedName name="solver_rel3" localSheetId="16" hidden="1">3</definedName>
    <definedName name="solver_rhs1" localSheetId="16" hidden="1">0.8*AVERAGE(ייצוב!#REF!,ייצוב!#REF!)</definedName>
    <definedName name="solver_rhs2" localSheetId="16" hidden="1">0.8*AVERAGE(ייצוב!#REF!,ייצוב!#REF!)</definedName>
    <definedName name="solver_rhs3" localSheetId="16" hidden="1">0.8*AVERAGE(ייצוב!#REF!,ייצוב!#REF!)</definedName>
    <definedName name="solver_scl" localSheetId="16" hidden="1">2</definedName>
    <definedName name="solver_sho" localSheetId="16" hidden="1">2</definedName>
    <definedName name="solver_tim" localSheetId="16" hidden="1">100</definedName>
    <definedName name="solver_tol" localSheetId="16" hidden="1">0.05</definedName>
    <definedName name="solver_typ" localSheetId="16" hidden="1">3</definedName>
    <definedName name="solver_val" localSheetId="16" hidden="1">1</definedName>
    <definedName name="_xlnm.Print_Area" localSheetId="22">'הגבלה לסכום מבוקש (1)'!$A$1:$Z$131</definedName>
    <definedName name="_xlnm.Print_Area" localSheetId="25">'הגבלה לסכום מבוקש (2)'!$B$1:$X$131</definedName>
    <definedName name="_xlnm.Print_Area" localSheetId="18">הגנה!$B$1:$AW$131</definedName>
    <definedName name="_xlnm.Print_Area" localSheetId="1">'הדרכה למשתמש'!$B$1:$H$18</definedName>
    <definedName name="_xlnm.Print_Area" localSheetId="19">'הרכב חברי הוועדה'!$B$1:$Z$131</definedName>
    <definedName name="_xlnm.Print_Area" localSheetId="14">'התחשיב הבסיסי'!$B$1:$AF$131</definedName>
    <definedName name="_xlnm.Print_Area" localSheetId="16">ייצוב!$B$1:$Z$131</definedName>
    <definedName name="_xlnm.Print_Area" localSheetId="10">'מיקום גיאוגרפי'!$B$1:$AB$131</definedName>
    <definedName name="_xlnm.Print_Area" localSheetId="8">'מיקום ההרצות'!$B$1:$Z$131</definedName>
    <definedName name="_xlnm.Print_Area" localSheetId="6">'מספר הרצות'!$B$1:$Z$131</definedName>
    <definedName name="_xlnm.Print_Area" localSheetId="7">'מספר מבצעים בתשלום'!$B$1:$Z$131</definedName>
    <definedName name="_xlnm.Print_Area" localSheetId="5">סיווג!$B$1:$BO$131</definedName>
    <definedName name="_xlnm.Print_Area" localSheetId="21">סיכום!$B$1:$Z$131</definedName>
    <definedName name="_xlnm.Print_Area" localSheetId="26">'סיכום לועדה- הזנת נתונים'!$B$1:$U$131</definedName>
    <definedName name="_xlnm.Print_Area" localSheetId="27">'סיכום לועדה - תוצאות'!$B$1:$S$131</definedName>
    <definedName name="_xlnm.Print_Area" localSheetId="13">'עידוד יצירה ישראלית'!$B$1:$Z$131</definedName>
    <definedName name="_xlnm.Print_Area" localSheetId="15">'פרמטרים לעקרונות חישוב התמיכה'!$B$1:$H$58</definedName>
    <definedName name="_xlnm.Print_Area" localSheetId="2">'פרמטרים לקריטריונים'!$B$1:$I$339</definedName>
    <definedName name="_xlnm.Print_Area" localSheetId="24">'קיזוזים- החלטות ועדה'!$B$1:$G$131</definedName>
    <definedName name="_xlnm.Print_Area" localSheetId="23">'קיזוזים בגין איחורים'!$B$1:$H$131</definedName>
    <definedName name="_xlnm.Print_Area" localSheetId="9">'רמה מקצועית ואמנותית'!$B$1:$Z$131</definedName>
    <definedName name="_xlnm.Print_Area" localSheetId="12">תיעוד!$B$1:$Z$131</definedName>
    <definedName name="_xlnm.Print_Area" localSheetId="20">'תמיכה מינימלית'!$B$1:$Z$131</definedName>
    <definedName name="_xlnm.Print_Area" localSheetId="4">'תנאי סף'!$B$1:$AP$131</definedName>
    <definedName name="_xlnm.Print_Area" localSheetId="11">תקציב!$B$1:$Z$131</definedName>
    <definedName name="_xlnm.Print_Titles" localSheetId="22">'הגבלה לסכום מבוקש (1)'!$29:$30</definedName>
    <definedName name="_xlnm.Print_Titles" localSheetId="25">'הגבלה לסכום מבוקש (2)'!$29:$30</definedName>
    <definedName name="_xlnm.Print_Titles" localSheetId="18">הגנה!$29:$30</definedName>
    <definedName name="_xlnm.Print_Titles" localSheetId="19">'הרכב חברי הוועדה'!$29:$30</definedName>
    <definedName name="_xlnm.Print_Titles" localSheetId="16">ייצוב!$29:$30</definedName>
    <definedName name="_xlnm.Print_Titles" localSheetId="10">'מיקום גיאוגרפי'!$29:$30</definedName>
    <definedName name="_xlnm.Print_Titles" localSheetId="8">'מיקום ההרצות'!$29:$30</definedName>
    <definedName name="_xlnm.Print_Titles" localSheetId="6">'מספר הרצות'!$29:$30</definedName>
    <definedName name="_xlnm.Print_Titles" localSheetId="7">'מספר מבצעים בתשלום'!$29:$30</definedName>
    <definedName name="_xlnm.Print_Titles" localSheetId="5">סיווג!$29:$30</definedName>
    <definedName name="_xlnm.Print_Titles" localSheetId="21">סיכום!$29:$30</definedName>
    <definedName name="_xlnm.Print_Titles" localSheetId="26">'סיכום לועדה- הזנת נתונים'!$29:$30</definedName>
    <definedName name="_xlnm.Print_Titles" localSheetId="27">'סיכום לועדה - תוצאות'!$B:$C,'סיכום לועדה - תוצאות'!$30:$30</definedName>
    <definedName name="_xlnm.Print_Titles" localSheetId="13">'עידוד יצירה ישראלית'!$29:$30</definedName>
    <definedName name="_xlnm.Print_Titles" localSheetId="24">'קיזוזים- החלטות ועדה'!$29:$30</definedName>
    <definedName name="_xlnm.Print_Titles" localSheetId="23">'קיזוזים בגין איחורים'!$29:$30</definedName>
    <definedName name="_xlnm.Print_Titles" localSheetId="9">'רמה מקצועית ואמנותית'!$29:$30</definedName>
    <definedName name="_xlnm.Print_Titles" localSheetId="12">תיעוד!$29:$30</definedName>
    <definedName name="_xlnm.Print_Titles" localSheetId="20">'תמיכה מינימלית'!$29:$30</definedName>
    <definedName name="_xlnm.Print_Titles" localSheetId="4">'תנאי סף'!$29:$30</definedName>
    <definedName name="_xlnm.Print_Titles" localSheetId="11">תקציב!$29:$30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2" i="521" l="1"/>
  <c r="E33" i="521"/>
  <c r="E35" i="521"/>
  <c r="E39" i="521"/>
  <c r="E43" i="521"/>
  <c r="E44" i="521"/>
  <c r="E45" i="521"/>
  <c r="E46" i="521"/>
  <c r="E48" i="521"/>
  <c r="E49" i="521"/>
  <c r="E50" i="521"/>
  <c r="E54" i="521"/>
  <c r="E55" i="521"/>
  <c r="E57" i="521"/>
  <c r="E59" i="521"/>
  <c r="E60" i="521"/>
  <c r="E61" i="521"/>
  <c r="E62" i="521"/>
  <c r="E63" i="521"/>
  <c r="E64" i="521"/>
  <c r="E66" i="521"/>
  <c r="E68" i="521"/>
  <c r="E69" i="521"/>
  <c r="E71" i="521"/>
  <c r="E72" i="521"/>
  <c r="E74" i="521"/>
  <c r="E76" i="521"/>
  <c r="E77" i="521"/>
  <c r="E79" i="521"/>
  <c r="E80" i="521"/>
  <c r="E81" i="521"/>
  <c r="E83" i="521"/>
  <c r="E84" i="521"/>
  <c r="E86" i="521"/>
  <c r="E88" i="521"/>
  <c r="E97" i="521"/>
  <c r="E99" i="521"/>
  <c r="E100" i="521"/>
  <c r="E101" i="521"/>
  <c r="E102" i="521"/>
  <c r="E103" i="521"/>
  <c r="E104" i="521"/>
  <c r="E108" i="521"/>
  <c r="E109" i="521"/>
  <c r="E110" i="521"/>
  <c r="E111" i="521"/>
  <c r="E112" i="521"/>
  <c r="E113" i="521"/>
  <c r="E114" i="521"/>
  <c r="E115" i="521"/>
  <c r="E116" i="521"/>
  <c r="E117" i="521"/>
  <c r="E118" i="521"/>
  <c r="E119" i="521"/>
  <c r="E120" i="521"/>
  <c r="E121" i="521"/>
  <c r="E122" i="521"/>
  <c r="E123" i="521"/>
  <c r="E124" i="521"/>
  <c r="E125" i="521"/>
  <c r="E126" i="521"/>
  <c r="E127" i="521"/>
  <c r="E128" i="521"/>
  <c r="E129" i="521"/>
  <c r="E130" i="521"/>
  <c r="D13" i="1" l="1"/>
  <c r="C13" i="1"/>
  <c r="D12" i="1"/>
  <c r="C12" i="1"/>
  <c r="O32" i="532"/>
  <c r="O33" i="532"/>
  <c r="O34" i="532"/>
  <c r="E34" i="521" s="1"/>
  <c r="O35" i="532"/>
  <c r="O36" i="532"/>
  <c r="O37" i="532"/>
  <c r="O38" i="532"/>
  <c r="O39" i="532"/>
  <c r="O40" i="532"/>
  <c r="O41" i="532"/>
  <c r="E41" i="521" s="1"/>
  <c r="O42" i="532"/>
  <c r="E42" i="521" s="1"/>
  <c r="O43" i="532"/>
  <c r="O43" i="535" s="1"/>
  <c r="O44" i="532"/>
  <c r="O44" i="535" s="1"/>
  <c r="O45" i="532"/>
  <c r="O45" i="535" s="1"/>
  <c r="O46" i="532"/>
  <c r="O46" i="535" s="1"/>
  <c r="O47" i="532"/>
  <c r="E47" i="521" s="1"/>
  <c r="O48" i="532"/>
  <c r="O48" i="535" s="1"/>
  <c r="O49" i="532"/>
  <c r="O50" i="532"/>
  <c r="O51" i="532"/>
  <c r="E51" i="521" s="1"/>
  <c r="O52" i="532"/>
  <c r="O53" i="532"/>
  <c r="O54" i="532"/>
  <c r="O54" i="535" s="1"/>
  <c r="O55" i="532"/>
  <c r="O55" i="535" s="1"/>
  <c r="O56" i="532"/>
  <c r="E56" i="521" s="1"/>
  <c r="O57" i="532"/>
  <c r="O58" i="532"/>
  <c r="E58" i="521" s="1"/>
  <c r="O59" i="532"/>
  <c r="O59" i="535" s="1"/>
  <c r="O60" i="532"/>
  <c r="O60" i="535" s="1"/>
  <c r="O61" i="532"/>
  <c r="O61" i="535" s="1"/>
  <c r="O62" i="532"/>
  <c r="O62" i="535" s="1"/>
  <c r="O63" i="532"/>
  <c r="O63" i="535" s="1"/>
  <c r="O64" i="532"/>
  <c r="O64" i="535" s="1"/>
  <c r="O65" i="532"/>
  <c r="E65" i="521" s="1"/>
  <c r="O66" i="532"/>
  <c r="O67" i="532"/>
  <c r="O68" i="532"/>
  <c r="O68" i="535" s="1"/>
  <c r="O69" i="532"/>
  <c r="O69" i="535" s="1"/>
  <c r="O70" i="532"/>
  <c r="O71" i="532"/>
  <c r="O71" i="535" s="1"/>
  <c r="O72" i="532"/>
  <c r="O72" i="535" s="1"/>
  <c r="O73" i="532"/>
  <c r="E73" i="521" s="1"/>
  <c r="O74" i="532"/>
  <c r="O75" i="532"/>
  <c r="O76" i="532"/>
  <c r="O76" i="535" s="1"/>
  <c r="O77" i="532"/>
  <c r="O77" i="535" s="1"/>
  <c r="O78" i="532"/>
  <c r="O79" i="532"/>
  <c r="O79" i="535" s="1"/>
  <c r="O80" i="532"/>
  <c r="O80" i="535" s="1"/>
  <c r="O81" i="532"/>
  <c r="O82" i="532"/>
  <c r="E82" i="521" s="1"/>
  <c r="O83" i="532"/>
  <c r="O83" i="535" s="1"/>
  <c r="O84" i="532"/>
  <c r="O84" i="535" s="1"/>
  <c r="O85" i="532"/>
  <c r="E85" i="521" s="1"/>
  <c r="O86" i="532"/>
  <c r="O86" i="535" s="1"/>
  <c r="O87" i="532"/>
  <c r="O88" i="532"/>
  <c r="O88" i="535" s="1"/>
  <c r="O89" i="532"/>
  <c r="E89" i="521" s="1"/>
  <c r="O90" i="532"/>
  <c r="O91" i="532"/>
  <c r="O92" i="532"/>
  <c r="O93" i="532"/>
  <c r="O93" i="535" s="1"/>
  <c r="O94" i="532"/>
  <c r="O95" i="532"/>
  <c r="O96" i="532"/>
  <c r="O97" i="532"/>
  <c r="O98" i="532"/>
  <c r="E98" i="521" s="1"/>
  <c r="O99" i="532"/>
  <c r="O99" i="535" s="1"/>
  <c r="O100" i="532"/>
  <c r="O100" i="535" s="1"/>
  <c r="O101" i="532"/>
  <c r="O101" i="535" s="1"/>
  <c r="O102" i="532"/>
  <c r="O102" i="535" s="1"/>
  <c r="O103" i="532"/>
  <c r="O103" i="535" s="1"/>
  <c r="O104" i="532"/>
  <c r="O105" i="532"/>
  <c r="E105" i="521" s="1"/>
  <c r="O106" i="532"/>
  <c r="E106" i="521" s="1"/>
  <c r="O107" i="532"/>
  <c r="E107" i="521" s="1"/>
  <c r="O108" i="532"/>
  <c r="O108" i="535" s="1"/>
  <c r="O109" i="532"/>
  <c r="O109" i="535" s="1"/>
  <c r="O110" i="532"/>
  <c r="O110" i="535" s="1"/>
  <c r="O111" i="532"/>
  <c r="O111" i="535" s="1"/>
  <c r="O112" i="532"/>
  <c r="O112" i="535" s="1"/>
  <c r="O113" i="532"/>
  <c r="O113" i="535" s="1"/>
  <c r="O114" i="532"/>
  <c r="O115" i="532"/>
  <c r="O116" i="532"/>
  <c r="O117" i="532"/>
  <c r="O117" i="535" s="1"/>
  <c r="O118" i="532"/>
  <c r="O118" i="535" s="1"/>
  <c r="O119" i="532"/>
  <c r="O119" i="535" s="1"/>
  <c r="O120" i="532"/>
  <c r="O120" i="535" s="1"/>
  <c r="O121" i="532"/>
  <c r="O121" i="535" s="1"/>
  <c r="O122" i="532"/>
  <c r="O123" i="532"/>
  <c r="O124" i="532"/>
  <c r="O125" i="532"/>
  <c r="O125" i="535" s="1"/>
  <c r="O126" i="532"/>
  <c r="O126" i="535" s="1"/>
  <c r="O127" i="532"/>
  <c r="O127" i="535" s="1"/>
  <c r="O128" i="532"/>
  <c r="O128" i="535" s="1"/>
  <c r="O129" i="532"/>
  <c r="O129" i="535" s="1"/>
  <c r="O130" i="532"/>
  <c r="O130" i="535" s="1"/>
  <c r="O31" i="532"/>
  <c r="E31" i="521" s="1"/>
  <c r="S130" i="535"/>
  <c r="R130" i="535"/>
  <c r="F130" i="535"/>
  <c r="E130" i="535"/>
  <c r="D130" i="535"/>
  <c r="S129" i="535"/>
  <c r="R129" i="535"/>
  <c r="F129" i="535"/>
  <c r="E129" i="535"/>
  <c r="D129" i="535"/>
  <c r="S128" i="535"/>
  <c r="R128" i="535"/>
  <c r="F128" i="535"/>
  <c r="E128" i="535"/>
  <c r="D128" i="535"/>
  <c r="S127" i="535"/>
  <c r="R127" i="535"/>
  <c r="F127" i="535"/>
  <c r="E127" i="535"/>
  <c r="D127" i="535"/>
  <c r="S126" i="535"/>
  <c r="R126" i="535"/>
  <c r="F126" i="535"/>
  <c r="E126" i="535"/>
  <c r="D126" i="535"/>
  <c r="S125" i="535"/>
  <c r="R125" i="535"/>
  <c r="F125" i="535"/>
  <c r="E125" i="535"/>
  <c r="D125" i="535"/>
  <c r="S124" i="535"/>
  <c r="R124" i="535"/>
  <c r="F124" i="535"/>
  <c r="E124" i="535"/>
  <c r="D124" i="535"/>
  <c r="S123" i="535"/>
  <c r="R123" i="535"/>
  <c r="F123" i="535"/>
  <c r="E123" i="535"/>
  <c r="D123" i="535"/>
  <c r="S122" i="535"/>
  <c r="R122" i="535"/>
  <c r="F122" i="535"/>
  <c r="E122" i="535"/>
  <c r="D122" i="535"/>
  <c r="S121" i="535"/>
  <c r="R121" i="535"/>
  <c r="F121" i="535"/>
  <c r="E121" i="535"/>
  <c r="D121" i="535"/>
  <c r="S120" i="535"/>
  <c r="R120" i="535"/>
  <c r="F120" i="535"/>
  <c r="E120" i="535"/>
  <c r="D120" i="535"/>
  <c r="S119" i="535"/>
  <c r="R119" i="535"/>
  <c r="F119" i="535"/>
  <c r="E119" i="535"/>
  <c r="D119" i="535"/>
  <c r="S118" i="535"/>
  <c r="R118" i="535"/>
  <c r="F118" i="535"/>
  <c r="E118" i="535"/>
  <c r="D118" i="535"/>
  <c r="S117" i="535"/>
  <c r="R117" i="535"/>
  <c r="F117" i="535"/>
  <c r="E117" i="535"/>
  <c r="D117" i="535"/>
  <c r="S116" i="535"/>
  <c r="R116" i="535"/>
  <c r="F116" i="535"/>
  <c r="E116" i="535"/>
  <c r="D116" i="535"/>
  <c r="S115" i="535"/>
  <c r="R115" i="535"/>
  <c r="F115" i="535"/>
  <c r="E115" i="535"/>
  <c r="D115" i="535"/>
  <c r="S114" i="535"/>
  <c r="R114" i="535"/>
  <c r="F114" i="535"/>
  <c r="E114" i="535"/>
  <c r="D114" i="535"/>
  <c r="S113" i="535"/>
  <c r="R113" i="535"/>
  <c r="F113" i="535"/>
  <c r="E113" i="535"/>
  <c r="D113" i="535"/>
  <c r="S112" i="535"/>
  <c r="R112" i="535"/>
  <c r="F112" i="535"/>
  <c r="E112" i="535"/>
  <c r="D112" i="535"/>
  <c r="S111" i="535"/>
  <c r="R111" i="535"/>
  <c r="F111" i="535"/>
  <c r="E111" i="535"/>
  <c r="D111" i="535"/>
  <c r="S110" i="535"/>
  <c r="R110" i="535"/>
  <c r="F110" i="535"/>
  <c r="E110" i="535"/>
  <c r="D110" i="535"/>
  <c r="S109" i="535"/>
  <c r="R109" i="535"/>
  <c r="F109" i="535"/>
  <c r="E109" i="535"/>
  <c r="D109" i="535"/>
  <c r="S108" i="535"/>
  <c r="R108" i="535"/>
  <c r="F108" i="535"/>
  <c r="E108" i="535"/>
  <c r="D108" i="535"/>
  <c r="S107" i="535"/>
  <c r="R107" i="535"/>
  <c r="F107" i="535"/>
  <c r="E107" i="535"/>
  <c r="D107" i="535"/>
  <c r="S106" i="535"/>
  <c r="R106" i="535"/>
  <c r="F106" i="535"/>
  <c r="E106" i="535"/>
  <c r="D106" i="535"/>
  <c r="S105" i="535"/>
  <c r="R105" i="535"/>
  <c r="F105" i="535"/>
  <c r="E105" i="535"/>
  <c r="D105" i="535"/>
  <c r="S104" i="535"/>
  <c r="R104" i="535"/>
  <c r="F104" i="535"/>
  <c r="E104" i="535"/>
  <c r="D104" i="535"/>
  <c r="S103" i="535"/>
  <c r="R103" i="535"/>
  <c r="F103" i="535"/>
  <c r="E103" i="535"/>
  <c r="D103" i="535"/>
  <c r="S102" i="535"/>
  <c r="R102" i="535"/>
  <c r="F102" i="535"/>
  <c r="E102" i="535"/>
  <c r="D102" i="535"/>
  <c r="S101" i="535"/>
  <c r="R101" i="535"/>
  <c r="F101" i="535"/>
  <c r="E101" i="535"/>
  <c r="D101" i="535"/>
  <c r="S100" i="535"/>
  <c r="R100" i="535"/>
  <c r="F100" i="535"/>
  <c r="E100" i="535"/>
  <c r="D100" i="535"/>
  <c r="S99" i="535"/>
  <c r="R99" i="535"/>
  <c r="F99" i="535"/>
  <c r="E99" i="535"/>
  <c r="D99" i="535"/>
  <c r="S98" i="535"/>
  <c r="R98" i="535"/>
  <c r="F98" i="535"/>
  <c r="E98" i="535"/>
  <c r="D98" i="535"/>
  <c r="S97" i="535"/>
  <c r="R97" i="535"/>
  <c r="F97" i="535"/>
  <c r="E97" i="535"/>
  <c r="D97" i="535"/>
  <c r="S96" i="535"/>
  <c r="R96" i="535"/>
  <c r="F96" i="535"/>
  <c r="E96" i="535"/>
  <c r="D96" i="535"/>
  <c r="S95" i="535"/>
  <c r="R95" i="535"/>
  <c r="F95" i="535"/>
  <c r="E95" i="535"/>
  <c r="D95" i="535"/>
  <c r="S94" i="535"/>
  <c r="R94" i="535"/>
  <c r="F94" i="535"/>
  <c r="E94" i="535"/>
  <c r="D94" i="535"/>
  <c r="S93" i="535"/>
  <c r="R93" i="535"/>
  <c r="F93" i="535"/>
  <c r="E93" i="535"/>
  <c r="D93" i="535"/>
  <c r="S92" i="535"/>
  <c r="R92" i="535"/>
  <c r="F92" i="535"/>
  <c r="E92" i="535"/>
  <c r="D92" i="535"/>
  <c r="S91" i="535"/>
  <c r="R91" i="535"/>
  <c r="F91" i="535"/>
  <c r="E91" i="535"/>
  <c r="D91" i="535"/>
  <c r="S90" i="535"/>
  <c r="R90" i="535"/>
  <c r="F90" i="535"/>
  <c r="E90" i="535"/>
  <c r="D90" i="535"/>
  <c r="S89" i="535"/>
  <c r="R89" i="535"/>
  <c r="F89" i="535"/>
  <c r="E89" i="535"/>
  <c r="D89" i="535"/>
  <c r="S88" i="535"/>
  <c r="R88" i="535"/>
  <c r="F88" i="535"/>
  <c r="E88" i="535"/>
  <c r="D88" i="535"/>
  <c r="S87" i="535"/>
  <c r="R87" i="535"/>
  <c r="F87" i="535"/>
  <c r="E87" i="535"/>
  <c r="D87" i="535"/>
  <c r="S86" i="535"/>
  <c r="R86" i="535"/>
  <c r="F86" i="535"/>
  <c r="E86" i="535"/>
  <c r="D86" i="535"/>
  <c r="S85" i="535"/>
  <c r="R85" i="535"/>
  <c r="F85" i="535"/>
  <c r="E85" i="535"/>
  <c r="D85" i="535"/>
  <c r="S84" i="535"/>
  <c r="R84" i="535"/>
  <c r="F84" i="535"/>
  <c r="E84" i="535"/>
  <c r="D84" i="535"/>
  <c r="S83" i="535"/>
  <c r="R83" i="535"/>
  <c r="F83" i="535"/>
  <c r="E83" i="535"/>
  <c r="D83" i="535"/>
  <c r="S82" i="535"/>
  <c r="R82" i="535"/>
  <c r="F82" i="535"/>
  <c r="E82" i="535"/>
  <c r="D82" i="535"/>
  <c r="S81" i="535"/>
  <c r="R81" i="535"/>
  <c r="F81" i="535"/>
  <c r="E81" i="535"/>
  <c r="D81" i="535"/>
  <c r="S80" i="535"/>
  <c r="R80" i="535"/>
  <c r="F80" i="535"/>
  <c r="E80" i="535"/>
  <c r="D80" i="535"/>
  <c r="S79" i="535"/>
  <c r="R79" i="535"/>
  <c r="F79" i="535"/>
  <c r="E79" i="535"/>
  <c r="D79" i="535"/>
  <c r="S78" i="535"/>
  <c r="R78" i="535"/>
  <c r="F78" i="535"/>
  <c r="E78" i="535"/>
  <c r="D78" i="535"/>
  <c r="S77" i="535"/>
  <c r="R77" i="535"/>
  <c r="F77" i="535"/>
  <c r="E77" i="535"/>
  <c r="D77" i="535"/>
  <c r="S76" i="535"/>
  <c r="R76" i="535"/>
  <c r="F76" i="535"/>
  <c r="E76" i="535"/>
  <c r="D76" i="535"/>
  <c r="S75" i="535"/>
  <c r="R75" i="535"/>
  <c r="F75" i="535"/>
  <c r="E75" i="535"/>
  <c r="D75" i="535"/>
  <c r="S74" i="535"/>
  <c r="R74" i="535"/>
  <c r="F74" i="535"/>
  <c r="E74" i="535"/>
  <c r="D74" i="535"/>
  <c r="S73" i="535"/>
  <c r="R73" i="535"/>
  <c r="F73" i="535"/>
  <c r="E73" i="535"/>
  <c r="D73" i="535"/>
  <c r="S72" i="535"/>
  <c r="R72" i="535"/>
  <c r="F72" i="535"/>
  <c r="E72" i="535"/>
  <c r="D72" i="535"/>
  <c r="S71" i="535"/>
  <c r="R71" i="535"/>
  <c r="F71" i="535"/>
  <c r="E71" i="535"/>
  <c r="D71" i="535"/>
  <c r="S70" i="535"/>
  <c r="R70" i="535"/>
  <c r="F70" i="535"/>
  <c r="E70" i="535"/>
  <c r="D70" i="535"/>
  <c r="S69" i="535"/>
  <c r="R69" i="535"/>
  <c r="F69" i="535"/>
  <c r="E69" i="535"/>
  <c r="D69" i="535"/>
  <c r="S68" i="535"/>
  <c r="R68" i="535"/>
  <c r="F68" i="535"/>
  <c r="E68" i="535"/>
  <c r="D68" i="535"/>
  <c r="S67" i="535"/>
  <c r="R67" i="535"/>
  <c r="F67" i="535"/>
  <c r="E67" i="535"/>
  <c r="D67" i="535"/>
  <c r="S66" i="535"/>
  <c r="R66" i="535"/>
  <c r="F66" i="535"/>
  <c r="E66" i="535"/>
  <c r="D66" i="535"/>
  <c r="S65" i="535"/>
  <c r="R65" i="535"/>
  <c r="F65" i="535"/>
  <c r="E65" i="535"/>
  <c r="D65" i="535"/>
  <c r="S64" i="535"/>
  <c r="R64" i="535"/>
  <c r="F64" i="535"/>
  <c r="E64" i="535"/>
  <c r="D64" i="535"/>
  <c r="S63" i="535"/>
  <c r="R63" i="535"/>
  <c r="F63" i="535"/>
  <c r="E63" i="535"/>
  <c r="D63" i="535"/>
  <c r="S62" i="535"/>
  <c r="R62" i="535"/>
  <c r="F62" i="535"/>
  <c r="E62" i="535"/>
  <c r="D62" i="535"/>
  <c r="S61" i="535"/>
  <c r="R61" i="535"/>
  <c r="F61" i="535"/>
  <c r="E61" i="535"/>
  <c r="D61" i="535"/>
  <c r="S60" i="535"/>
  <c r="R60" i="535"/>
  <c r="F60" i="535"/>
  <c r="E60" i="535"/>
  <c r="D60" i="535"/>
  <c r="S59" i="535"/>
  <c r="R59" i="535"/>
  <c r="F59" i="535"/>
  <c r="E59" i="535"/>
  <c r="D59" i="535"/>
  <c r="S58" i="535"/>
  <c r="R58" i="535"/>
  <c r="F58" i="535"/>
  <c r="E58" i="535"/>
  <c r="D58" i="535"/>
  <c r="S57" i="535"/>
  <c r="R57" i="535"/>
  <c r="F57" i="535"/>
  <c r="E57" i="535"/>
  <c r="D57" i="535"/>
  <c r="S56" i="535"/>
  <c r="R56" i="535"/>
  <c r="F56" i="535"/>
  <c r="E56" i="535"/>
  <c r="D56" i="535"/>
  <c r="S55" i="535"/>
  <c r="R55" i="535"/>
  <c r="F55" i="535"/>
  <c r="E55" i="535"/>
  <c r="D55" i="535"/>
  <c r="S54" i="535"/>
  <c r="R54" i="535"/>
  <c r="F54" i="535"/>
  <c r="E54" i="535"/>
  <c r="D54" i="535"/>
  <c r="S53" i="535"/>
  <c r="R53" i="535"/>
  <c r="F53" i="535"/>
  <c r="E53" i="535"/>
  <c r="D53" i="535"/>
  <c r="S52" i="535"/>
  <c r="R52" i="535"/>
  <c r="F52" i="535"/>
  <c r="E52" i="535"/>
  <c r="D52" i="535"/>
  <c r="S51" i="535"/>
  <c r="R51" i="535"/>
  <c r="F51" i="535"/>
  <c r="E51" i="535"/>
  <c r="D51" i="535"/>
  <c r="S50" i="535"/>
  <c r="R50" i="535"/>
  <c r="F50" i="535"/>
  <c r="E50" i="535"/>
  <c r="D50" i="535"/>
  <c r="S49" i="535"/>
  <c r="R49" i="535"/>
  <c r="F49" i="535"/>
  <c r="E49" i="535"/>
  <c r="D49" i="535"/>
  <c r="S48" i="535"/>
  <c r="R48" i="535"/>
  <c r="F48" i="535"/>
  <c r="E48" i="535"/>
  <c r="D48" i="535"/>
  <c r="S47" i="535"/>
  <c r="R47" i="535"/>
  <c r="F47" i="535"/>
  <c r="E47" i="535"/>
  <c r="D47" i="535"/>
  <c r="S46" i="535"/>
  <c r="R46" i="535"/>
  <c r="F46" i="535"/>
  <c r="E46" i="535"/>
  <c r="D46" i="535"/>
  <c r="S45" i="535"/>
  <c r="R45" i="535"/>
  <c r="F45" i="535"/>
  <c r="E45" i="535"/>
  <c r="D45" i="535"/>
  <c r="S44" i="535"/>
  <c r="R44" i="535"/>
  <c r="F44" i="535"/>
  <c r="E44" i="535"/>
  <c r="D44" i="535"/>
  <c r="S43" i="535"/>
  <c r="R43" i="535"/>
  <c r="F43" i="535"/>
  <c r="E43" i="535"/>
  <c r="D43" i="535"/>
  <c r="S42" i="535"/>
  <c r="R42" i="535"/>
  <c r="F42" i="535"/>
  <c r="E42" i="535"/>
  <c r="D42" i="535"/>
  <c r="S41" i="535"/>
  <c r="R41" i="535"/>
  <c r="F41" i="535"/>
  <c r="E41" i="535"/>
  <c r="D41" i="535"/>
  <c r="S40" i="535"/>
  <c r="R40" i="535"/>
  <c r="F40" i="535"/>
  <c r="E40" i="535"/>
  <c r="D40" i="535"/>
  <c r="S39" i="535"/>
  <c r="R39" i="535"/>
  <c r="F39" i="535"/>
  <c r="E39" i="535"/>
  <c r="D39" i="535"/>
  <c r="S38" i="535"/>
  <c r="R38" i="535"/>
  <c r="F38" i="535"/>
  <c r="E38" i="535"/>
  <c r="D38" i="535"/>
  <c r="S37" i="535"/>
  <c r="R37" i="535"/>
  <c r="F37" i="535"/>
  <c r="E37" i="535"/>
  <c r="D37" i="535"/>
  <c r="S36" i="535"/>
  <c r="R36" i="535"/>
  <c r="F36" i="535"/>
  <c r="E36" i="535"/>
  <c r="D36" i="535"/>
  <c r="S35" i="535"/>
  <c r="R35" i="535"/>
  <c r="F35" i="535"/>
  <c r="E35" i="535"/>
  <c r="D35" i="535"/>
  <c r="S34" i="535"/>
  <c r="R34" i="535"/>
  <c r="F34" i="535"/>
  <c r="E34" i="535"/>
  <c r="D34" i="535"/>
  <c r="S33" i="535"/>
  <c r="R33" i="535"/>
  <c r="F33" i="535"/>
  <c r="E33" i="535"/>
  <c r="D33" i="535"/>
  <c r="S32" i="535"/>
  <c r="R32" i="535"/>
  <c r="F32" i="535"/>
  <c r="E32" i="535"/>
  <c r="D32" i="535"/>
  <c r="S31" i="535"/>
  <c r="R31" i="535"/>
  <c r="F31" i="535"/>
  <c r="E31" i="535"/>
  <c r="D31" i="535"/>
  <c r="S30" i="535"/>
  <c r="R30" i="535"/>
  <c r="Q30" i="535"/>
  <c r="P30" i="535"/>
  <c r="O30" i="535"/>
  <c r="N30" i="535"/>
  <c r="M30" i="535"/>
  <c r="L30" i="535"/>
  <c r="K30" i="535"/>
  <c r="J30" i="535"/>
  <c r="I30" i="535"/>
  <c r="H30" i="535"/>
  <c r="G30" i="535"/>
  <c r="F30" i="535"/>
  <c r="E30" i="535"/>
  <c r="D30" i="535"/>
  <c r="C30" i="535"/>
  <c r="I32" i="532"/>
  <c r="I32" i="535" s="1"/>
  <c r="J32" i="532"/>
  <c r="J32" i="535" s="1"/>
  <c r="K32" i="532"/>
  <c r="L32" i="532"/>
  <c r="L32" i="535" s="1"/>
  <c r="M32" i="532"/>
  <c r="M32" i="535" s="1"/>
  <c r="N32" i="532"/>
  <c r="N32" i="535" s="1"/>
  <c r="I33" i="532"/>
  <c r="I33" i="535" s="1"/>
  <c r="J33" i="532"/>
  <c r="J33" i="535" s="1"/>
  <c r="K33" i="532"/>
  <c r="L33" i="532"/>
  <c r="L33" i="535" s="1"/>
  <c r="M33" i="532"/>
  <c r="M33" i="535" s="1"/>
  <c r="N33" i="532"/>
  <c r="N33" i="535" s="1"/>
  <c r="I34" i="532"/>
  <c r="I34" i="535" s="1"/>
  <c r="J34" i="532"/>
  <c r="J34" i="535" s="1"/>
  <c r="K34" i="532"/>
  <c r="L34" i="532"/>
  <c r="L34" i="535" s="1"/>
  <c r="M34" i="532"/>
  <c r="M34" i="535" s="1"/>
  <c r="N34" i="532"/>
  <c r="N34" i="535" s="1"/>
  <c r="I35" i="532"/>
  <c r="I35" i="535" s="1"/>
  <c r="J35" i="532"/>
  <c r="J35" i="535" s="1"/>
  <c r="K35" i="532"/>
  <c r="H35" i="532" s="1"/>
  <c r="H35" i="535" s="1"/>
  <c r="L35" i="532"/>
  <c r="L35" i="535" s="1"/>
  <c r="M35" i="532"/>
  <c r="M35" i="535" s="1"/>
  <c r="N35" i="532"/>
  <c r="N35" i="535" s="1"/>
  <c r="I36" i="532"/>
  <c r="I36" i="535" s="1"/>
  <c r="J36" i="532"/>
  <c r="J36" i="535" s="1"/>
  <c r="K36" i="532"/>
  <c r="K36" i="535" s="1"/>
  <c r="L36" i="532"/>
  <c r="L36" i="535" s="1"/>
  <c r="M36" i="532"/>
  <c r="M36" i="535" s="1"/>
  <c r="N36" i="532"/>
  <c r="N36" i="535" s="1"/>
  <c r="I37" i="532"/>
  <c r="I37" i="535" s="1"/>
  <c r="J37" i="532"/>
  <c r="J37" i="535" s="1"/>
  <c r="K37" i="532"/>
  <c r="H37" i="532" s="1"/>
  <c r="H37" i="535" s="1"/>
  <c r="L37" i="532"/>
  <c r="L37" i="535" s="1"/>
  <c r="M37" i="532"/>
  <c r="M37" i="535" s="1"/>
  <c r="N37" i="532"/>
  <c r="N37" i="535" s="1"/>
  <c r="I38" i="532"/>
  <c r="I38" i="535" s="1"/>
  <c r="J38" i="532"/>
  <c r="J38" i="535" s="1"/>
  <c r="K38" i="532"/>
  <c r="H38" i="532" s="1"/>
  <c r="H38" i="535" s="1"/>
  <c r="L38" i="532"/>
  <c r="L38" i="535" s="1"/>
  <c r="M38" i="532"/>
  <c r="M38" i="535" s="1"/>
  <c r="N38" i="532"/>
  <c r="N38" i="535" s="1"/>
  <c r="I39" i="532"/>
  <c r="I39" i="535" s="1"/>
  <c r="J39" i="532"/>
  <c r="J39" i="535" s="1"/>
  <c r="K39" i="532"/>
  <c r="H39" i="532" s="1"/>
  <c r="H39" i="535" s="1"/>
  <c r="L39" i="532"/>
  <c r="L39" i="535" s="1"/>
  <c r="M39" i="532"/>
  <c r="M39" i="535" s="1"/>
  <c r="N39" i="532"/>
  <c r="N39" i="535" s="1"/>
  <c r="I40" i="532"/>
  <c r="I40" i="535" s="1"/>
  <c r="J40" i="532"/>
  <c r="J40" i="535" s="1"/>
  <c r="K40" i="532"/>
  <c r="H40" i="532" s="1"/>
  <c r="H40" i="535" s="1"/>
  <c r="L40" i="532"/>
  <c r="L40" i="535" s="1"/>
  <c r="M40" i="532"/>
  <c r="M40" i="535" s="1"/>
  <c r="N40" i="532"/>
  <c r="N40" i="535" s="1"/>
  <c r="I41" i="532"/>
  <c r="I41" i="535" s="1"/>
  <c r="J41" i="532"/>
  <c r="J41" i="535" s="1"/>
  <c r="K41" i="532"/>
  <c r="L41" i="532"/>
  <c r="L41" i="535" s="1"/>
  <c r="M41" i="532"/>
  <c r="M41" i="535" s="1"/>
  <c r="N41" i="532"/>
  <c r="N41" i="535" s="1"/>
  <c r="I42" i="532"/>
  <c r="I42" i="535" s="1"/>
  <c r="J42" i="532"/>
  <c r="J42" i="535" s="1"/>
  <c r="K42" i="532"/>
  <c r="L42" i="532"/>
  <c r="L42" i="535" s="1"/>
  <c r="M42" i="532"/>
  <c r="M42" i="535" s="1"/>
  <c r="N42" i="532"/>
  <c r="N42" i="535" s="1"/>
  <c r="I43" i="532"/>
  <c r="I43" i="535" s="1"/>
  <c r="J43" i="532"/>
  <c r="J43" i="535" s="1"/>
  <c r="K43" i="532"/>
  <c r="L43" i="532"/>
  <c r="L43" i="535" s="1"/>
  <c r="M43" i="532"/>
  <c r="M43" i="535" s="1"/>
  <c r="N43" i="532"/>
  <c r="N43" i="535" s="1"/>
  <c r="I44" i="532"/>
  <c r="I44" i="535" s="1"/>
  <c r="J44" i="532"/>
  <c r="J44" i="535" s="1"/>
  <c r="K44" i="532"/>
  <c r="L44" i="532"/>
  <c r="L44" i="535" s="1"/>
  <c r="M44" i="532"/>
  <c r="M44" i="535" s="1"/>
  <c r="N44" i="532"/>
  <c r="N44" i="535" s="1"/>
  <c r="I45" i="532"/>
  <c r="I45" i="535" s="1"/>
  <c r="J45" i="532"/>
  <c r="J45" i="535" s="1"/>
  <c r="K45" i="532"/>
  <c r="L45" i="532"/>
  <c r="L45" i="535" s="1"/>
  <c r="M45" i="532"/>
  <c r="M45" i="535" s="1"/>
  <c r="N45" i="532"/>
  <c r="N45" i="535" s="1"/>
  <c r="I46" i="532"/>
  <c r="I46" i="535" s="1"/>
  <c r="J46" i="532"/>
  <c r="J46" i="535" s="1"/>
  <c r="K46" i="532"/>
  <c r="L46" i="532"/>
  <c r="L46" i="535" s="1"/>
  <c r="M46" i="532"/>
  <c r="M46" i="535" s="1"/>
  <c r="N46" i="532"/>
  <c r="N46" i="535" s="1"/>
  <c r="I47" i="532"/>
  <c r="I47" i="535" s="1"/>
  <c r="J47" i="532"/>
  <c r="J47" i="535" s="1"/>
  <c r="K47" i="532"/>
  <c r="L47" i="532"/>
  <c r="L47" i="535" s="1"/>
  <c r="M47" i="532"/>
  <c r="M47" i="535" s="1"/>
  <c r="N47" i="532"/>
  <c r="N47" i="535" s="1"/>
  <c r="I48" i="532"/>
  <c r="I48" i="535" s="1"/>
  <c r="J48" i="532"/>
  <c r="J48" i="535" s="1"/>
  <c r="K48" i="532"/>
  <c r="L48" i="532"/>
  <c r="L48" i="535" s="1"/>
  <c r="M48" i="532"/>
  <c r="M48" i="535" s="1"/>
  <c r="N48" i="532"/>
  <c r="N48" i="535" s="1"/>
  <c r="I49" i="532"/>
  <c r="I49" i="535" s="1"/>
  <c r="J49" i="532"/>
  <c r="J49" i="535" s="1"/>
  <c r="K49" i="532"/>
  <c r="L49" i="532"/>
  <c r="L49" i="535" s="1"/>
  <c r="M49" i="532"/>
  <c r="M49" i="535" s="1"/>
  <c r="N49" i="532"/>
  <c r="N49" i="535" s="1"/>
  <c r="I50" i="532"/>
  <c r="I50" i="535" s="1"/>
  <c r="J50" i="532"/>
  <c r="J50" i="535" s="1"/>
  <c r="K50" i="532"/>
  <c r="L50" i="532"/>
  <c r="L50" i="535" s="1"/>
  <c r="M50" i="532"/>
  <c r="M50" i="535" s="1"/>
  <c r="N50" i="532"/>
  <c r="N50" i="535" s="1"/>
  <c r="I51" i="532"/>
  <c r="I51" i="535" s="1"/>
  <c r="J51" i="532"/>
  <c r="J51" i="535" s="1"/>
  <c r="K51" i="532"/>
  <c r="L51" i="532"/>
  <c r="L51" i="535" s="1"/>
  <c r="M51" i="532"/>
  <c r="M51" i="535" s="1"/>
  <c r="N51" i="532"/>
  <c r="N51" i="535" s="1"/>
  <c r="I52" i="532"/>
  <c r="I52" i="535" s="1"/>
  <c r="J52" i="532"/>
  <c r="J52" i="535" s="1"/>
  <c r="K52" i="532"/>
  <c r="L52" i="532"/>
  <c r="L52" i="535" s="1"/>
  <c r="M52" i="532"/>
  <c r="M52" i="535" s="1"/>
  <c r="N52" i="532"/>
  <c r="N52" i="535" s="1"/>
  <c r="I53" i="532"/>
  <c r="I53" i="535" s="1"/>
  <c r="J53" i="532"/>
  <c r="J53" i="535" s="1"/>
  <c r="K53" i="532"/>
  <c r="L53" i="532"/>
  <c r="L53" i="535" s="1"/>
  <c r="M53" i="532"/>
  <c r="M53" i="535" s="1"/>
  <c r="N53" i="532"/>
  <c r="N53" i="535" s="1"/>
  <c r="I54" i="532"/>
  <c r="I54" i="535" s="1"/>
  <c r="J54" i="532"/>
  <c r="J54" i="535" s="1"/>
  <c r="K54" i="532"/>
  <c r="L54" i="532"/>
  <c r="L54" i="535" s="1"/>
  <c r="M54" i="532"/>
  <c r="M54" i="535" s="1"/>
  <c r="N54" i="532"/>
  <c r="N54" i="535" s="1"/>
  <c r="I55" i="532"/>
  <c r="I55" i="535" s="1"/>
  <c r="J55" i="532"/>
  <c r="J55" i="535" s="1"/>
  <c r="K55" i="532"/>
  <c r="L55" i="532"/>
  <c r="L55" i="535" s="1"/>
  <c r="M55" i="532"/>
  <c r="M55" i="535" s="1"/>
  <c r="N55" i="532"/>
  <c r="N55" i="535" s="1"/>
  <c r="I56" i="532"/>
  <c r="I56" i="535" s="1"/>
  <c r="J56" i="532"/>
  <c r="J56" i="535" s="1"/>
  <c r="K56" i="532"/>
  <c r="L56" i="532"/>
  <c r="L56" i="535" s="1"/>
  <c r="M56" i="532"/>
  <c r="M56" i="535" s="1"/>
  <c r="N56" i="532"/>
  <c r="N56" i="535" s="1"/>
  <c r="I57" i="532"/>
  <c r="I57" i="535" s="1"/>
  <c r="J57" i="532"/>
  <c r="J57" i="535" s="1"/>
  <c r="K57" i="532"/>
  <c r="L57" i="532"/>
  <c r="L57" i="535" s="1"/>
  <c r="M57" i="532"/>
  <c r="M57" i="535" s="1"/>
  <c r="N57" i="532"/>
  <c r="N57" i="535" s="1"/>
  <c r="I58" i="532"/>
  <c r="I58" i="535" s="1"/>
  <c r="J58" i="532"/>
  <c r="J58" i="535" s="1"/>
  <c r="K58" i="532"/>
  <c r="L58" i="532"/>
  <c r="L58" i="535" s="1"/>
  <c r="M58" i="532"/>
  <c r="M58" i="535" s="1"/>
  <c r="N58" i="532"/>
  <c r="N58" i="535" s="1"/>
  <c r="I59" i="532"/>
  <c r="I59" i="535" s="1"/>
  <c r="J59" i="532"/>
  <c r="J59" i="535" s="1"/>
  <c r="K59" i="532"/>
  <c r="L59" i="532"/>
  <c r="L59" i="535" s="1"/>
  <c r="M59" i="532"/>
  <c r="M59" i="535" s="1"/>
  <c r="N59" i="532"/>
  <c r="N59" i="535" s="1"/>
  <c r="I60" i="532"/>
  <c r="I60" i="535" s="1"/>
  <c r="J60" i="532"/>
  <c r="J60" i="535" s="1"/>
  <c r="K60" i="532"/>
  <c r="L60" i="532"/>
  <c r="L60" i="535" s="1"/>
  <c r="M60" i="532"/>
  <c r="M60" i="535" s="1"/>
  <c r="N60" i="532"/>
  <c r="N60" i="535" s="1"/>
  <c r="I61" i="532"/>
  <c r="I61" i="535" s="1"/>
  <c r="J61" i="532"/>
  <c r="J61" i="535" s="1"/>
  <c r="K61" i="532"/>
  <c r="L61" i="532"/>
  <c r="L61" i="535" s="1"/>
  <c r="M61" i="532"/>
  <c r="M61" i="535" s="1"/>
  <c r="N61" i="532"/>
  <c r="N61" i="535" s="1"/>
  <c r="I62" i="532"/>
  <c r="I62" i="535" s="1"/>
  <c r="J62" i="532"/>
  <c r="J62" i="535" s="1"/>
  <c r="K62" i="532"/>
  <c r="L62" i="532"/>
  <c r="L62" i="535" s="1"/>
  <c r="M62" i="532"/>
  <c r="M62" i="535" s="1"/>
  <c r="N62" i="532"/>
  <c r="N62" i="535" s="1"/>
  <c r="I63" i="532"/>
  <c r="I63" i="535" s="1"/>
  <c r="J63" i="532"/>
  <c r="J63" i="535" s="1"/>
  <c r="K63" i="532"/>
  <c r="L63" i="532"/>
  <c r="L63" i="535" s="1"/>
  <c r="M63" i="532"/>
  <c r="M63" i="535" s="1"/>
  <c r="N63" i="532"/>
  <c r="N63" i="535" s="1"/>
  <c r="I64" i="532"/>
  <c r="I64" i="535" s="1"/>
  <c r="J64" i="532"/>
  <c r="J64" i="535" s="1"/>
  <c r="K64" i="532"/>
  <c r="L64" i="532"/>
  <c r="L64" i="535" s="1"/>
  <c r="M64" i="532"/>
  <c r="M64" i="535" s="1"/>
  <c r="N64" i="532"/>
  <c r="N64" i="535" s="1"/>
  <c r="I65" i="532"/>
  <c r="I65" i="535" s="1"/>
  <c r="J65" i="532"/>
  <c r="J65" i="535" s="1"/>
  <c r="K65" i="532"/>
  <c r="L65" i="532"/>
  <c r="L65" i="535" s="1"/>
  <c r="M65" i="532"/>
  <c r="M65" i="535" s="1"/>
  <c r="N65" i="532"/>
  <c r="N65" i="535" s="1"/>
  <c r="I66" i="532"/>
  <c r="I66" i="535" s="1"/>
  <c r="J66" i="532"/>
  <c r="J66" i="535" s="1"/>
  <c r="K66" i="532"/>
  <c r="L66" i="532"/>
  <c r="L66" i="535" s="1"/>
  <c r="M66" i="532"/>
  <c r="M66" i="535" s="1"/>
  <c r="N66" i="532"/>
  <c r="N66" i="535" s="1"/>
  <c r="I67" i="532"/>
  <c r="I67" i="535" s="1"/>
  <c r="J67" i="532"/>
  <c r="J67" i="535" s="1"/>
  <c r="K67" i="532"/>
  <c r="L67" i="532"/>
  <c r="L67" i="535" s="1"/>
  <c r="M67" i="532"/>
  <c r="M67" i="535" s="1"/>
  <c r="N67" i="532"/>
  <c r="N67" i="535" s="1"/>
  <c r="I68" i="532"/>
  <c r="I68" i="535" s="1"/>
  <c r="J68" i="532"/>
  <c r="J68" i="535" s="1"/>
  <c r="K68" i="532"/>
  <c r="L68" i="532"/>
  <c r="L68" i="535" s="1"/>
  <c r="M68" i="532"/>
  <c r="M68" i="535" s="1"/>
  <c r="N68" i="532"/>
  <c r="N68" i="535" s="1"/>
  <c r="I69" i="532"/>
  <c r="I69" i="535" s="1"/>
  <c r="J69" i="532"/>
  <c r="J69" i="535" s="1"/>
  <c r="K69" i="532"/>
  <c r="L69" i="532"/>
  <c r="L69" i="535" s="1"/>
  <c r="M69" i="532"/>
  <c r="M69" i="535" s="1"/>
  <c r="N69" i="532"/>
  <c r="N69" i="535" s="1"/>
  <c r="I70" i="532"/>
  <c r="I70" i="535" s="1"/>
  <c r="J70" i="532"/>
  <c r="J70" i="535" s="1"/>
  <c r="K70" i="532"/>
  <c r="L70" i="532"/>
  <c r="L70" i="535" s="1"/>
  <c r="M70" i="532"/>
  <c r="M70" i="535" s="1"/>
  <c r="N70" i="532"/>
  <c r="N70" i="535" s="1"/>
  <c r="I71" i="532"/>
  <c r="I71" i="535" s="1"/>
  <c r="J71" i="532"/>
  <c r="J71" i="535" s="1"/>
  <c r="K71" i="532"/>
  <c r="L71" i="532"/>
  <c r="L71" i="535" s="1"/>
  <c r="M71" i="532"/>
  <c r="M71" i="535" s="1"/>
  <c r="N71" i="532"/>
  <c r="N71" i="535" s="1"/>
  <c r="I72" i="532"/>
  <c r="I72" i="535" s="1"/>
  <c r="J72" i="532"/>
  <c r="J72" i="535" s="1"/>
  <c r="K72" i="532"/>
  <c r="L72" i="532"/>
  <c r="L72" i="535" s="1"/>
  <c r="M72" i="532"/>
  <c r="M72" i="535" s="1"/>
  <c r="N72" i="532"/>
  <c r="N72" i="535" s="1"/>
  <c r="I73" i="532"/>
  <c r="I73" i="535" s="1"/>
  <c r="J73" i="532"/>
  <c r="J73" i="535" s="1"/>
  <c r="K73" i="532"/>
  <c r="L73" i="532"/>
  <c r="L73" i="535" s="1"/>
  <c r="M73" i="532"/>
  <c r="M73" i="535" s="1"/>
  <c r="N73" i="532"/>
  <c r="N73" i="535" s="1"/>
  <c r="I74" i="532"/>
  <c r="I74" i="535" s="1"/>
  <c r="J74" i="532"/>
  <c r="J74" i="535" s="1"/>
  <c r="K74" i="532"/>
  <c r="L74" i="532"/>
  <c r="L74" i="535" s="1"/>
  <c r="M74" i="532"/>
  <c r="M74" i="535" s="1"/>
  <c r="N74" i="532"/>
  <c r="N74" i="535" s="1"/>
  <c r="I75" i="532"/>
  <c r="I75" i="535" s="1"/>
  <c r="J75" i="532"/>
  <c r="J75" i="535" s="1"/>
  <c r="K75" i="532"/>
  <c r="L75" i="532"/>
  <c r="L75" i="535" s="1"/>
  <c r="M75" i="532"/>
  <c r="M75" i="535" s="1"/>
  <c r="N75" i="532"/>
  <c r="N75" i="535" s="1"/>
  <c r="I76" i="532"/>
  <c r="I76" i="535" s="1"/>
  <c r="J76" i="532"/>
  <c r="J76" i="535" s="1"/>
  <c r="K76" i="532"/>
  <c r="L76" i="532"/>
  <c r="L76" i="535" s="1"/>
  <c r="M76" i="532"/>
  <c r="M76" i="535" s="1"/>
  <c r="N76" i="532"/>
  <c r="N76" i="535" s="1"/>
  <c r="I77" i="532"/>
  <c r="I77" i="535" s="1"/>
  <c r="J77" i="532"/>
  <c r="J77" i="535" s="1"/>
  <c r="K77" i="532"/>
  <c r="L77" i="532"/>
  <c r="L77" i="535" s="1"/>
  <c r="M77" i="532"/>
  <c r="M77" i="535" s="1"/>
  <c r="N77" i="532"/>
  <c r="N77" i="535" s="1"/>
  <c r="I78" i="532"/>
  <c r="I78" i="535" s="1"/>
  <c r="J78" i="532"/>
  <c r="J78" i="535" s="1"/>
  <c r="K78" i="532"/>
  <c r="L78" i="532"/>
  <c r="L78" i="535" s="1"/>
  <c r="M78" i="532"/>
  <c r="M78" i="535" s="1"/>
  <c r="N78" i="532"/>
  <c r="N78" i="535" s="1"/>
  <c r="I79" i="532"/>
  <c r="I79" i="535" s="1"/>
  <c r="J79" i="532"/>
  <c r="J79" i="535" s="1"/>
  <c r="K79" i="532"/>
  <c r="L79" i="532"/>
  <c r="L79" i="535" s="1"/>
  <c r="M79" i="532"/>
  <c r="M79" i="535" s="1"/>
  <c r="N79" i="532"/>
  <c r="N79" i="535" s="1"/>
  <c r="I80" i="532"/>
  <c r="I80" i="535" s="1"/>
  <c r="J80" i="532"/>
  <c r="J80" i="535" s="1"/>
  <c r="K80" i="532"/>
  <c r="L80" i="532"/>
  <c r="L80" i="535" s="1"/>
  <c r="M80" i="532"/>
  <c r="M80" i="535" s="1"/>
  <c r="N80" i="532"/>
  <c r="N80" i="535" s="1"/>
  <c r="I81" i="532"/>
  <c r="I81" i="535" s="1"/>
  <c r="J81" i="532"/>
  <c r="J81" i="535" s="1"/>
  <c r="K81" i="532"/>
  <c r="L81" i="532"/>
  <c r="L81" i="535" s="1"/>
  <c r="M81" i="532"/>
  <c r="M81" i="535" s="1"/>
  <c r="N81" i="532"/>
  <c r="N81" i="535" s="1"/>
  <c r="I82" i="532"/>
  <c r="I82" i="535" s="1"/>
  <c r="J82" i="532"/>
  <c r="J82" i="535" s="1"/>
  <c r="K82" i="532"/>
  <c r="L82" i="532"/>
  <c r="L82" i="535" s="1"/>
  <c r="M82" i="532"/>
  <c r="M82" i="535" s="1"/>
  <c r="N82" i="532"/>
  <c r="N82" i="535" s="1"/>
  <c r="I83" i="532"/>
  <c r="I83" i="535" s="1"/>
  <c r="J83" i="532"/>
  <c r="J83" i="535" s="1"/>
  <c r="K83" i="532"/>
  <c r="L83" i="532"/>
  <c r="L83" i="535" s="1"/>
  <c r="M83" i="532"/>
  <c r="M83" i="535" s="1"/>
  <c r="N83" i="532"/>
  <c r="N83" i="535" s="1"/>
  <c r="I84" i="532"/>
  <c r="I84" i="535" s="1"/>
  <c r="J84" i="532"/>
  <c r="J84" i="535" s="1"/>
  <c r="K84" i="532"/>
  <c r="L84" i="532"/>
  <c r="L84" i="535" s="1"/>
  <c r="M84" i="532"/>
  <c r="M84" i="535" s="1"/>
  <c r="N84" i="532"/>
  <c r="N84" i="535" s="1"/>
  <c r="I85" i="532"/>
  <c r="I85" i="535" s="1"/>
  <c r="J85" i="532"/>
  <c r="J85" i="535" s="1"/>
  <c r="K85" i="532"/>
  <c r="L85" i="532"/>
  <c r="L85" i="535" s="1"/>
  <c r="M85" i="532"/>
  <c r="M85" i="535" s="1"/>
  <c r="N85" i="532"/>
  <c r="N85" i="535" s="1"/>
  <c r="O85" i="535"/>
  <c r="I86" i="532"/>
  <c r="I86" i="535" s="1"/>
  <c r="J86" i="532"/>
  <c r="J86" i="535" s="1"/>
  <c r="K86" i="532"/>
  <c r="L86" i="532"/>
  <c r="L86" i="535" s="1"/>
  <c r="M86" i="532"/>
  <c r="M86" i="535" s="1"/>
  <c r="N86" i="532"/>
  <c r="N86" i="535" s="1"/>
  <c r="I87" i="532"/>
  <c r="I87" i="535" s="1"/>
  <c r="J87" i="532"/>
  <c r="J87" i="535" s="1"/>
  <c r="K87" i="532"/>
  <c r="L87" i="532"/>
  <c r="L87" i="535" s="1"/>
  <c r="M87" i="532"/>
  <c r="M87" i="535" s="1"/>
  <c r="N87" i="532"/>
  <c r="N87" i="535" s="1"/>
  <c r="I88" i="532"/>
  <c r="I88" i="535" s="1"/>
  <c r="J88" i="532"/>
  <c r="J88" i="535" s="1"/>
  <c r="K88" i="532"/>
  <c r="L88" i="532"/>
  <c r="L88" i="535" s="1"/>
  <c r="M88" i="532"/>
  <c r="M88" i="535" s="1"/>
  <c r="N88" i="532"/>
  <c r="N88" i="535" s="1"/>
  <c r="I89" i="532"/>
  <c r="I89" i="535" s="1"/>
  <c r="J89" i="532"/>
  <c r="J89" i="535" s="1"/>
  <c r="K89" i="532"/>
  <c r="L89" i="532"/>
  <c r="L89" i="535" s="1"/>
  <c r="M89" i="532"/>
  <c r="M89" i="535" s="1"/>
  <c r="N89" i="532"/>
  <c r="N89" i="535" s="1"/>
  <c r="I90" i="532"/>
  <c r="I90" i="535" s="1"/>
  <c r="J90" i="532"/>
  <c r="J90" i="535" s="1"/>
  <c r="K90" i="532"/>
  <c r="L90" i="532"/>
  <c r="L90" i="535" s="1"/>
  <c r="M90" i="532"/>
  <c r="M90" i="535" s="1"/>
  <c r="N90" i="532"/>
  <c r="N90" i="535" s="1"/>
  <c r="I91" i="532"/>
  <c r="I91" i="535" s="1"/>
  <c r="J91" i="532"/>
  <c r="J91" i="535" s="1"/>
  <c r="K91" i="532"/>
  <c r="L91" i="532"/>
  <c r="L91" i="535" s="1"/>
  <c r="M91" i="532"/>
  <c r="M91" i="535" s="1"/>
  <c r="N91" i="532"/>
  <c r="N91" i="535" s="1"/>
  <c r="I92" i="532"/>
  <c r="I92" i="535" s="1"/>
  <c r="J92" i="532"/>
  <c r="J92" i="535" s="1"/>
  <c r="K92" i="532"/>
  <c r="L92" i="532"/>
  <c r="L92" i="535" s="1"/>
  <c r="M92" i="532"/>
  <c r="M92" i="535" s="1"/>
  <c r="N92" i="532"/>
  <c r="N92" i="535" s="1"/>
  <c r="I93" i="532"/>
  <c r="I93" i="535" s="1"/>
  <c r="J93" i="532"/>
  <c r="J93" i="535" s="1"/>
  <c r="K93" i="532"/>
  <c r="L93" i="532"/>
  <c r="L93" i="535" s="1"/>
  <c r="M93" i="532"/>
  <c r="M93" i="535" s="1"/>
  <c r="N93" i="532"/>
  <c r="N93" i="535" s="1"/>
  <c r="I94" i="532"/>
  <c r="I94" i="535" s="1"/>
  <c r="J94" i="532"/>
  <c r="J94" i="535" s="1"/>
  <c r="K94" i="532"/>
  <c r="L94" i="532"/>
  <c r="L94" i="535" s="1"/>
  <c r="M94" i="532"/>
  <c r="M94" i="535" s="1"/>
  <c r="N94" i="532"/>
  <c r="N94" i="535" s="1"/>
  <c r="I95" i="532"/>
  <c r="I95" i="535" s="1"/>
  <c r="J95" i="532"/>
  <c r="J95" i="535" s="1"/>
  <c r="K95" i="532"/>
  <c r="L95" i="532"/>
  <c r="L95" i="535" s="1"/>
  <c r="M95" i="532"/>
  <c r="M95" i="535" s="1"/>
  <c r="N95" i="532"/>
  <c r="N95" i="535" s="1"/>
  <c r="I96" i="532"/>
  <c r="I96" i="535" s="1"/>
  <c r="J96" i="532"/>
  <c r="J96" i="535" s="1"/>
  <c r="K96" i="532"/>
  <c r="L96" i="532"/>
  <c r="L96" i="535" s="1"/>
  <c r="M96" i="532"/>
  <c r="M96" i="535" s="1"/>
  <c r="N96" i="532"/>
  <c r="N96" i="535" s="1"/>
  <c r="I97" i="532"/>
  <c r="I97" i="535" s="1"/>
  <c r="J97" i="532"/>
  <c r="J97" i="535" s="1"/>
  <c r="K97" i="532"/>
  <c r="L97" i="532"/>
  <c r="L97" i="535" s="1"/>
  <c r="M97" i="532"/>
  <c r="M97" i="535" s="1"/>
  <c r="N97" i="532"/>
  <c r="N97" i="535" s="1"/>
  <c r="I98" i="532"/>
  <c r="I98" i="535" s="1"/>
  <c r="J98" i="532"/>
  <c r="J98" i="535" s="1"/>
  <c r="K98" i="532"/>
  <c r="L98" i="532"/>
  <c r="L98" i="535" s="1"/>
  <c r="M98" i="532"/>
  <c r="M98" i="535" s="1"/>
  <c r="N98" i="532"/>
  <c r="N98" i="535" s="1"/>
  <c r="I99" i="532"/>
  <c r="I99" i="535" s="1"/>
  <c r="J99" i="532"/>
  <c r="J99" i="535" s="1"/>
  <c r="K99" i="532"/>
  <c r="L99" i="532"/>
  <c r="L99" i="535" s="1"/>
  <c r="M99" i="532"/>
  <c r="M99" i="535" s="1"/>
  <c r="N99" i="532"/>
  <c r="I100" i="532"/>
  <c r="I100" i="535" s="1"/>
  <c r="J100" i="532"/>
  <c r="J100" i="535" s="1"/>
  <c r="K100" i="532"/>
  <c r="L100" i="532"/>
  <c r="L100" i="535" s="1"/>
  <c r="M100" i="532"/>
  <c r="M100" i="535" s="1"/>
  <c r="N100" i="532"/>
  <c r="I101" i="532"/>
  <c r="I101" i="535" s="1"/>
  <c r="J101" i="532"/>
  <c r="J101" i="535" s="1"/>
  <c r="K101" i="532"/>
  <c r="L101" i="532"/>
  <c r="L101" i="535" s="1"/>
  <c r="M101" i="532"/>
  <c r="M101" i="535" s="1"/>
  <c r="N101" i="532"/>
  <c r="I102" i="532"/>
  <c r="I102" i="535" s="1"/>
  <c r="J102" i="532"/>
  <c r="J102" i="535" s="1"/>
  <c r="K102" i="532"/>
  <c r="L102" i="532"/>
  <c r="L102" i="535" s="1"/>
  <c r="M102" i="532"/>
  <c r="M102" i="535" s="1"/>
  <c r="N102" i="532"/>
  <c r="I103" i="532"/>
  <c r="I103" i="535" s="1"/>
  <c r="J103" i="532"/>
  <c r="J103" i="535" s="1"/>
  <c r="K103" i="532"/>
  <c r="L103" i="532"/>
  <c r="L103" i="535" s="1"/>
  <c r="M103" i="532"/>
  <c r="M103" i="535" s="1"/>
  <c r="N103" i="532"/>
  <c r="I104" i="532"/>
  <c r="I104" i="535" s="1"/>
  <c r="J104" i="532"/>
  <c r="J104" i="535" s="1"/>
  <c r="K104" i="532"/>
  <c r="L104" i="532"/>
  <c r="L104" i="535" s="1"/>
  <c r="M104" i="532"/>
  <c r="M104" i="535" s="1"/>
  <c r="N104" i="532"/>
  <c r="O104" i="535"/>
  <c r="I105" i="532"/>
  <c r="I105" i="535" s="1"/>
  <c r="J105" i="532"/>
  <c r="J105" i="535" s="1"/>
  <c r="K105" i="532"/>
  <c r="L105" i="532"/>
  <c r="L105" i="535" s="1"/>
  <c r="M105" i="532"/>
  <c r="M105" i="535" s="1"/>
  <c r="N105" i="532"/>
  <c r="I106" i="532"/>
  <c r="I106" i="535" s="1"/>
  <c r="J106" i="532"/>
  <c r="J106" i="535" s="1"/>
  <c r="K106" i="532"/>
  <c r="L106" i="532"/>
  <c r="L106" i="535" s="1"/>
  <c r="M106" i="532"/>
  <c r="M106" i="535" s="1"/>
  <c r="N106" i="532"/>
  <c r="I107" i="532"/>
  <c r="I107" i="535" s="1"/>
  <c r="J107" i="532"/>
  <c r="J107" i="535" s="1"/>
  <c r="K107" i="532"/>
  <c r="L107" i="532"/>
  <c r="L107" i="535" s="1"/>
  <c r="M107" i="532"/>
  <c r="M107" i="535" s="1"/>
  <c r="N107" i="532"/>
  <c r="I108" i="532"/>
  <c r="I108" i="535" s="1"/>
  <c r="J108" i="532"/>
  <c r="J108" i="535" s="1"/>
  <c r="K108" i="532"/>
  <c r="L108" i="532"/>
  <c r="L108" i="535" s="1"/>
  <c r="M108" i="532"/>
  <c r="M108" i="535" s="1"/>
  <c r="N108" i="532"/>
  <c r="I109" i="532"/>
  <c r="I109" i="535" s="1"/>
  <c r="J109" i="532"/>
  <c r="J109" i="535" s="1"/>
  <c r="K109" i="532"/>
  <c r="L109" i="532"/>
  <c r="L109" i="535" s="1"/>
  <c r="M109" i="532"/>
  <c r="M109" i="535" s="1"/>
  <c r="N109" i="532"/>
  <c r="I110" i="532"/>
  <c r="I110" i="535" s="1"/>
  <c r="J110" i="532"/>
  <c r="J110" i="535" s="1"/>
  <c r="K110" i="532"/>
  <c r="L110" i="532"/>
  <c r="L110" i="535" s="1"/>
  <c r="M110" i="532"/>
  <c r="M110" i="535" s="1"/>
  <c r="N110" i="532"/>
  <c r="I111" i="532"/>
  <c r="I111" i="535" s="1"/>
  <c r="J111" i="532"/>
  <c r="J111" i="535" s="1"/>
  <c r="K111" i="532"/>
  <c r="L111" i="532"/>
  <c r="L111" i="535" s="1"/>
  <c r="M111" i="532"/>
  <c r="M111" i="535" s="1"/>
  <c r="N111" i="532"/>
  <c r="I112" i="532"/>
  <c r="I112" i="535" s="1"/>
  <c r="J112" i="532"/>
  <c r="J112" i="535" s="1"/>
  <c r="K112" i="532"/>
  <c r="L112" i="532"/>
  <c r="L112" i="535" s="1"/>
  <c r="M112" i="532"/>
  <c r="M112" i="535" s="1"/>
  <c r="N112" i="532"/>
  <c r="I113" i="532"/>
  <c r="I113" i="535" s="1"/>
  <c r="J113" i="532"/>
  <c r="J113" i="535" s="1"/>
  <c r="K113" i="532"/>
  <c r="L113" i="532"/>
  <c r="L113" i="535" s="1"/>
  <c r="M113" i="532"/>
  <c r="M113" i="535" s="1"/>
  <c r="N113" i="532"/>
  <c r="I114" i="532"/>
  <c r="I114" i="535" s="1"/>
  <c r="J114" i="532"/>
  <c r="J114" i="535" s="1"/>
  <c r="K114" i="532"/>
  <c r="L114" i="532"/>
  <c r="L114" i="535" s="1"/>
  <c r="M114" i="532"/>
  <c r="M114" i="535" s="1"/>
  <c r="N114" i="532"/>
  <c r="I115" i="532"/>
  <c r="I115" i="535" s="1"/>
  <c r="J115" i="532"/>
  <c r="J115" i="535" s="1"/>
  <c r="K115" i="532"/>
  <c r="L115" i="532"/>
  <c r="L115" i="535" s="1"/>
  <c r="M115" i="532"/>
  <c r="M115" i="535" s="1"/>
  <c r="N115" i="532"/>
  <c r="I116" i="532"/>
  <c r="I116" i="535" s="1"/>
  <c r="J116" i="532"/>
  <c r="J116" i="535" s="1"/>
  <c r="K116" i="532"/>
  <c r="L116" i="532"/>
  <c r="L116" i="535" s="1"/>
  <c r="M116" i="532"/>
  <c r="M116" i="535" s="1"/>
  <c r="N116" i="532"/>
  <c r="I117" i="532"/>
  <c r="I117" i="535" s="1"/>
  <c r="J117" i="532"/>
  <c r="J117" i="535" s="1"/>
  <c r="K117" i="532"/>
  <c r="L117" i="532"/>
  <c r="L117" i="535" s="1"/>
  <c r="M117" i="532"/>
  <c r="M117" i="535" s="1"/>
  <c r="N117" i="532"/>
  <c r="I118" i="532"/>
  <c r="I118" i="535" s="1"/>
  <c r="J118" i="532"/>
  <c r="J118" i="535" s="1"/>
  <c r="K118" i="532"/>
  <c r="L118" i="532"/>
  <c r="L118" i="535" s="1"/>
  <c r="M118" i="532"/>
  <c r="M118" i="535" s="1"/>
  <c r="N118" i="532"/>
  <c r="I119" i="532"/>
  <c r="I119" i="535" s="1"/>
  <c r="J119" i="532"/>
  <c r="J119" i="535" s="1"/>
  <c r="K119" i="532"/>
  <c r="L119" i="532"/>
  <c r="L119" i="535" s="1"/>
  <c r="M119" i="532"/>
  <c r="M119" i="535" s="1"/>
  <c r="N119" i="532"/>
  <c r="I120" i="532"/>
  <c r="I120" i="535" s="1"/>
  <c r="J120" i="532"/>
  <c r="J120" i="535" s="1"/>
  <c r="K120" i="532"/>
  <c r="L120" i="532"/>
  <c r="L120" i="535" s="1"/>
  <c r="M120" i="532"/>
  <c r="M120" i="535" s="1"/>
  <c r="N120" i="532"/>
  <c r="I121" i="532"/>
  <c r="I121" i="535" s="1"/>
  <c r="J121" i="532"/>
  <c r="J121" i="535" s="1"/>
  <c r="K121" i="532"/>
  <c r="L121" i="532"/>
  <c r="L121" i="535" s="1"/>
  <c r="M121" i="532"/>
  <c r="M121" i="535" s="1"/>
  <c r="N121" i="532"/>
  <c r="I122" i="532"/>
  <c r="I122" i="535" s="1"/>
  <c r="J122" i="532"/>
  <c r="J122" i="535" s="1"/>
  <c r="K122" i="532"/>
  <c r="L122" i="532"/>
  <c r="L122" i="535" s="1"/>
  <c r="M122" i="532"/>
  <c r="M122" i="535" s="1"/>
  <c r="N122" i="532"/>
  <c r="I123" i="532"/>
  <c r="I123" i="535" s="1"/>
  <c r="J123" i="532"/>
  <c r="J123" i="535" s="1"/>
  <c r="K123" i="532"/>
  <c r="L123" i="532"/>
  <c r="L123" i="535" s="1"/>
  <c r="M123" i="532"/>
  <c r="M123" i="535" s="1"/>
  <c r="N123" i="532"/>
  <c r="I124" i="532"/>
  <c r="I124" i="535" s="1"/>
  <c r="J124" i="532"/>
  <c r="J124" i="535" s="1"/>
  <c r="K124" i="532"/>
  <c r="L124" i="532"/>
  <c r="L124" i="535" s="1"/>
  <c r="M124" i="532"/>
  <c r="M124" i="535" s="1"/>
  <c r="N124" i="532"/>
  <c r="I125" i="532"/>
  <c r="I125" i="535" s="1"/>
  <c r="J125" i="532"/>
  <c r="J125" i="535" s="1"/>
  <c r="K125" i="532"/>
  <c r="L125" i="532"/>
  <c r="L125" i="535" s="1"/>
  <c r="M125" i="532"/>
  <c r="M125" i="535" s="1"/>
  <c r="N125" i="532"/>
  <c r="I126" i="532"/>
  <c r="I126" i="535" s="1"/>
  <c r="J126" i="532"/>
  <c r="J126" i="535" s="1"/>
  <c r="K126" i="532"/>
  <c r="L126" i="532"/>
  <c r="L126" i="535" s="1"/>
  <c r="M126" i="532"/>
  <c r="M126" i="535" s="1"/>
  <c r="N126" i="532"/>
  <c r="I127" i="532"/>
  <c r="I127" i="535" s="1"/>
  <c r="J127" i="532"/>
  <c r="J127" i="535" s="1"/>
  <c r="K127" i="532"/>
  <c r="L127" i="532"/>
  <c r="L127" i="535" s="1"/>
  <c r="M127" i="532"/>
  <c r="M127" i="535" s="1"/>
  <c r="N127" i="532"/>
  <c r="I128" i="532"/>
  <c r="I128" i="535" s="1"/>
  <c r="J128" i="532"/>
  <c r="J128" i="535" s="1"/>
  <c r="K128" i="532"/>
  <c r="L128" i="532"/>
  <c r="L128" i="535" s="1"/>
  <c r="M128" i="532"/>
  <c r="M128" i="535" s="1"/>
  <c r="N128" i="532"/>
  <c r="I129" i="532"/>
  <c r="I129" i="535" s="1"/>
  <c r="J129" i="532"/>
  <c r="J129" i="535" s="1"/>
  <c r="K129" i="532"/>
  <c r="L129" i="532"/>
  <c r="L129" i="535" s="1"/>
  <c r="M129" i="532"/>
  <c r="M129" i="535" s="1"/>
  <c r="N129" i="532"/>
  <c r="I130" i="532"/>
  <c r="I130" i="535" s="1"/>
  <c r="J130" i="532"/>
  <c r="J130" i="535" s="1"/>
  <c r="K130" i="532"/>
  <c r="L130" i="532"/>
  <c r="L130" i="535" s="1"/>
  <c r="M130" i="532"/>
  <c r="M130" i="535" s="1"/>
  <c r="N130" i="532"/>
  <c r="N31" i="532"/>
  <c r="D31" i="528" s="1"/>
  <c r="M31" i="532"/>
  <c r="M31" i="535" s="1"/>
  <c r="L31" i="532"/>
  <c r="L31" i="535" s="1"/>
  <c r="K31" i="532"/>
  <c r="H31" i="532" s="1"/>
  <c r="H31" i="535" s="1"/>
  <c r="J31" i="532"/>
  <c r="J31" i="535" s="1"/>
  <c r="I31" i="532"/>
  <c r="I31" i="535" s="1"/>
  <c r="O56" i="535" l="1"/>
  <c r="O47" i="535"/>
  <c r="O31" i="535"/>
  <c r="O96" i="535"/>
  <c r="E96" i="521"/>
  <c r="O75" i="535"/>
  <c r="E75" i="521"/>
  <c r="O95" i="535"/>
  <c r="E95" i="521"/>
  <c r="O94" i="535"/>
  <c r="E94" i="521"/>
  <c r="O70" i="535"/>
  <c r="E70" i="521"/>
  <c r="O92" i="535"/>
  <c r="E92" i="521"/>
  <c r="O91" i="535"/>
  <c r="E91" i="521"/>
  <c r="O67" i="535"/>
  <c r="E67" i="521"/>
  <c r="O40" i="535"/>
  <c r="E40" i="521"/>
  <c r="O87" i="535"/>
  <c r="E87" i="521"/>
  <c r="O38" i="535"/>
  <c r="E38" i="521"/>
  <c r="O37" i="535"/>
  <c r="E37" i="521"/>
  <c r="O36" i="535"/>
  <c r="E36" i="521"/>
  <c r="O107" i="535"/>
  <c r="O78" i="535"/>
  <c r="E78" i="521"/>
  <c r="O53" i="535"/>
  <c r="E53" i="521"/>
  <c r="O51" i="535"/>
  <c r="O52" i="535"/>
  <c r="E52" i="521"/>
  <c r="N104" i="535"/>
  <c r="D104" i="528"/>
  <c r="N126" i="535"/>
  <c r="D126" i="528"/>
  <c r="N107" i="535"/>
  <c r="D107" i="528"/>
  <c r="N118" i="535"/>
  <c r="D118" i="528"/>
  <c r="N129" i="535"/>
  <c r="D129" i="528"/>
  <c r="N114" i="535"/>
  <c r="D114" i="528"/>
  <c r="N110" i="535"/>
  <c r="D110" i="528"/>
  <c r="N99" i="535"/>
  <c r="D99" i="528"/>
  <c r="N125" i="535"/>
  <c r="D125" i="528"/>
  <c r="N106" i="535"/>
  <c r="D106" i="528"/>
  <c r="N127" i="535"/>
  <c r="D127" i="528"/>
  <c r="N123" i="535"/>
  <c r="D123" i="528"/>
  <c r="N111" i="535"/>
  <c r="D111" i="528"/>
  <c r="N103" i="535"/>
  <c r="D103" i="528"/>
  <c r="N108" i="535"/>
  <c r="D108" i="528"/>
  <c r="N130" i="535"/>
  <c r="D130" i="528"/>
  <c r="N119" i="535"/>
  <c r="D119" i="528"/>
  <c r="N115" i="535"/>
  <c r="D115" i="528"/>
  <c r="N100" i="535"/>
  <c r="D100" i="528"/>
  <c r="N122" i="535"/>
  <c r="D122" i="528"/>
  <c r="N121" i="535"/>
  <c r="D121" i="528"/>
  <c r="N117" i="535"/>
  <c r="D117" i="528"/>
  <c r="N113" i="535"/>
  <c r="D113" i="528"/>
  <c r="N102" i="535"/>
  <c r="D102" i="528"/>
  <c r="N128" i="535"/>
  <c r="D128" i="528"/>
  <c r="N109" i="535"/>
  <c r="D109" i="528"/>
  <c r="N124" i="535"/>
  <c r="D124" i="528"/>
  <c r="N120" i="535"/>
  <c r="D120" i="528"/>
  <c r="N105" i="535"/>
  <c r="D105" i="528"/>
  <c r="N116" i="535"/>
  <c r="D116" i="528"/>
  <c r="N112" i="535"/>
  <c r="D112" i="528"/>
  <c r="N101" i="535"/>
  <c r="D101" i="528"/>
  <c r="D39" i="528"/>
  <c r="H36" i="532"/>
  <c r="H36" i="535" s="1"/>
  <c r="D35" i="528"/>
  <c r="K39" i="535"/>
  <c r="D95" i="528"/>
  <c r="D91" i="528"/>
  <c r="D87" i="528"/>
  <c r="D83" i="528"/>
  <c r="D79" i="528"/>
  <c r="D75" i="528"/>
  <c r="D71" i="528"/>
  <c r="D67" i="528"/>
  <c r="D63" i="528"/>
  <c r="D59" i="528"/>
  <c r="D55" i="528"/>
  <c r="D51" i="528"/>
  <c r="D47" i="528"/>
  <c r="D43" i="528"/>
  <c r="D98" i="528"/>
  <c r="D94" i="528"/>
  <c r="D90" i="528"/>
  <c r="D86" i="528"/>
  <c r="D82" i="528"/>
  <c r="D78" i="528"/>
  <c r="D74" i="528"/>
  <c r="D70" i="528"/>
  <c r="D66" i="528"/>
  <c r="D62" i="528"/>
  <c r="D58" i="528"/>
  <c r="D54" i="528"/>
  <c r="D50" i="528"/>
  <c r="D46" i="528"/>
  <c r="D42" i="528"/>
  <c r="D38" i="528"/>
  <c r="D34" i="528"/>
  <c r="D97" i="528"/>
  <c r="D93" i="528"/>
  <c r="D89" i="528"/>
  <c r="D85" i="528"/>
  <c r="D81" i="528"/>
  <c r="D77" i="528"/>
  <c r="D73" i="528"/>
  <c r="D69" i="528"/>
  <c r="D65" i="528"/>
  <c r="D61" i="528"/>
  <c r="D57" i="528"/>
  <c r="D53" i="528"/>
  <c r="D49" i="528"/>
  <c r="D45" i="528"/>
  <c r="D41" i="528"/>
  <c r="D37" i="528"/>
  <c r="D33" i="528"/>
  <c r="D96" i="528"/>
  <c r="D92" i="528"/>
  <c r="D88" i="528"/>
  <c r="D84" i="528"/>
  <c r="D80" i="528"/>
  <c r="D76" i="528"/>
  <c r="D72" i="528"/>
  <c r="D68" i="528"/>
  <c r="D64" i="528"/>
  <c r="D60" i="528"/>
  <c r="D56" i="528"/>
  <c r="D52" i="528"/>
  <c r="D48" i="528"/>
  <c r="D44" i="528"/>
  <c r="D40" i="528"/>
  <c r="D36" i="528"/>
  <c r="D32" i="528"/>
  <c r="O39" i="535"/>
  <c r="O34" i="535"/>
  <c r="H34" i="532"/>
  <c r="H34" i="535" s="1"/>
  <c r="K34" i="535"/>
  <c r="O33" i="535"/>
  <c r="H33" i="532"/>
  <c r="H33" i="535" s="1"/>
  <c r="K33" i="535"/>
  <c r="O32" i="535"/>
  <c r="H32" i="532"/>
  <c r="H32" i="535" s="1"/>
  <c r="K32" i="535"/>
  <c r="H120" i="532"/>
  <c r="H120" i="535" s="1"/>
  <c r="K120" i="535"/>
  <c r="H85" i="532"/>
  <c r="H85" i="535" s="1"/>
  <c r="K85" i="535"/>
  <c r="H69" i="532"/>
  <c r="H69" i="535" s="1"/>
  <c r="K69" i="535"/>
  <c r="H54" i="532"/>
  <c r="H54" i="535" s="1"/>
  <c r="K54" i="535"/>
  <c r="H53" i="532"/>
  <c r="H53" i="535" s="1"/>
  <c r="K53" i="535"/>
  <c r="N131" i="532"/>
  <c r="N31" i="535"/>
  <c r="H130" i="532"/>
  <c r="H130" i="535" s="1"/>
  <c r="K130" i="535"/>
  <c r="H117" i="532"/>
  <c r="H117" i="535" s="1"/>
  <c r="K117" i="535"/>
  <c r="O116" i="535"/>
  <c r="H116" i="532"/>
  <c r="H116" i="535" s="1"/>
  <c r="K116" i="535"/>
  <c r="O115" i="535"/>
  <c r="H115" i="532"/>
  <c r="H115" i="535" s="1"/>
  <c r="K115" i="535"/>
  <c r="O114" i="535"/>
  <c r="H114" i="532"/>
  <c r="H114" i="535" s="1"/>
  <c r="K114" i="535"/>
  <c r="H113" i="532"/>
  <c r="H113" i="535" s="1"/>
  <c r="K113" i="535"/>
  <c r="H100" i="532"/>
  <c r="H100" i="535" s="1"/>
  <c r="K100" i="535"/>
  <c r="H99" i="532"/>
  <c r="H99" i="535" s="1"/>
  <c r="K99" i="535"/>
  <c r="O98" i="535"/>
  <c r="H98" i="532"/>
  <c r="H98" i="535" s="1"/>
  <c r="K98" i="535"/>
  <c r="O97" i="535"/>
  <c r="H97" i="532"/>
  <c r="H97" i="535" s="1"/>
  <c r="K97" i="535"/>
  <c r="H96" i="532"/>
  <c r="H96" i="535" s="1"/>
  <c r="K96" i="535"/>
  <c r="H95" i="532"/>
  <c r="H95" i="535" s="1"/>
  <c r="K95" i="535"/>
  <c r="H84" i="532"/>
  <c r="H84" i="535" s="1"/>
  <c r="K84" i="535"/>
  <c r="H83" i="532"/>
  <c r="H83" i="535" s="1"/>
  <c r="K83" i="535"/>
  <c r="O82" i="535"/>
  <c r="H82" i="532"/>
  <c r="H82" i="535" s="1"/>
  <c r="K82" i="535"/>
  <c r="O81" i="535"/>
  <c r="H81" i="532"/>
  <c r="H81" i="535" s="1"/>
  <c r="K81" i="535"/>
  <c r="H80" i="532"/>
  <c r="H80" i="535" s="1"/>
  <c r="K80" i="535"/>
  <c r="H79" i="532"/>
  <c r="H79" i="535" s="1"/>
  <c r="K79" i="535"/>
  <c r="H68" i="532"/>
  <c r="H68" i="535" s="1"/>
  <c r="K68" i="535"/>
  <c r="H67" i="532"/>
  <c r="H67" i="535" s="1"/>
  <c r="K67" i="535"/>
  <c r="O66" i="535"/>
  <c r="H66" i="532"/>
  <c r="H66" i="535" s="1"/>
  <c r="K66" i="535"/>
  <c r="O65" i="535"/>
  <c r="H65" i="532"/>
  <c r="H65" i="535" s="1"/>
  <c r="K65" i="535"/>
  <c r="H64" i="532"/>
  <c r="H64" i="535" s="1"/>
  <c r="K64" i="535"/>
  <c r="H63" i="532"/>
  <c r="H63" i="535" s="1"/>
  <c r="K63" i="535"/>
  <c r="H52" i="532"/>
  <c r="H52" i="535" s="1"/>
  <c r="K52" i="535"/>
  <c r="H51" i="532"/>
  <c r="H51" i="535" s="1"/>
  <c r="K51" i="535"/>
  <c r="O50" i="535"/>
  <c r="H50" i="532"/>
  <c r="H50" i="535" s="1"/>
  <c r="K50" i="535"/>
  <c r="O49" i="535"/>
  <c r="H49" i="532"/>
  <c r="H49" i="535" s="1"/>
  <c r="K49" i="535"/>
  <c r="H48" i="532"/>
  <c r="H48" i="535" s="1"/>
  <c r="K48" i="535"/>
  <c r="H47" i="532"/>
  <c r="H47" i="535" s="1"/>
  <c r="K47" i="535"/>
  <c r="K31" i="535"/>
  <c r="K35" i="535"/>
  <c r="H94" i="532"/>
  <c r="H94" i="535" s="1"/>
  <c r="K94" i="535"/>
  <c r="H93" i="532"/>
  <c r="H93" i="535" s="1"/>
  <c r="K93" i="535"/>
  <c r="H78" i="532"/>
  <c r="H78" i="535" s="1"/>
  <c r="K78" i="535"/>
  <c r="H77" i="532"/>
  <c r="H77" i="535" s="1"/>
  <c r="K77" i="535"/>
  <c r="H62" i="532"/>
  <c r="H62" i="535" s="1"/>
  <c r="K62" i="535"/>
  <c r="H61" i="532"/>
  <c r="H61" i="535" s="1"/>
  <c r="K61" i="535"/>
  <c r="H46" i="532"/>
  <c r="H46" i="535" s="1"/>
  <c r="K46" i="535"/>
  <c r="H45" i="532"/>
  <c r="H45" i="535" s="1"/>
  <c r="K45" i="535"/>
  <c r="O35" i="535"/>
  <c r="H119" i="532"/>
  <c r="H119" i="535" s="1"/>
  <c r="K119" i="535"/>
  <c r="H118" i="532"/>
  <c r="H118" i="535" s="1"/>
  <c r="K118" i="535"/>
  <c r="H102" i="532"/>
  <c r="H102" i="535" s="1"/>
  <c r="K102" i="535"/>
  <c r="H101" i="532"/>
  <c r="H101" i="535" s="1"/>
  <c r="K101" i="535"/>
  <c r="H86" i="532"/>
  <c r="H86" i="535" s="1"/>
  <c r="K86" i="535"/>
  <c r="H70" i="532"/>
  <c r="H70" i="535" s="1"/>
  <c r="K70" i="535"/>
  <c r="H129" i="532"/>
  <c r="H129" i="535" s="1"/>
  <c r="K129" i="535"/>
  <c r="H128" i="532"/>
  <c r="H128" i="535" s="1"/>
  <c r="K128" i="535"/>
  <c r="H127" i="532"/>
  <c r="H127" i="535" s="1"/>
  <c r="K127" i="535"/>
  <c r="H126" i="532"/>
  <c r="H126" i="535" s="1"/>
  <c r="K126" i="535"/>
  <c r="H112" i="532"/>
  <c r="H112" i="535" s="1"/>
  <c r="K112" i="535"/>
  <c r="H111" i="532"/>
  <c r="H111" i="535" s="1"/>
  <c r="K111" i="535"/>
  <c r="H110" i="532"/>
  <c r="H110" i="535" s="1"/>
  <c r="K110" i="535"/>
  <c r="H109" i="532"/>
  <c r="H109" i="535" s="1"/>
  <c r="K109" i="535"/>
  <c r="H125" i="532"/>
  <c r="H125" i="535" s="1"/>
  <c r="K125" i="535"/>
  <c r="O124" i="535"/>
  <c r="H124" i="532"/>
  <c r="H124" i="535" s="1"/>
  <c r="K124" i="535"/>
  <c r="O123" i="535"/>
  <c r="H123" i="532"/>
  <c r="H123" i="535" s="1"/>
  <c r="K123" i="535"/>
  <c r="O122" i="535"/>
  <c r="H122" i="532"/>
  <c r="H122" i="535" s="1"/>
  <c r="K122" i="535"/>
  <c r="H121" i="532"/>
  <c r="H121" i="535" s="1"/>
  <c r="K121" i="535"/>
  <c r="H108" i="532"/>
  <c r="H108" i="535" s="1"/>
  <c r="K108" i="535"/>
  <c r="H107" i="532"/>
  <c r="H107" i="535" s="1"/>
  <c r="K107" i="535"/>
  <c r="O106" i="535"/>
  <c r="H106" i="532"/>
  <c r="H106" i="535" s="1"/>
  <c r="K106" i="535"/>
  <c r="O105" i="535"/>
  <c r="H105" i="532"/>
  <c r="H105" i="535" s="1"/>
  <c r="K105" i="535"/>
  <c r="H104" i="532"/>
  <c r="H104" i="535" s="1"/>
  <c r="K104" i="535"/>
  <c r="H103" i="532"/>
  <c r="H103" i="535" s="1"/>
  <c r="K103" i="535"/>
  <c r="H92" i="532"/>
  <c r="H92" i="535" s="1"/>
  <c r="K92" i="535"/>
  <c r="H91" i="532"/>
  <c r="H91" i="535" s="1"/>
  <c r="K91" i="535"/>
  <c r="O90" i="535"/>
  <c r="H90" i="532"/>
  <c r="H90" i="535" s="1"/>
  <c r="K90" i="535"/>
  <c r="O89" i="535"/>
  <c r="H89" i="532"/>
  <c r="H89" i="535" s="1"/>
  <c r="K89" i="535"/>
  <c r="H88" i="532"/>
  <c r="H88" i="535" s="1"/>
  <c r="K88" i="535"/>
  <c r="H87" i="532"/>
  <c r="H87" i="535" s="1"/>
  <c r="K87" i="535"/>
  <c r="H76" i="532"/>
  <c r="H76" i="535" s="1"/>
  <c r="K76" i="535"/>
  <c r="H75" i="532"/>
  <c r="H75" i="535" s="1"/>
  <c r="K75" i="535"/>
  <c r="O74" i="535"/>
  <c r="H74" i="532"/>
  <c r="H74" i="535" s="1"/>
  <c r="K74" i="535"/>
  <c r="O73" i="535"/>
  <c r="H73" i="532"/>
  <c r="H73" i="535" s="1"/>
  <c r="K73" i="535"/>
  <c r="H72" i="532"/>
  <c r="H72" i="535" s="1"/>
  <c r="K72" i="535"/>
  <c r="H71" i="532"/>
  <c r="H71" i="535" s="1"/>
  <c r="K71" i="535"/>
  <c r="H60" i="532"/>
  <c r="H60" i="535" s="1"/>
  <c r="K60" i="535"/>
  <c r="H59" i="532"/>
  <c r="H59" i="535" s="1"/>
  <c r="K59" i="535"/>
  <c r="O58" i="535"/>
  <c r="H58" i="532"/>
  <c r="H58" i="535" s="1"/>
  <c r="K58" i="535"/>
  <c r="O57" i="535"/>
  <c r="H57" i="532"/>
  <c r="H57" i="535" s="1"/>
  <c r="K57" i="535"/>
  <c r="H56" i="532"/>
  <c r="H56" i="535" s="1"/>
  <c r="K56" i="535"/>
  <c r="H55" i="532"/>
  <c r="H55" i="535" s="1"/>
  <c r="K55" i="535"/>
  <c r="H44" i="532"/>
  <c r="H44" i="535" s="1"/>
  <c r="K44" i="535"/>
  <c r="H43" i="532"/>
  <c r="H43" i="535" s="1"/>
  <c r="K43" i="535"/>
  <c r="O42" i="535"/>
  <c r="H42" i="532"/>
  <c r="H42" i="535" s="1"/>
  <c r="K42" i="535"/>
  <c r="O41" i="535"/>
  <c r="H41" i="532"/>
  <c r="H41" i="535" s="1"/>
  <c r="K41" i="535"/>
  <c r="K40" i="535"/>
  <c r="K37" i="535"/>
  <c r="K38" i="535"/>
  <c r="C28" i="1"/>
  <c r="C27" i="1"/>
  <c r="C26" i="1"/>
  <c r="C19" i="1"/>
  <c r="AD32" i="477" s="1"/>
  <c r="C18" i="1"/>
  <c r="AA5" i="477" s="1"/>
  <c r="AD35" i="477"/>
  <c r="AD39" i="477"/>
  <c r="AD43" i="477"/>
  <c r="AD44" i="477"/>
  <c r="AD48" i="477"/>
  <c r="AD49" i="477"/>
  <c r="AD50" i="477"/>
  <c r="AD55" i="477"/>
  <c r="AD59" i="477"/>
  <c r="AD60" i="477"/>
  <c r="AD61" i="477"/>
  <c r="AD62" i="477"/>
  <c r="AD63" i="477"/>
  <c r="AD64" i="477"/>
  <c r="AD68" i="477"/>
  <c r="AD71" i="477"/>
  <c r="AD72" i="477"/>
  <c r="AD74" i="477"/>
  <c r="AD76" i="477"/>
  <c r="AD77" i="477"/>
  <c r="AD79" i="477"/>
  <c r="AD80" i="477"/>
  <c r="AD83" i="477"/>
  <c r="AD84" i="477"/>
  <c r="AD88" i="477"/>
  <c r="AD90" i="477"/>
  <c r="AD97" i="477"/>
  <c r="AD104" i="477"/>
  <c r="AD106" i="477"/>
  <c r="AD108" i="477"/>
  <c r="AD109" i="477"/>
  <c r="AD110" i="477"/>
  <c r="AD111" i="477"/>
  <c r="AD112" i="477"/>
  <c r="AD113" i="477"/>
  <c r="AD114" i="477"/>
  <c r="AD115" i="477"/>
  <c r="AD116" i="477"/>
  <c r="AD117" i="477"/>
  <c r="AD118" i="477"/>
  <c r="AD119" i="477"/>
  <c r="AD120" i="477"/>
  <c r="AD121" i="477"/>
  <c r="AD122" i="477"/>
  <c r="AD123" i="477"/>
  <c r="AD124" i="477"/>
  <c r="AD125" i="477"/>
  <c r="AD126" i="477"/>
  <c r="AD127" i="477"/>
  <c r="AD128" i="477"/>
  <c r="AD129" i="477"/>
  <c r="AD130" i="477"/>
  <c r="AD131" i="477"/>
  <c r="AD105" i="477" l="1"/>
  <c r="AD107" i="477"/>
  <c r="AD53" i="477"/>
  <c r="AD65" i="477"/>
  <c r="AD46" i="477"/>
  <c r="AD45" i="477"/>
  <c r="AD103" i="477"/>
  <c r="AD82" i="477"/>
  <c r="AD70" i="477"/>
  <c r="AD69" i="477"/>
  <c r="AD78" i="477"/>
  <c r="AD95" i="477"/>
  <c r="AD58" i="477"/>
  <c r="AD38" i="477"/>
  <c r="AD94" i="477"/>
  <c r="AD56" i="477"/>
  <c r="AD81" i="477"/>
  <c r="AD101" i="477"/>
  <c r="AD40" i="477"/>
  <c r="AD93" i="477"/>
  <c r="AD34" i="477"/>
  <c r="AD87" i="477"/>
  <c r="AD102" i="477"/>
  <c r="AD42" i="477"/>
  <c r="AD98" i="477"/>
  <c r="AD92" i="477"/>
  <c r="AD54" i="477"/>
  <c r="AD33" i="477"/>
  <c r="AD86" i="477"/>
  <c r="AD85" i="477"/>
  <c r="AD66" i="477"/>
  <c r="AD47" i="477"/>
  <c r="AD29" i="477"/>
  <c r="AD91" i="477"/>
  <c r="AD75" i="477"/>
  <c r="AD89" i="477"/>
  <c r="AD73" i="477"/>
  <c r="AD57" i="477"/>
  <c r="AD41" i="477"/>
  <c r="AD37" i="477"/>
  <c r="AD31" i="477"/>
  <c r="AD100" i="477"/>
  <c r="AD52" i="477"/>
  <c r="AD36" i="477"/>
  <c r="AD99" i="477"/>
  <c r="AD67" i="477"/>
  <c r="AD51" i="477"/>
  <c r="AD96" i="477"/>
  <c r="BU28" i="477"/>
  <c r="BU33" i="477" s="1"/>
  <c r="BU29" i="477"/>
  <c r="BU30" i="477"/>
  <c r="BU35" i="477"/>
  <c r="BU39" i="477"/>
  <c r="BU43" i="477"/>
  <c r="BU44" i="477"/>
  <c r="BU48" i="477"/>
  <c r="BU49" i="477"/>
  <c r="BU50" i="477"/>
  <c r="BU55" i="477"/>
  <c r="BU59" i="477"/>
  <c r="BU60" i="477"/>
  <c r="BU61" i="477"/>
  <c r="BU62" i="477"/>
  <c r="BU63" i="477"/>
  <c r="BU64" i="477"/>
  <c r="BU66" i="477"/>
  <c r="BU68" i="477"/>
  <c r="BU69" i="477"/>
  <c r="BU71" i="477"/>
  <c r="BU72" i="477"/>
  <c r="BU74" i="477"/>
  <c r="BU76" i="477"/>
  <c r="BU77" i="477"/>
  <c r="BU79" i="477"/>
  <c r="BU80" i="477"/>
  <c r="BU81" i="477"/>
  <c r="BU83" i="477"/>
  <c r="BU84" i="477"/>
  <c r="BU86" i="477"/>
  <c r="BU88" i="477"/>
  <c r="BU92" i="477"/>
  <c r="BU97" i="477"/>
  <c r="BU104" i="477"/>
  <c r="BU105" i="477"/>
  <c r="BU106" i="477"/>
  <c r="BU108" i="477"/>
  <c r="BU109" i="477"/>
  <c r="BU110" i="477"/>
  <c r="BU111" i="477"/>
  <c r="BU112" i="477"/>
  <c r="BU113" i="477"/>
  <c r="BU114" i="477"/>
  <c r="BU115" i="477"/>
  <c r="BU116" i="477"/>
  <c r="BU117" i="477"/>
  <c r="BU118" i="477"/>
  <c r="BU119" i="477"/>
  <c r="BU120" i="477"/>
  <c r="BU121" i="477"/>
  <c r="BU122" i="477"/>
  <c r="BU123" i="477"/>
  <c r="BU124" i="477"/>
  <c r="BU125" i="477"/>
  <c r="BU126" i="477"/>
  <c r="BU127" i="477"/>
  <c r="BU128" i="477"/>
  <c r="BU129" i="477"/>
  <c r="BU130" i="477"/>
  <c r="AE35" i="477" a="1"/>
  <c r="AE35" i="477" s="1"/>
  <c r="AE39" i="477" a="1"/>
  <c r="AE39" i="477" s="1"/>
  <c r="AE43" i="477" a="1"/>
  <c r="AE43" i="477" s="1"/>
  <c r="AE44" i="477" a="1"/>
  <c r="AE44" i="477" s="1"/>
  <c r="AE48" i="477" a="1"/>
  <c r="AE48" i="477" s="1"/>
  <c r="AE49" i="477" a="1"/>
  <c r="AE49" i="477" s="1"/>
  <c r="AE50" i="477" a="1"/>
  <c r="AE50" i="477" s="1"/>
  <c r="AE55" i="477" a="1"/>
  <c r="AE55" i="477" s="1"/>
  <c r="AE59" i="477" a="1"/>
  <c r="AE59" i="477" s="1"/>
  <c r="AE60" i="477" a="1"/>
  <c r="AE60" i="477" s="1"/>
  <c r="AE61" i="477" a="1"/>
  <c r="AE61" i="477" s="1"/>
  <c r="AE62" i="477" a="1"/>
  <c r="AE62" i="477" s="1"/>
  <c r="AE63" i="477" a="1"/>
  <c r="AE63" i="477" s="1"/>
  <c r="AE64" i="477" a="1"/>
  <c r="AE64" i="477" s="1"/>
  <c r="AE66" i="477" a="1"/>
  <c r="AE66" i="477" s="1"/>
  <c r="AE68" i="477" a="1"/>
  <c r="AE68" i="477" s="1"/>
  <c r="AE69" i="477" a="1"/>
  <c r="AE69" i="477" s="1"/>
  <c r="AE71" i="477" a="1"/>
  <c r="AE71" i="477" s="1"/>
  <c r="AE72" i="477" a="1"/>
  <c r="AE72" i="477" s="1"/>
  <c r="AE74" i="477" a="1"/>
  <c r="AE74" i="477" s="1"/>
  <c r="AE76" i="477" a="1"/>
  <c r="AE76" i="477" s="1"/>
  <c r="AE77" i="477" a="1"/>
  <c r="AE77" i="477" s="1"/>
  <c r="AE79" i="477" a="1"/>
  <c r="AE79" i="477" s="1"/>
  <c r="AE80" i="477" a="1"/>
  <c r="AE80" i="477" s="1"/>
  <c r="AE83" i="477" a="1"/>
  <c r="AE83" i="477" s="1"/>
  <c r="AE84" i="477" a="1"/>
  <c r="AE84" i="477" s="1"/>
  <c r="AE86" i="477" a="1"/>
  <c r="AE86" i="477" s="1"/>
  <c r="AE88" i="477" a="1"/>
  <c r="AE88" i="477" s="1"/>
  <c r="AE108" i="477" a="1"/>
  <c r="AE108" i="477" s="1"/>
  <c r="AE109" i="477" a="1"/>
  <c r="AE109" i="477" s="1"/>
  <c r="AE110" i="477" a="1"/>
  <c r="AE110" i="477" s="1"/>
  <c r="AE111" i="477" a="1"/>
  <c r="AE111" i="477" s="1"/>
  <c r="AE112" i="477" a="1"/>
  <c r="AE112" i="477" s="1"/>
  <c r="AE113" i="477" a="1"/>
  <c r="AE113" i="477" s="1"/>
  <c r="AE114" i="477" a="1"/>
  <c r="AE114" i="477" s="1"/>
  <c r="AE115" i="477" a="1"/>
  <c r="AE115" i="477" s="1"/>
  <c r="AE116" i="477" a="1"/>
  <c r="AE116" i="477" s="1"/>
  <c r="AE117" i="477" a="1"/>
  <c r="AE117" i="477" s="1"/>
  <c r="AE118" i="477" a="1"/>
  <c r="AE118" i="477" s="1"/>
  <c r="AE119" i="477" a="1"/>
  <c r="AE119" i="477" s="1"/>
  <c r="AE120" i="477" a="1"/>
  <c r="AE120" i="477" s="1"/>
  <c r="AE121" i="477" a="1"/>
  <c r="AE121" i="477" s="1"/>
  <c r="AE122" i="477" a="1"/>
  <c r="AE122" i="477" s="1"/>
  <c r="AE123" i="477" a="1"/>
  <c r="AE123" i="477" s="1"/>
  <c r="AE124" i="477" a="1"/>
  <c r="AE124" i="477" s="1"/>
  <c r="AE125" i="477" a="1"/>
  <c r="AE125" i="477" s="1"/>
  <c r="AE126" i="477" a="1"/>
  <c r="AE126" i="477" s="1"/>
  <c r="AE127" i="477" a="1"/>
  <c r="AE127" i="477" s="1"/>
  <c r="AE128" i="477" a="1"/>
  <c r="AE128" i="477" s="1"/>
  <c r="AE129" i="477" a="1"/>
  <c r="AE129" i="477" s="1"/>
  <c r="AE130" i="477" a="1"/>
  <c r="AE130" i="477" s="1"/>
  <c r="AE131" i="477" a="1"/>
  <c r="AE131" i="477" s="1"/>
  <c r="AB32" i="477"/>
  <c r="AC32" i="477"/>
  <c r="AB33" i="477"/>
  <c r="AC33" i="477"/>
  <c r="AB34" i="477"/>
  <c r="AC34" i="477"/>
  <c r="AB35" i="477"/>
  <c r="AC35" i="477"/>
  <c r="AB36" i="477"/>
  <c r="AC36" i="477"/>
  <c r="AB37" i="477"/>
  <c r="AC37" i="477"/>
  <c r="AB38" i="477"/>
  <c r="AC38" i="477"/>
  <c r="AB39" i="477"/>
  <c r="AC39" i="477"/>
  <c r="AB40" i="477"/>
  <c r="AC40" i="477"/>
  <c r="AB41" i="477"/>
  <c r="AC41" i="477"/>
  <c r="AB42" i="477"/>
  <c r="AC42" i="477"/>
  <c r="AB43" i="477"/>
  <c r="AC43" i="477"/>
  <c r="AB44" i="477"/>
  <c r="AC44" i="477"/>
  <c r="AB45" i="477"/>
  <c r="AC45" i="477"/>
  <c r="AB46" i="477"/>
  <c r="AC46" i="477"/>
  <c r="AB47" i="477"/>
  <c r="AC47" i="477"/>
  <c r="AB48" i="477"/>
  <c r="AC48" i="477"/>
  <c r="AB49" i="477"/>
  <c r="AC49" i="477"/>
  <c r="AB50" i="477"/>
  <c r="AC50" i="477"/>
  <c r="AB51" i="477"/>
  <c r="AC51" i="477"/>
  <c r="AB52" i="477"/>
  <c r="AC52" i="477"/>
  <c r="AB53" i="477"/>
  <c r="AC53" i="477"/>
  <c r="AB54" i="477"/>
  <c r="AC54" i="477"/>
  <c r="AB55" i="477"/>
  <c r="AC55" i="477"/>
  <c r="AB56" i="477"/>
  <c r="AC56" i="477"/>
  <c r="AB57" i="477"/>
  <c r="AC57" i="477"/>
  <c r="AB58" i="477"/>
  <c r="AC58" i="477"/>
  <c r="AB59" i="477"/>
  <c r="AC59" i="477"/>
  <c r="AB60" i="477"/>
  <c r="AC60" i="477"/>
  <c r="AB61" i="477"/>
  <c r="AC61" i="477"/>
  <c r="AB62" i="477"/>
  <c r="AC62" i="477"/>
  <c r="AB63" i="477"/>
  <c r="AC63" i="477"/>
  <c r="AB64" i="477"/>
  <c r="AC64" i="477"/>
  <c r="AB65" i="477"/>
  <c r="AC65" i="477"/>
  <c r="AB66" i="477"/>
  <c r="AC66" i="477"/>
  <c r="AB67" i="477"/>
  <c r="AC67" i="477"/>
  <c r="AB68" i="477"/>
  <c r="AC68" i="477"/>
  <c r="AB69" i="477"/>
  <c r="AC69" i="477"/>
  <c r="AB70" i="477"/>
  <c r="AC70" i="477"/>
  <c r="AB71" i="477"/>
  <c r="AC71" i="477"/>
  <c r="AB72" i="477"/>
  <c r="AC72" i="477"/>
  <c r="AB73" i="477"/>
  <c r="AC73" i="477"/>
  <c r="AB74" i="477"/>
  <c r="AC74" i="477"/>
  <c r="AB75" i="477"/>
  <c r="AC75" i="477"/>
  <c r="AB76" i="477"/>
  <c r="AC76" i="477"/>
  <c r="AB77" i="477"/>
  <c r="AC77" i="477"/>
  <c r="AB78" i="477"/>
  <c r="AC78" i="477"/>
  <c r="AB79" i="477"/>
  <c r="AC79" i="477"/>
  <c r="AB80" i="477"/>
  <c r="AC80" i="477"/>
  <c r="AB81" i="477"/>
  <c r="AC81" i="477"/>
  <c r="AE81" i="477" s="1" a="1"/>
  <c r="AE81" i="477" s="1"/>
  <c r="AB82" i="477"/>
  <c r="AC82" i="477"/>
  <c r="AB83" i="477"/>
  <c r="AC83" i="477"/>
  <c r="AB84" i="477"/>
  <c r="AC84" i="477"/>
  <c r="AB85" i="477"/>
  <c r="AC85" i="477"/>
  <c r="AB86" i="477"/>
  <c r="AC86" i="477"/>
  <c r="AB87" i="477"/>
  <c r="AC87" i="477"/>
  <c r="AB88" i="477"/>
  <c r="AC88" i="477"/>
  <c r="AB89" i="477"/>
  <c r="AC89" i="477"/>
  <c r="AB90" i="477"/>
  <c r="AC90" i="477"/>
  <c r="AB91" i="477"/>
  <c r="AC91" i="477"/>
  <c r="AB92" i="477"/>
  <c r="AC92" i="477"/>
  <c r="AB93" i="477"/>
  <c r="AC93" i="477"/>
  <c r="AB94" i="477"/>
  <c r="AC94" i="477"/>
  <c r="AB95" i="477"/>
  <c r="AC95" i="477"/>
  <c r="AB96" i="477"/>
  <c r="AC96" i="477"/>
  <c r="AB97" i="477"/>
  <c r="AC97" i="477"/>
  <c r="AB98" i="477"/>
  <c r="AC98" i="477"/>
  <c r="AB99" i="477"/>
  <c r="AC99" i="477"/>
  <c r="AB100" i="477"/>
  <c r="AC100" i="477"/>
  <c r="AB101" i="477"/>
  <c r="AC101" i="477"/>
  <c r="AB102" i="477"/>
  <c r="AC102" i="477"/>
  <c r="AB103" i="477"/>
  <c r="AC103" i="477"/>
  <c r="AB104" i="477"/>
  <c r="AE104" i="477" s="1" a="1"/>
  <c r="AE104" i="477" s="1"/>
  <c r="AC104" i="477"/>
  <c r="AB105" i="477"/>
  <c r="AC105" i="477"/>
  <c r="AB106" i="477"/>
  <c r="AC106" i="477"/>
  <c r="AB107" i="477"/>
  <c r="AC107" i="477"/>
  <c r="AE107" i="477" s="1" a="1"/>
  <c r="AE107" i="477" s="1"/>
  <c r="AB108" i="477"/>
  <c r="AC108" i="477"/>
  <c r="AB109" i="477"/>
  <c r="AC109" i="477"/>
  <c r="AB110" i="477"/>
  <c r="AC110" i="477"/>
  <c r="AB111" i="477"/>
  <c r="AC111" i="477"/>
  <c r="AB112" i="477"/>
  <c r="AC112" i="477"/>
  <c r="AB113" i="477"/>
  <c r="AC113" i="477"/>
  <c r="AB114" i="477"/>
  <c r="AC114" i="477"/>
  <c r="AB115" i="477"/>
  <c r="AC115" i="477"/>
  <c r="AB116" i="477"/>
  <c r="AC116" i="477"/>
  <c r="AB117" i="477"/>
  <c r="AC117" i="477"/>
  <c r="AB118" i="477"/>
  <c r="AC118" i="477"/>
  <c r="AB119" i="477"/>
  <c r="AC119" i="477"/>
  <c r="AB120" i="477"/>
  <c r="AC120" i="477"/>
  <c r="AB121" i="477"/>
  <c r="AC121" i="477"/>
  <c r="AB122" i="477"/>
  <c r="AC122" i="477"/>
  <c r="AB123" i="477"/>
  <c r="AC123" i="477"/>
  <c r="AB124" i="477"/>
  <c r="AC124" i="477"/>
  <c r="AB125" i="477"/>
  <c r="AC125" i="477"/>
  <c r="AB126" i="477"/>
  <c r="AC126" i="477"/>
  <c r="AB127" i="477"/>
  <c r="AC127" i="477"/>
  <c r="AB128" i="477"/>
  <c r="AC128" i="477"/>
  <c r="AB129" i="477"/>
  <c r="AC129" i="477"/>
  <c r="AB130" i="477"/>
  <c r="AC130" i="477"/>
  <c r="AC31" i="477"/>
  <c r="AB31" i="477"/>
  <c r="BC30" i="474"/>
  <c r="BD30" i="474"/>
  <c r="BE30" i="474"/>
  <c r="BF30" i="474"/>
  <c r="AE106" i="477" l="1" a="1"/>
  <c r="AE106" i="477" s="1"/>
  <c r="BU107" i="477"/>
  <c r="AE105" i="477" a="1"/>
  <c r="AE105" i="477" s="1"/>
  <c r="AE31" i="477" a="1"/>
  <c r="AE31" i="477" s="1"/>
  <c r="AF31" i="477" s="1" a="1"/>
  <c r="AF31" i="477" s="1"/>
  <c r="AE32" i="477" a="1"/>
  <c r="AE32" i="477" s="1"/>
  <c r="BU52" i="477"/>
  <c r="BU100" i="477"/>
  <c r="BU32" i="477"/>
  <c r="BU56" i="477"/>
  <c r="BU40" i="477"/>
  <c r="BU96" i="477"/>
  <c r="BU36" i="477"/>
  <c r="BU103" i="477"/>
  <c r="BU99" i="477"/>
  <c r="BU95" i="477"/>
  <c r="BU91" i="477"/>
  <c r="BU87" i="477"/>
  <c r="BU75" i="477"/>
  <c r="BU67" i="477"/>
  <c r="BU51" i="477"/>
  <c r="BU47" i="477"/>
  <c r="BU31" i="477"/>
  <c r="BU102" i="477"/>
  <c r="BU98" i="477"/>
  <c r="BU94" i="477"/>
  <c r="BU90" i="477"/>
  <c r="BU82" i="477"/>
  <c r="BU78" i="477"/>
  <c r="BU70" i="477"/>
  <c r="BU58" i="477"/>
  <c r="BU54" i="477"/>
  <c r="BU46" i="477"/>
  <c r="BU42" i="477"/>
  <c r="BU38" i="477"/>
  <c r="BU34" i="477"/>
  <c r="BU101" i="477"/>
  <c r="BU93" i="477"/>
  <c r="BU89" i="477"/>
  <c r="BU85" i="477"/>
  <c r="BU73" i="477"/>
  <c r="BU65" i="477"/>
  <c r="BU57" i="477"/>
  <c r="BU53" i="477"/>
  <c r="BU45" i="477"/>
  <c r="BU41" i="477"/>
  <c r="BU37" i="477"/>
  <c r="AE91" i="477" a="1"/>
  <c r="AE91" i="477" s="1"/>
  <c r="AE78" i="477" a="1"/>
  <c r="AE78" i="477" s="1"/>
  <c r="AE90" i="477" a="1"/>
  <c r="AE90" i="477" s="1"/>
  <c r="AE101" i="477" a="1"/>
  <c r="AE101" i="477" s="1"/>
  <c r="AE65" i="477" a="1"/>
  <c r="AE65" i="477" s="1"/>
  <c r="AE54" i="477" a="1"/>
  <c r="AE54" i="477" s="1"/>
  <c r="AE42" i="477" a="1"/>
  <c r="AE42" i="477" s="1"/>
  <c r="AE100" i="477" a="1"/>
  <c r="AE100" i="477" s="1"/>
  <c r="AE89" i="477" a="1"/>
  <c r="AE89" i="477" s="1"/>
  <c r="AE99" i="477" a="1"/>
  <c r="AE99" i="477" s="1"/>
  <c r="AE53" i="477" a="1"/>
  <c r="AE53" i="477" s="1"/>
  <c r="AE41" i="477" a="1"/>
  <c r="AE41" i="477" s="1"/>
  <c r="AE98" i="477" a="1"/>
  <c r="AE98" i="477" s="1"/>
  <c r="AE75" i="477" a="1"/>
  <c r="AE75" i="477" s="1"/>
  <c r="AE52" i="477" a="1"/>
  <c r="AE52" i="477" s="1"/>
  <c r="AE40" i="477" a="1"/>
  <c r="AE40" i="477" s="1"/>
  <c r="AE87" i="477" a="1"/>
  <c r="AE87" i="477" s="1"/>
  <c r="AE38" i="477" a="1"/>
  <c r="AE38" i="477" s="1"/>
  <c r="AE97" i="477" a="1"/>
  <c r="AE97" i="477" s="1"/>
  <c r="AE51" i="477" a="1"/>
  <c r="AE51" i="477" s="1"/>
  <c r="AE96" i="477" a="1"/>
  <c r="AE96" i="477" s="1"/>
  <c r="AE73" i="477" a="1"/>
  <c r="AE73" i="477" s="1"/>
  <c r="AE85" i="477" a="1"/>
  <c r="AE85" i="477" s="1"/>
  <c r="AE95" i="477" a="1"/>
  <c r="AE95" i="477" s="1"/>
  <c r="AE37" i="477" a="1"/>
  <c r="AE37" i="477" s="1"/>
  <c r="AE36" i="477" a="1"/>
  <c r="AE36" i="477" s="1"/>
  <c r="AE94" i="477" a="1"/>
  <c r="AE94" i="477" s="1"/>
  <c r="AE70" i="477" a="1"/>
  <c r="AE70" i="477" s="1"/>
  <c r="AE82" i="477" a="1"/>
  <c r="AE82" i="477" s="1"/>
  <c r="AE58" i="477" a="1"/>
  <c r="AE58" i="477" s="1"/>
  <c r="AE47" i="477" a="1"/>
  <c r="AE47" i="477" s="1"/>
  <c r="AE93" i="477" a="1"/>
  <c r="AE93" i="477" s="1"/>
  <c r="AE46" i="477" a="1"/>
  <c r="AE46" i="477" s="1"/>
  <c r="AE33" i="477" a="1"/>
  <c r="AE33" i="477" s="1"/>
  <c r="AE103" i="477" a="1"/>
  <c r="AE103" i="477" s="1"/>
  <c r="AE92" i="477" a="1"/>
  <c r="AE92" i="477" s="1"/>
  <c r="AE57" i="477" a="1"/>
  <c r="AE57" i="477" s="1"/>
  <c r="AE34" i="477" a="1"/>
  <c r="AE34" i="477" s="1"/>
  <c r="AE102" i="477" a="1"/>
  <c r="AE102" i="477" s="1"/>
  <c r="AE67" i="477" a="1"/>
  <c r="AE67" i="477" s="1"/>
  <c r="AE56" i="477" a="1"/>
  <c r="AE56" i="477" s="1"/>
  <c r="AE45" i="477" a="1"/>
  <c r="AE45" i="477" s="1"/>
  <c r="BA30" i="473"/>
  <c r="BB30" i="473"/>
  <c r="BC30" i="473"/>
  <c r="BD30" i="473"/>
  <c r="CW130" i="477"/>
  <c r="CV130" i="477"/>
  <c r="CU130" i="477"/>
  <c r="CW129" i="477"/>
  <c r="CV129" i="477"/>
  <c r="CU129" i="477"/>
  <c r="CW128" i="477"/>
  <c r="CV128" i="477"/>
  <c r="CU128" i="477"/>
  <c r="CW127" i="477"/>
  <c r="CV127" i="477"/>
  <c r="CU127" i="477"/>
  <c r="CW126" i="477"/>
  <c r="CV126" i="477"/>
  <c r="CU126" i="477"/>
  <c r="CW125" i="477"/>
  <c r="CV125" i="477"/>
  <c r="CU125" i="477"/>
  <c r="CW124" i="477"/>
  <c r="CV124" i="477"/>
  <c r="CU124" i="477"/>
  <c r="CW123" i="477"/>
  <c r="CV123" i="477"/>
  <c r="CU123" i="477"/>
  <c r="CW122" i="477"/>
  <c r="CV122" i="477"/>
  <c r="CU122" i="477"/>
  <c r="CW121" i="477"/>
  <c r="CV121" i="477"/>
  <c r="CU121" i="477"/>
  <c r="CW120" i="477"/>
  <c r="CV120" i="477"/>
  <c r="CU120" i="477"/>
  <c r="CW119" i="477"/>
  <c r="CV119" i="477"/>
  <c r="CU119" i="477"/>
  <c r="CW118" i="477"/>
  <c r="CV118" i="477"/>
  <c r="CU118" i="477"/>
  <c r="CW117" i="477"/>
  <c r="CV117" i="477"/>
  <c r="CU117" i="477"/>
  <c r="CW116" i="477"/>
  <c r="CV116" i="477"/>
  <c r="CU116" i="477"/>
  <c r="CW115" i="477"/>
  <c r="CV115" i="477"/>
  <c r="CU115" i="477"/>
  <c r="CW114" i="477"/>
  <c r="CV114" i="477"/>
  <c r="CU114" i="477"/>
  <c r="CW113" i="477"/>
  <c r="CV113" i="477"/>
  <c r="CU113" i="477"/>
  <c r="CW112" i="477"/>
  <c r="CV112" i="477"/>
  <c r="CU112" i="477"/>
  <c r="CW111" i="477"/>
  <c r="CV111" i="477"/>
  <c r="CU111" i="477"/>
  <c r="CW110" i="477"/>
  <c r="CV110" i="477"/>
  <c r="CU110" i="477"/>
  <c r="CW109" i="477"/>
  <c r="CV109" i="477"/>
  <c r="CU109" i="477"/>
  <c r="CW108" i="477"/>
  <c r="CV108" i="477"/>
  <c r="CU108" i="477"/>
  <c r="CW107" i="477"/>
  <c r="CV107" i="477"/>
  <c r="CU107" i="477"/>
  <c r="CW106" i="477"/>
  <c r="CV106" i="477"/>
  <c r="CU106" i="477"/>
  <c r="CW105" i="477"/>
  <c r="CV105" i="477"/>
  <c r="CU105" i="477"/>
  <c r="CW104" i="477"/>
  <c r="CV104" i="477"/>
  <c r="CU104" i="477"/>
  <c r="CW103" i="477"/>
  <c r="CV103" i="477"/>
  <c r="CU103" i="477"/>
  <c r="CW102" i="477"/>
  <c r="CV102" i="477"/>
  <c r="CU102" i="477"/>
  <c r="CW101" i="477"/>
  <c r="CV101" i="477"/>
  <c r="CU101" i="477"/>
  <c r="CW100" i="477"/>
  <c r="CV100" i="477"/>
  <c r="CU100" i="477"/>
  <c r="CW99" i="477"/>
  <c r="CV99" i="477"/>
  <c r="CU99" i="477"/>
  <c r="CW98" i="477"/>
  <c r="CV98" i="477"/>
  <c r="CU98" i="477"/>
  <c r="CW97" i="477"/>
  <c r="CV97" i="477"/>
  <c r="CU97" i="477"/>
  <c r="CW96" i="477"/>
  <c r="CV96" i="477"/>
  <c r="CU96" i="477"/>
  <c r="CW95" i="477"/>
  <c r="CV95" i="477"/>
  <c r="CU95" i="477"/>
  <c r="CW94" i="477"/>
  <c r="CV94" i="477"/>
  <c r="CU94" i="477"/>
  <c r="CW93" i="477"/>
  <c r="CV93" i="477"/>
  <c r="CU93" i="477"/>
  <c r="CW92" i="477"/>
  <c r="CV92" i="477"/>
  <c r="CU92" i="477"/>
  <c r="CW91" i="477"/>
  <c r="CV91" i="477"/>
  <c r="CU91" i="477"/>
  <c r="CW90" i="477"/>
  <c r="CV90" i="477"/>
  <c r="CU90" i="477"/>
  <c r="CW89" i="477"/>
  <c r="CV89" i="477"/>
  <c r="CU89" i="477"/>
  <c r="CW88" i="477"/>
  <c r="CV88" i="477"/>
  <c r="CU88" i="477"/>
  <c r="CW87" i="477"/>
  <c r="CV87" i="477"/>
  <c r="CU87" i="477"/>
  <c r="CW86" i="477"/>
  <c r="CV86" i="477"/>
  <c r="CU86" i="477"/>
  <c r="CW85" i="477"/>
  <c r="CV85" i="477"/>
  <c r="CU85" i="477"/>
  <c r="CW84" i="477"/>
  <c r="CV84" i="477"/>
  <c r="CU84" i="477"/>
  <c r="CW83" i="477"/>
  <c r="CV83" i="477"/>
  <c r="CU83" i="477"/>
  <c r="CW82" i="477"/>
  <c r="CV82" i="477"/>
  <c r="CU82" i="477"/>
  <c r="CW81" i="477"/>
  <c r="CV81" i="477"/>
  <c r="CU81" i="477"/>
  <c r="CW80" i="477"/>
  <c r="CV80" i="477"/>
  <c r="CU80" i="477"/>
  <c r="CW79" i="477"/>
  <c r="CV79" i="477"/>
  <c r="CU79" i="477"/>
  <c r="CW78" i="477"/>
  <c r="CV78" i="477"/>
  <c r="CU78" i="477"/>
  <c r="CW77" i="477"/>
  <c r="CV77" i="477"/>
  <c r="CU77" i="477"/>
  <c r="CW76" i="477"/>
  <c r="CV76" i="477"/>
  <c r="CU76" i="477"/>
  <c r="CW75" i="477"/>
  <c r="CV75" i="477"/>
  <c r="CU75" i="477"/>
  <c r="CW74" i="477"/>
  <c r="CV74" i="477"/>
  <c r="CU74" i="477"/>
  <c r="CW73" i="477"/>
  <c r="CV73" i="477"/>
  <c r="CU73" i="477"/>
  <c r="CW72" i="477"/>
  <c r="CV72" i="477"/>
  <c r="CU72" i="477"/>
  <c r="CW71" i="477"/>
  <c r="CV71" i="477"/>
  <c r="CU71" i="477"/>
  <c r="CW70" i="477"/>
  <c r="CV70" i="477"/>
  <c r="CU70" i="477"/>
  <c r="CW69" i="477"/>
  <c r="CV69" i="477"/>
  <c r="CU69" i="477"/>
  <c r="CW68" i="477"/>
  <c r="CV68" i="477"/>
  <c r="CU68" i="477"/>
  <c r="CW67" i="477"/>
  <c r="CV67" i="477"/>
  <c r="CU67" i="477"/>
  <c r="CW66" i="477"/>
  <c r="CV66" i="477"/>
  <c r="CU66" i="477"/>
  <c r="CW65" i="477"/>
  <c r="CV65" i="477"/>
  <c r="CU65" i="477"/>
  <c r="CW64" i="477"/>
  <c r="CV64" i="477"/>
  <c r="CU64" i="477"/>
  <c r="CW63" i="477"/>
  <c r="CV63" i="477"/>
  <c r="CU63" i="477"/>
  <c r="CW62" i="477"/>
  <c r="CV62" i="477"/>
  <c r="CU62" i="477"/>
  <c r="CW61" i="477"/>
  <c r="CV61" i="477"/>
  <c r="CU61" i="477"/>
  <c r="CW60" i="477"/>
  <c r="CV60" i="477"/>
  <c r="CU60" i="477"/>
  <c r="CW59" i="477"/>
  <c r="CV59" i="477"/>
  <c r="CU59" i="477"/>
  <c r="CW58" i="477"/>
  <c r="CV58" i="477"/>
  <c r="CU58" i="477"/>
  <c r="CW57" i="477"/>
  <c r="CV57" i="477"/>
  <c r="CU57" i="477"/>
  <c r="CW56" i="477"/>
  <c r="CV56" i="477"/>
  <c r="CU56" i="477"/>
  <c r="CW55" i="477"/>
  <c r="CV55" i="477"/>
  <c r="CU55" i="477"/>
  <c r="CW54" i="477"/>
  <c r="CV54" i="477"/>
  <c r="CU54" i="477"/>
  <c r="CW53" i="477"/>
  <c r="CV53" i="477"/>
  <c r="CU53" i="477"/>
  <c r="CW52" i="477"/>
  <c r="CV52" i="477"/>
  <c r="CU52" i="477"/>
  <c r="CW51" i="477"/>
  <c r="CV51" i="477"/>
  <c r="CU51" i="477"/>
  <c r="CW50" i="477"/>
  <c r="CV50" i="477"/>
  <c r="CU50" i="477"/>
  <c r="CW49" i="477"/>
  <c r="CV49" i="477"/>
  <c r="CU49" i="477"/>
  <c r="CW48" i="477"/>
  <c r="CV48" i="477"/>
  <c r="CU48" i="477"/>
  <c r="CW47" i="477"/>
  <c r="CV47" i="477"/>
  <c r="CU47" i="477"/>
  <c r="CW46" i="477"/>
  <c r="CV46" i="477"/>
  <c r="CU46" i="477"/>
  <c r="CW45" i="477"/>
  <c r="CV45" i="477"/>
  <c r="CU45" i="477"/>
  <c r="CW44" i="477"/>
  <c r="CV44" i="477"/>
  <c r="CU44" i="477"/>
  <c r="CW43" i="477"/>
  <c r="CV43" i="477"/>
  <c r="CU43" i="477"/>
  <c r="CW42" i="477"/>
  <c r="CV42" i="477"/>
  <c r="CU42" i="477"/>
  <c r="CW41" i="477"/>
  <c r="CV41" i="477"/>
  <c r="CU41" i="477"/>
  <c r="CW40" i="477"/>
  <c r="CV40" i="477"/>
  <c r="CU40" i="477"/>
  <c r="CW39" i="477"/>
  <c r="CV39" i="477"/>
  <c r="CU39" i="477"/>
  <c r="CW38" i="477"/>
  <c r="CV38" i="477"/>
  <c r="CU38" i="477"/>
  <c r="CW37" i="477"/>
  <c r="CV37" i="477"/>
  <c r="CU37" i="477"/>
  <c r="CW36" i="477"/>
  <c r="CV36" i="477"/>
  <c r="CU36" i="477"/>
  <c r="CW35" i="477"/>
  <c r="CV35" i="477"/>
  <c r="CU35" i="477"/>
  <c r="CW34" i="477"/>
  <c r="CV34" i="477"/>
  <c r="CU34" i="477"/>
  <c r="CW33" i="477"/>
  <c r="CV33" i="477"/>
  <c r="CU33" i="477"/>
  <c r="CW32" i="477"/>
  <c r="CV32" i="477"/>
  <c r="CU32" i="477"/>
  <c r="CW31" i="477"/>
  <c r="CV31" i="477"/>
  <c r="CU31" i="477"/>
  <c r="CX74" i="477"/>
  <c r="CX104" i="477"/>
  <c r="CX108" i="477"/>
  <c r="CX109" i="477"/>
  <c r="CX110" i="477"/>
  <c r="CX111" i="477"/>
  <c r="CX112" i="477"/>
  <c r="CX113" i="477"/>
  <c r="CX114" i="477"/>
  <c r="CX115" i="477"/>
  <c r="CX116" i="477"/>
  <c r="CX117" i="477"/>
  <c r="CX118" i="477"/>
  <c r="CX119" i="477"/>
  <c r="CX120" i="477"/>
  <c r="CX121" i="477"/>
  <c r="CX122" i="477"/>
  <c r="CX123" i="477"/>
  <c r="CX124" i="477"/>
  <c r="CX125" i="477"/>
  <c r="CX126" i="477"/>
  <c r="CX127" i="477"/>
  <c r="CX128" i="477"/>
  <c r="CX129" i="477"/>
  <c r="CX130" i="477"/>
  <c r="Q130" i="477"/>
  <c r="Q129" i="477"/>
  <c r="Q128" i="477"/>
  <c r="Q127" i="477"/>
  <c r="Q126" i="477"/>
  <c r="Q125" i="477"/>
  <c r="Q124" i="477"/>
  <c r="Q123" i="477"/>
  <c r="Q122" i="477"/>
  <c r="Q121" i="477"/>
  <c r="Q120" i="477"/>
  <c r="Q119" i="477"/>
  <c r="Q118" i="477"/>
  <c r="Q117" i="477"/>
  <c r="Q116" i="477"/>
  <c r="Q115" i="477"/>
  <c r="Q114" i="477"/>
  <c r="Q113" i="477"/>
  <c r="Q112" i="477"/>
  <c r="Q111" i="477"/>
  <c r="Q110" i="477"/>
  <c r="Q109" i="477"/>
  <c r="Q108" i="477"/>
  <c r="Q107" i="477"/>
  <c r="Q106" i="477"/>
  <c r="Q105" i="477"/>
  <c r="Q104" i="477"/>
  <c r="Q103" i="477"/>
  <c r="Q102" i="477"/>
  <c r="Q101" i="477"/>
  <c r="Q100" i="477"/>
  <c r="Q99" i="477"/>
  <c r="Q98" i="477"/>
  <c r="Q97" i="477"/>
  <c r="Q96" i="477"/>
  <c r="Q95" i="477"/>
  <c r="Q94" i="477"/>
  <c r="Q93" i="477"/>
  <c r="Q92" i="477"/>
  <c r="Q91" i="477"/>
  <c r="Q90" i="477"/>
  <c r="Q89" i="477"/>
  <c r="Q88" i="477"/>
  <c r="Q87" i="477"/>
  <c r="Q86" i="477"/>
  <c r="Q85" i="477"/>
  <c r="Q84" i="477"/>
  <c r="Q83" i="477"/>
  <c r="Q82" i="477"/>
  <c r="Q81" i="477"/>
  <c r="Q80" i="477"/>
  <c r="Q79" i="477"/>
  <c r="Q78" i="477"/>
  <c r="Q77" i="477"/>
  <c r="Q76" i="477"/>
  <c r="Q75" i="477"/>
  <c r="Q74" i="477"/>
  <c r="Q73" i="477"/>
  <c r="Q72" i="477"/>
  <c r="Q71" i="477"/>
  <c r="Q70" i="477"/>
  <c r="Q69" i="477"/>
  <c r="Q68" i="477"/>
  <c r="Q67" i="477"/>
  <c r="Q66" i="477"/>
  <c r="Q65" i="477"/>
  <c r="Q64" i="477"/>
  <c r="Q63" i="477"/>
  <c r="Q62" i="477"/>
  <c r="Q61" i="477"/>
  <c r="Q60" i="477"/>
  <c r="Q59" i="477"/>
  <c r="Q58" i="477"/>
  <c r="Q57" i="477"/>
  <c r="Q56" i="477"/>
  <c r="Q55" i="477"/>
  <c r="Q54" i="477"/>
  <c r="Q53" i="477"/>
  <c r="Q52" i="477"/>
  <c r="Q51" i="477"/>
  <c r="Q50" i="477"/>
  <c r="Q49" i="477"/>
  <c r="Q48" i="477"/>
  <c r="Q47" i="477"/>
  <c r="Q46" i="477"/>
  <c r="Q45" i="477"/>
  <c r="Q44" i="477"/>
  <c r="Q43" i="477"/>
  <c r="Q42" i="477"/>
  <c r="Q41" i="477"/>
  <c r="Q40" i="477"/>
  <c r="Q39" i="477"/>
  <c r="Q38" i="477"/>
  <c r="Q37" i="477"/>
  <c r="Q36" i="477"/>
  <c r="Q35" i="477"/>
  <c r="Q34" i="477"/>
  <c r="Q33" i="477"/>
  <c r="Q32" i="477"/>
  <c r="Q31" i="477"/>
  <c r="O131" i="472"/>
  <c r="N131" i="472"/>
  <c r="M131" i="472"/>
  <c r="L131" i="472"/>
  <c r="J131" i="472"/>
  <c r="I131" i="472"/>
  <c r="H131" i="472"/>
  <c r="H8" i="472"/>
  <c r="H7" i="472"/>
  <c r="H6" i="472"/>
  <c r="H5" i="472"/>
  <c r="H4" i="472"/>
  <c r="H131" i="558" l="1"/>
  <c r="G131" i="558"/>
  <c r="G131" i="476"/>
  <c r="H131" i="475"/>
  <c r="J131" i="474"/>
  <c r="I131" i="474"/>
  <c r="G131" i="473"/>
  <c r="G29" i="471"/>
  <c r="W3" i="473"/>
  <c r="W2" i="473"/>
  <c r="W3" i="471"/>
  <c r="W2" i="471"/>
  <c r="W3" i="469"/>
  <c r="W2" i="469"/>
  <c r="E28" i="472"/>
  <c r="D28" i="472"/>
  <c r="C28" i="472"/>
  <c r="H131" i="469"/>
  <c r="G29" i="469"/>
  <c r="AU28" i="536"/>
  <c r="AT28" i="536"/>
  <c r="AS28" i="536"/>
  <c r="AR28" i="536"/>
  <c r="AQ28" i="536"/>
  <c r="AP28" i="536"/>
  <c r="AO28" i="536"/>
  <c r="AN28" i="536"/>
  <c r="AM28" i="536"/>
  <c r="AL28" i="536"/>
  <c r="AK28" i="536"/>
  <c r="AJ28" i="536"/>
  <c r="AI28" i="536"/>
  <c r="AH28" i="536"/>
  <c r="AG28" i="536"/>
  <c r="AF28" i="536"/>
  <c r="N29" i="536"/>
  <c r="M29" i="536"/>
  <c r="L29" i="536"/>
  <c r="AE130" i="469" l="1"/>
  <c r="AE129" i="469"/>
  <c r="AE128" i="469"/>
  <c r="AE127" i="469"/>
  <c r="AE126" i="469"/>
  <c r="AE125" i="469"/>
  <c r="AE124" i="469"/>
  <c r="AE123" i="469"/>
  <c r="AE122" i="469"/>
  <c r="AE121" i="469"/>
  <c r="AE120" i="469"/>
  <c r="AE119" i="469"/>
  <c r="AE118" i="469"/>
  <c r="AE117" i="469"/>
  <c r="AE116" i="469"/>
  <c r="AE115" i="469"/>
  <c r="AE114" i="469"/>
  <c r="AE113" i="469"/>
  <c r="AE112" i="469"/>
  <c r="AE111" i="469"/>
  <c r="AE110" i="469"/>
  <c r="AE109" i="469"/>
  <c r="AE108" i="469"/>
  <c r="AE104" i="469"/>
  <c r="AE103" i="469"/>
  <c r="AE102" i="469"/>
  <c r="AE101" i="469"/>
  <c r="AE100" i="469"/>
  <c r="AE99" i="469"/>
  <c r="AE88" i="469"/>
  <c r="AE83" i="469"/>
  <c r="AE80" i="469"/>
  <c r="AE79" i="469"/>
  <c r="AE74" i="469"/>
  <c r="AE61" i="469"/>
  <c r="AE48" i="469"/>
  <c r="AE43" i="469"/>
  <c r="AE39" i="469"/>
  <c r="AL130" i="472"/>
  <c r="AK130" i="472"/>
  <c r="AJ130" i="472"/>
  <c r="AI130" i="472"/>
  <c r="AH130" i="472"/>
  <c r="AG130" i="472"/>
  <c r="AF130" i="472"/>
  <c r="AE130" i="472"/>
  <c r="AL129" i="472"/>
  <c r="AK129" i="472"/>
  <c r="AJ129" i="472"/>
  <c r="AI129" i="472"/>
  <c r="AH129" i="472"/>
  <c r="AG129" i="472"/>
  <c r="AF129" i="472"/>
  <c r="AE129" i="472"/>
  <c r="AL128" i="472"/>
  <c r="AK128" i="472"/>
  <c r="AJ128" i="472"/>
  <c r="AI128" i="472"/>
  <c r="AH128" i="472"/>
  <c r="AG128" i="472"/>
  <c r="AF128" i="472"/>
  <c r="AE128" i="472"/>
  <c r="AL127" i="472"/>
  <c r="AK127" i="472"/>
  <c r="AJ127" i="472"/>
  <c r="AI127" i="472"/>
  <c r="AH127" i="472"/>
  <c r="AG127" i="472"/>
  <c r="AF127" i="472"/>
  <c r="AE127" i="472"/>
  <c r="AL126" i="472"/>
  <c r="AK126" i="472"/>
  <c r="AJ126" i="472"/>
  <c r="AI126" i="472"/>
  <c r="AH126" i="472"/>
  <c r="AG126" i="472"/>
  <c r="AF126" i="472"/>
  <c r="AE126" i="472"/>
  <c r="AL125" i="472"/>
  <c r="AK125" i="472"/>
  <c r="AJ125" i="472"/>
  <c r="AI125" i="472"/>
  <c r="AH125" i="472"/>
  <c r="AG125" i="472"/>
  <c r="AF125" i="472"/>
  <c r="AE125" i="472"/>
  <c r="AL124" i="472"/>
  <c r="AK124" i="472"/>
  <c r="AJ124" i="472"/>
  <c r="AI124" i="472"/>
  <c r="AH124" i="472"/>
  <c r="AG124" i="472"/>
  <c r="AF124" i="472"/>
  <c r="AE124" i="472"/>
  <c r="AL123" i="472"/>
  <c r="AK123" i="472"/>
  <c r="AJ123" i="472"/>
  <c r="AI123" i="472"/>
  <c r="AH123" i="472"/>
  <c r="AG123" i="472"/>
  <c r="AF123" i="472"/>
  <c r="AE123" i="472"/>
  <c r="AL122" i="472"/>
  <c r="AK122" i="472"/>
  <c r="AJ122" i="472"/>
  <c r="AI122" i="472"/>
  <c r="AH122" i="472"/>
  <c r="AG122" i="472"/>
  <c r="AF122" i="472"/>
  <c r="AE122" i="472"/>
  <c r="AL121" i="472"/>
  <c r="AK121" i="472"/>
  <c r="AJ121" i="472"/>
  <c r="AI121" i="472"/>
  <c r="AH121" i="472"/>
  <c r="AG121" i="472"/>
  <c r="AF121" i="472"/>
  <c r="AE121" i="472"/>
  <c r="AL120" i="472"/>
  <c r="AK120" i="472"/>
  <c r="AJ120" i="472"/>
  <c r="AI120" i="472"/>
  <c r="AH120" i="472"/>
  <c r="AG120" i="472"/>
  <c r="AF120" i="472"/>
  <c r="AE120" i="472"/>
  <c r="AL119" i="472"/>
  <c r="AK119" i="472"/>
  <c r="AJ119" i="472"/>
  <c r="AI119" i="472"/>
  <c r="AH119" i="472"/>
  <c r="AG119" i="472"/>
  <c r="AF119" i="472"/>
  <c r="AE119" i="472"/>
  <c r="AL118" i="472"/>
  <c r="AK118" i="472"/>
  <c r="AJ118" i="472"/>
  <c r="AI118" i="472"/>
  <c r="AH118" i="472"/>
  <c r="AG118" i="472"/>
  <c r="AF118" i="472"/>
  <c r="AE118" i="472"/>
  <c r="AL117" i="472"/>
  <c r="AK117" i="472"/>
  <c r="AJ117" i="472"/>
  <c r="AI117" i="472"/>
  <c r="AH117" i="472"/>
  <c r="AG117" i="472"/>
  <c r="AF117" i="472"/>
  <c r="AE117" i="472"/>
  <c r="AL116" i="472"/>
  <c r="AK116" i="472"/>
  <c r="AJ116" i="472"/>
  <c r="AI116" i="472"/>
  <c r="AH116" i="472"/>
  <c r="AG116" i="472"/>
  <c r="AF116" i="472"/>
  <c r="AE116" i="472"/>
  <c r="AL115" i="472"/>
  <c r="AK115" i="472"/>
  <c r="AJ115" i="472"/>
  <c r="AI115" i="472"/>
  <c r="AH115" i="472"/>
  <c r="AG115" i="472"/>
  <c r="AF115" i="472"/>
  <c r="AE115" i="472"/>
  <c r="AL114" i="472"/>
  <c r="AK114" i="472"/>
  <c r="AJ114" i="472"/>
  <c r="AI114" i="472"/>
  <c r="AH114" i="472"/>
  <c r="AG114" i="472"/>
  <c r="AF114" i="472"/>
  <c r="AE114" i="472"/>
  <c r="AL113" i="472"/>
  <c r="AK113" i="472"/>
  <c r="AJ113" i="472"/>
  <c r="AI113" i="472"/>
  <c r="AH113" i="472"/>
  <c r="AG113" i="472"/>
  <c r="AF113" i="472"/>
  <c r="AE113" i="472"/>
  <c r="AL112" i="472"/>
  <c r="AK112" i="472"/>
  <c r="AJ112" i="472"/>
  <c r="AI112" i="472"/>
  <c r="AH112" i="472"/>
  <c r="AG112" i="472"/>
  <c r="AF112" i="472"/>
  <c r="AE112" i="472"/>
  <c r="AL111" i="472"/>
  <c r="AK111" i="472"/>
  <c r="AJ111" i="472"/>
  <c r="AI111" i="472"/>
  <c r="AH111" i="472"/>
  <c r="AG111" i="472"/>
  <c r="AF111" i="472"/>
  <c r="AE111" i="472"/>
  <c r="AL110" i="472"/>
  <c r="AK110" i="472"/>
  <c r="AJ110" i="472"/>
  <c r="AI110" i="472"/>
  <c r="AH110" i="472"/>
  <c r="AG110" i="472"/>
  <c r="AF110" i="472"/>
  <c r="AE110" i="472"/>
  <c r="AL109" i="472"/>
  <c r="AK109" i="472"/>
  <c r="AJ109" i="472"/>
  <c r="AI109" i="472"/>
  <c r="AH109" i="472"/>
  <c r="AG109" i="472"/>
  <c r="AF109" i="472"/>
  <c r="AE109" i="472"/>
  <c r="AL108" i="472"/>
  <c r="AK108" i="472"/>
  <c r="AJ108" i="472"/>
  <c r="AI108" i="472"/>
  <c r="AH108" i="472"/>
  <c r="AG108" i="472"/>
  <c r="AF108" i="472"/>
  <c r="AE108" i="472"/>
  <c r="AL107" i="472"/>
  <c r="AK107" i="472"/>
  <c r="AJ107" i="472"/>
  <c r="AI107" i="472"/>
  <c r="AH107" i="472"/>
  <c r="AG107" i="472"/>
  <c r="AF107" i="472"/>
  <c r="AE107" i="472"/>
  <c r="AJ106" i="472"/>
  <c r="AF106" i="472"/>
  <c r="AJ105" i="472"/>
  <c r="AF105" i="472"/>
  <c r="AL104" i="472"/>
  <c r="AK104" i="472"/>
  <c r="AJ104" i="472"/>
  <c r="AI104" i="472"/>
  <c r="AH104" i="472"/>
  <c r="AG104" i="472"/>
  <c r="AF104" i="472"/>
  <c r="AE104" i="472"/>
  <c r="AL103" i="472"/>
  <c r="AK103" i="472"/>
  <c r="AH103" i="472"/>
  <c r="AG103" i="472"/>
  <c r="AL102" i="472"/>
  <c r="AK102" i="472"/>
  <c r="AH102" i="472"/>
  <c r="AG102" i="472"/>
  <c r="AL101" i="472"/>
  <c r="AK101" i="472"/>
  <c r="AH101" i="472"/>
  <c r="AG101" i="472"/>
  <c r="AL100" i="472"/>
  <c r="AK100" i="472"/>
  <c r="AH100" i="472"/>
  <c r="AG100" i="472"/>
  <c r="AL99" i="472"/>
  <c r="AK99" i="472"/>
  <c r="AH99" i="472"/>
  <c r="AG99" i="472"/>
  <c r="AL88" i="472"/>
  <c r="AK88" i="472"/>
  <c r="AJ88" i="472"/>
  <c r="AI88" i="472"/>
  <c r="AH88" i="472"/>
  <c r="AG88" i="472"/>
  <c r="AF88" i="472"/>
  <c r="AE88" i="472"/>
  <c r="AJ84" i="472"/>
  <c r="AI84" i="472"/>
  <c r="AF84" i="472"/>
  <c r="AE84" i="472"/>
  <c r="AJ83" i="472"/>
  <c r="AI83" i="472"/>
  <c r="AF83" i="472"/>
  <c r="AE83" i="472"/>
  <c r="AL80" i="472"/>
  <c r="AK80" i="472"/>
  <c r="AJ80" i="472"/>
  <c r="AI80" i="472"/>
  <c r="AH80" i="472"/>
  <c r="AG80" i="472"/>
  <c r="AF80" i="472"/>
  <c r="AE80" i="472"/>
  <c r="AJ79" i="472"/>
  <c r="AI79" i="472"/>
  <c r="AF79" i="472"/>
  <c r="AE79" i="472"/>
  <c r="AJ77" i="472"/>
  <c r="AI77" i="472"/>
  <c r="AF77" i="472"/>
  <c r="AE77" i="472"/>
  <c r="AJ76" i="472"/>
  <c r="AI76" i="472"/>
  <c r="AF76" i="472"/>
  <c r="AE76" i="472"/>
  <c r="AL74" i="472"/>
  <c r="AK74" i="472"/>
  <c r="AJ74" i="472"/>
  <c r="AI74" i="472"/>
  <c r="AH74" i="472"/>
  <c r="AG74" i="472"/>
  <c r="AF74" i="472"/>
  <c r="AE74" i="472"/>
  <c r="AJ72" i="472"/>
  <c r="AI72" i="472"/>
  <c r="AF72" i="472"/>
  <c r="AE72" i="472"/>
  <c r="AL61" i="472"/>
  <c r="AK61" i="472"/>
  <c r="AJ61" i="472"/>
  <c r="AI61" i="472"/>
  <c r="AH61" i="472"/>
  <c r="AG61" i="472"/>
  <c r="AF61" i="472"/>
  <c r="AE61" i="472"/>
  <c r="AL55" i="472"/>
  <c r="AK55" i="472"/>
  <c r="AJ55" i="472"/>
  <c r="AI55" i="472"/>
  <c r="AH55" i="472"/>
  <c r="AG55" i="472"/>
  <c r="AF55" i="472"/>
  <c r="AE55" i="472"/>
  <c r="AL48" i="472"/>
  <c r="AK48" i="472"/>
  <c r="AJ48" i="472"/>
  <c r="AI48" i="472"/>
  <c r="AH48" i="472"/>
  <c r="AG48" i="472"/>
  <c r="AF48" i="472"/>
  <c r="AE48" i="472"/>
  <c r="AK44" i="472"/>
  <c r="AL43" i="472"/>
  <c r="AK43" i="472"/>
  <c r="AJ43" i="472"/>
  <c r="AI43" i="472"/>
  <c r="AH43" i="472"/>
  <c r="AG43" i="472"/>
  <c r="AF43" i="472"/>
  <c r="AE43" i="472"/>
  <c r="AL39" i="472"/>
  <c r="AK39" i="472"/>
  <c r="AJ39" i="472"/>
  <c r="AI39" i="472"/>
  <c r="AH39" i="472"/>
  <c r="AG39" i="472"/>
  <c r="AF39" i="472"/>
  <c r="AE39" i="472"/>
  <c r="AG130" i="474"/>
  <c r="AG129" i="474"/>
  <c r="AG128" i="474"/>
  <c r="AG127" i="474"/>
  <c r="AG126" i="474"/>
  <c r="AG125" i="474"/>
  <c r="AG124" i="474"/>
  <c r="AG123" i="474"/>
  <c r="AG122" i="474"/>
  <c r="AG121" i="474"/>
  <c r="AG120" i="474"/>
  <c r="AG119" i="474"/>
  <c r="AG118" i="474"/>
  <c r="AG117" i="474"/>
  <c r="AG116" i="474"/>
  <c r="AG115" i="474"/>
  <c r="AG114" i="474"/>
  <c r="AG113" i="474"/>
  <c r="AG112" i="474"/>
  <c r="AG111" i="474"/>
  <c r="AG110" i="474"/>
  <c r="AG109" i="474"/>
  <c r="AG108" i="474"/>
  <c r="AG104" i="474"/>
  <c r="AG103" i="474"/>
  <c r="AG102" i="474"/>
  <c r="AG99" i="474"/>
  <c r="AG88" i="474"/>
  <c r="AG84" i="474"/>
  <c r="AG80" i="474"/>
  <c r="AG76" i="474"/>
  <c r="AG74" i="474"/>
  <c r="AG72" i="474"/>
  <c r="AG61" i="474"/>
  <c r="AG55" i="474"/>
  <c r="AG48" i="474"/>
  <c r="AG43" i="474"/>
  <c r="AG39" i="474"/>
  <c r="AE130" i="475"/>
  <c r="AE129" i="475"/>
  <c r="AE128" i="475"/>
  <c r="AE127" i="475"/>
  <c r="AE126" i="475"/>
  <c r="AE125" i="475"/>
  <c r="AE124" i="475"/>
  <c r="AE123" i="475"/>
  <c r="AE122" i="475"/>
  <c r="AE121" i="475"/>
  <c r="AE120" i="475"/>
  <c r="AE119" i="475"/>
  <c r="AE118" i="475"/>
  <c r="AE117" i="475"/>
  <c r="AE116" i="475"/>
  <c r="AE115" i="475"/>
  <c r="AE114" i="475"/>
  <c r="AE113" i="475"/>
  <c r="AE112" i="475"/>
  <c r="AE111" i="475"/>
  <c r="AE110" i="475"/>
  <c r="AE109" i="475"/>
  <c r="AE108" i="475"/>
  <c r="AE106" i="475"/>
  <c r="AE104" i="475"/>
  <c r="AE101" i="475"/>
  <c r="AE88" i="475"/>
  <c r="AE80" i="475"/>
  <c r="AE77" i="475"/>
  <c r="AE74" i="475"/>
  <c r="AE61" i="475"/>
  <c r="AE55" i="475"/>
  <c r="AE48" i="475"/>
  <c r="AE43" i="475"/>
  <c r="AE39" i="475"/>
  <c r="AE130" i="558"/>
  <c r="AE129" i="558"/>
  <c r="AE128" i="558"/>
  <c r="AE127" i="558"/>
  <c r="AE126" i="558"/>
  <c r="AE125" i="558"/>
  <c r="AE124" i="558"/>
  <c r="AE123" i="558"/>
  <c r="AE122" i="558"/>
  <c r="AE121" i="558"/>
  <c r="AE120" i="558"/>
  <c r="AE119" i="558"/>
  <c r="AE118" i="558"/>
  <c r="AE117" i="558"/>
  <c r="AE116" i="558"/>
  <c r="AE115" i="558"/>
  <c r="AE114" i="558"/>
  <c r="AE113" i="558"/>
  <c r="AE112" i="558"/>
  <c r="AE111" i="558"/>
  <c r="AE110" i="558"/>
  <c r="AE109" i="558"/>
  <c r="AE108" i="558"/>
  <c r="AE106" i="558"/>
  <c r="AE104" i="558"/>
  <c r="AE102" i="558"/>
  <c r="AE88" i="558"/>
  <c r="AE83" i="558"/>
  <c r="AE80" i="558"/>
  <c r="AE79" i="558"/>
  <c r="AE74" i="558"/>
  <c r="AE68" i="558"/>
  <c r="AE61" i="558"/>
  <c r="AE55" i="558"/>
  <c r="AE48" i="558"/>
  <c r="AE43" i="558"/>
  <c r="AE39" i="558"/>
  <c r="AV28" i="469"/>
  <c r="AU28" i="469"/>
  <c r="AT28" i="469"/>
  <c r="AS28" i="469"/>
  <c r="AR28" i="469"/>
  <c r="AQ28" i="469"/>
  <c r="AP28" i="469"/>
  <c r="AO28" i="469"/>
  <c r="AN28" i="469"/>
  <c r="AM28" i="469"/>
  <c r="AL28" i="469"/>
  <c r="AK28" i="469"/>
  <c r="AJ28" i="469"/>
  <c r="AI28" i="469"/>
  <c r="AH28" i="469"/>
  <c r="AG28" i="469"/>
  <c r="AF28" i="469"/>
  <c r="AE28" i="469"/>
  <c r="AE82" i="469" s="1"/>
  <c r="AV28" i="471"/>
  <c r="AU28" i="471"/>
  <c r="AT28" i="471"/>
  <c r="AS28" i="471"/>
  <c r="AR28" i="471"/>
  <c r="AQ28" i="471"/>
  <c r="AP28" i="471"/>
  <c r="AO28" i="471"/>
  <c r="AN28" i="471"/>
  <c r="AM28" i="471"/>
  <c r="AL28" i="471"/>
  <c r="AK28" i="471"/>
  <c r="AJ28" i="471"/>
  <c r="AI28" i="471"/>
  <c r="AH28" i="471"/>
  <c r="AG28" i="471"/>
  <c r="AF28" i="471"/>
  <c r="AE28" i="471"/>
  <c r="AV28" i="472"/>
  <c r="AU28" i="472"/>
  <c r="AT28" i="472"/>
  <c r="AS28" i="472"/>
  <c r="AR28" i="472"/>
  <c r="AQ28" i="472"/>
  <c r="AP28" i="472"/>
  <c r="AO28" i="472"/>
  <c r="AN28" i="472"/>
  <c r="AM28" i="472"/>
  <c r="AL28" i="472"/>
  <c r="AL84" i="472" s="1"/>
  <c r="AK28" i="472"/>
  <c r="AK84" i="472" s="1"/>
  <c r="AJ28" i="472"/>
  <c r="AJ66" i="472" s="1"/>
  <c r="AI28" i="472"/>
  <c r="AI66" i="472" s="1"/>
  <c r="AH28" i="472"/>
  <c r="AH66" i="472" s="1"/>
  <c r="AG28" i="472"/>
  <c r="AG66" i="472" s="1"/>
  <c r="AF28" i="472"/>
  <c r="AF66" i="472" s="1"/>
  <c r="AE28" i="472"/>
  <c r="AE66" i="472" s="1"/>
  <c r="AV28" i="473"/>
  <c r="AU28" i="473"/>
  <c r="AT28" i="473"/>
  <c r="AS28" i="473"/>
  <c r="AR28" i="473"/>
  <c r="AQ28" i="473"/>
  <c r="AP28" i="473"/>
  <c r="AO28" i="473"/>
  <c r="AN28" i="473"/>
  <c r="AM28" i="473"/>
  <c r="AL28" i="473"/>
  <c r="AK28" i="473"/>
  <c r="AJ28" i="473"/>
  <c r="AI28" i="473"/>
  <c r="AH28" i="473"/>
  <c r="AG28" i="473"/>
  <c r="AF28" i="473"/>
  <c r="AE28" i="473"/>
  <c r="AX28" i="474"/>
  <c r="AW28" i="474"/>
  <c r="AV28" i="474"/>
  <c r="AU28" i="474"/>
  <c r="AT28" i="474"/>
  <c r="AS28" i="474"/>
  <c r="AR28" i="474"/>
  <c r="AQ28" i="474"/>
  <c r="AP28" i="474"/>
  <c r="AO28" i="474"/>
  <c r="AN28" i="474"/>
  <c r="AM28" i="474"/>
  <c r="AL28" i="474"/>
  <c r="AK28" i="474"/>
  <c r="AJ28" i="474"/>
  <c r="AI28" i="474"/>
  <c r="AH28" i="474"/>
  <c r="AG28" i="474"/>
  <c r="AG60" i="474" s="1"/>
  <c r="AV28" i="475"/>
  <c r="AU28" i="475"/>
  <c r="AT28" i="475"/>
  <c r="AS28" i="475"/>
  <c r="AR28" i="475"/>
  <c r="AQ28" i="475"/>
  <c r="AP28" i="475"/>
  <c r="AO28" i="475"/>
  <c r="AN28" i="475"/>
  <c r="AM28" i="475"/>
  <c r="AL28" i="475"/>
  <c r="AK28" i="475"/>
  <c r="AJ28" i="475"/>
  <c r="AI28" i="475"/>
  <c r="AH28" i="475"/>
  <c r="AG28" i="475"/>
  <c r="AF28" i="475"/>
  <c r="AE28" i="475"/>
  <c r="AE100" i="475" s="1"/>
  <c r="AV28" i="476"/>
  <c r="AU28" i="476"/>
  <c r="AT28" i="476"/>
  <c r="AS28" i="476"/>
  <c r="AR28" i="476"/>
  <c r="AQ28" i="476"/>
  <c r="AP28" i="476"/>
  <c r="AO28" i="476"/>
  <c r="AN28" i="476"/>
  <c r="AM28" i="476"/>
  <c r="AL28" i="476"/>
  <c r="AK28" i="476"/>
  <c r="AJ28" i="476"/>
  <c r="AI28" i="476"/>
  <c r="AH28" i="476"/>
  <c r="AG28" i="476"/>
  <c r="AF28" i="476"/>
  <c r="AE28" i="476"/>
  <c r="AV28" i="558"/>
  <c r="AU28" i="558"/>
  <c r="AT28" i="558"/>
  <c r="AS28" i="558"/>
  <c r="AR28" i="558"/>
  <c r="AQ28" i="558"/>
  <c r="AP28" i="558"/>
  <c r="AO28" i="558"/>
  <c r="AN28" i="558"/>
  <c r="AM28" i="558"/>
  <c r="AL28" i="558"/>
  <c r="AK28" i="558"/>
  <c r="AJ28" i="558"/>
  <c r="AI28" i="558"/>
  <c r="AH28" i="558"/>
  <c r="AG28" i="558"/>
  <c r="AF28" i="558"/>
  <c r="AE28" i="558"/>
  <c r="AE101" i="558" s="1"/>
  <c r="G6" i="558"/>
  <c r="F6" i="558"/>
  <c r="G5" i="558"/>
  <c r="F5" i="558"/>
  <c r="G4" i="558"/>
  <c r="F4" i="558"/>
  <c r="T131" i="476"/>
  <c r="S131" i="476"/>
  <c r="R131" i="476"/>
  <c r="Q131" i="476"/>
  <c r="P131" i="476"/>
  <c r="O131" i="476"/>
  <c r="N131" i="476"/>
  <c r="M131" i="476"/>
  <c r="L131" i="476"/>
  <c r="K131" i="476"/>
  <c r="J131" i="476"/>
  <c r="I131" i="476"/>
  <c r="H131" i="476"/>
  <c r="T29" i="476"/>
  <c r="S29" i="476"/>
  <c r="R29" i="476"/>
  <c r="Q29" i="476"/>
  <c r="E29" i="476"/>
  <c r="D29" i="476"/>
  <c r="C29" i="476"/>
  <c r="G9" i="475"/>
  <c r="F9" i="475"/>
  <c r="G8" i="475"/>
  <c r="F8" i="475"/>
  <c r="G7" i="475"/>
  <c r="F7" i="475"/>
  <c r="J9" i="474"/>
  <c r="I9" i="474"/>
  <c r="J8" i="474"/>
  <c r="I8" i="474"/>
  <c r="J7" i="474"/>
  <c r="I7" i="474"/>
  <c r="G8" i="473"/>
  <c r="F8" i="473"/>
  <c r="G7" i="473"/>
  <c r="F7" i="473"/>
  <c r="G6" i="473"/>
  <c r="F6" i="473"/>
  <c r="G8" i="472"/>
  <c r="F8" i="472"/>
  <c r="G7" i="472"/>
  <c r="F7" i="472"/>
  <c r="G6" i="469"/>
  <c r="F6" i="469"/>
  <c r="B240" i="1"/>
  <c r="B260" i="1"/>
  <c r="B280" i="1"/>
  <c r="B300" i="1"/>
  <c r="B320" i="1"/>
  <c r="X131" i="558"/>
  <c r="V131" i="558"/>
  <c r="T131" i="558"/>
  <c r="S131" i="558"/>
  <c r="R131" i="558"/>
  <c r="Q131" i="558"/>
  <c r="P131" i="558"/>
  <c r="O131" i="558"/>
  <c r="N131" i="558"/>
  <c r="M131" i="558"/>
  <c r="L131" i="558"/>
  <c r="K131" i="558"/>
  <c r="J131" i="558"/>
  <c r="I131" i="558"/>
  <c r="AD130" i="558"/>
  <c r="AD129" i="558"/>
  <c r="AD128" i="558"/>
  <c r="AD127" i="558"/>
  <c r="AD126" i="558"/>
  <c r="AD125" i="558"/>
  <c r="AD124" i="558"/>
  <c r="AD123" i="558"/>
  <c r="AD122" i="558"/>
  <c r="AD121" i="558"/>
  <c r="AD120" i="558"/>
  <c r="AD119" i="558"/>
  <c r="AD118" i="558"/>
  <c r="AD117" i="558"/>
  <c r="AD116" i="558"/>
  <c r="AD115" i="558"/>
  <c r="AD114" i="558"/>
  <c r="AD113" i="558"/>
  <c r="AD112" i="558"/>
  <c r="AD111" i="558"/>
  <c r="AD110" i="558"/>
  <c r="AD109" i="558"/>
  <c r="AD108" i="558"/>
  <c r="AD106" i="558"/>
  <c r="AD104" i="558"/>
  <c r="AD103" i="558"/>
  <c r="AD100" i="558"/>
  <c r="AD99" i="558"/>
  <c r="AD88" i="558"/>
  <c r="AD80" i="558"/>
  <c r="AD77" i="558"/>
  <c r="AD74" i="558"/>
  <c r="AD61" i="558"/>
  <c r="AD55" i="558"/>
  <c r="AD48" i="558"/>
  <c r="AD43" i="558"/>
  <c r="AD39" i="558"/>
  <c r="BJ30" i="558"/>
  <c r="BI30" i="558"/>
  <c r="BH30" i="558"/>
  <c r="BG30" i="558"/>
  <c r="BF30" i="558"/>
  <c r="BE30" i="558"/>
  <c r="BD30" i="558"/>
  <c r="BC30" i="558"/>
  <c r="BB30" i="558"/>
  <c r="BA30" i="558"/>
  <c r="AV30" i="558"/>
  <c r="AU30" i="558"/>
  <c r="AT30" i="558"/>
  <c r="AS30" i="558"/>
  <c r="AR30" i="558"/>
  <c r="AQ30" i="558"/>
  <c r="AP30" i="558"/>
  <c r="AO30" i="558"/>
  <c r="AN30" i="558"/>
  <c r="AM30" i="558"/>
  <c r="AL30" i="558"/>
  <c r="AK30" i="558"/>
  <c r="AJ30" i="558"/>
  <c r="AI30" i="558"/>
  <c r="AH30" i="558"/>
  <c r="AG30" i="558"/>
  <c r="AF30" i="558"/>
  <c r="AE30" i="558"/>
  <c r="AD30" i="558"/>
  <c r="AV29" i="558"/>
  <c r="AU29" i="558"/>
  <c r="AT29" i="558"/>
  <c r="AS29" i="558"/>
  <c r="AR29" i="558"/>
  <c r="AM29" i="558"/>
  <c r="AL29" i="558"/>
  <c r="AK29" i="558"/>
  <c r="AJ29" i="558"/>
  <c r="AI29" i="558"/>
  <c r="AH29" i="558"/>
  <c r="AG29" i="558"/>
  <c r="AF29" i="558"/>
  <c r="AE29" i="558"/>
  <c r="AD29" i="558"/>
  <c r="T29" i="558"/>
  <c r="AQ29" i="558" s="1"/>
  <c r="S29" i="558"/>
  <c r="AP29" i="558" s="1"/>
  <c r="R29" i="558"/>
  <c r="AO29" i="558" s="1"/>
  <c r="Q29" i="558"/>
  <c r="AN29" i="558" s="1"/>
  <c r="E29" i="558"/>
  <c r="D29" i="558"/>
  <c r="C29" i="558"/>
  <c r="AD28" i="558"/>
  <c r="AD102" i="558" s="1"/>
  <c r="F23" i="558"/>
  <c r="Z3" i="558"/>
  <c r="Y3" i="558"/>
  <c r="U3" i="558"/>
  <c r="AK2" i="558"/>
  <c r="AJ2" i="558"/>
  <c r="AI2" i="558"/>
  <c r="AH2" i="558"/>
  <c r="AG2" i="558"/>
  <c r="AF2" i="558"/>
  <c r="AE2" i="558"/>
  <c r="Z2" i="558"/>
  <c r="Y2" i="558"/>
  <c r="U2" i="558"/>
  <c r="B1" i="558"/>
  <c r="G23" i="558" s="1"/>
  <c r="AD28" i="471"/>
  <c r="AE107" i="469" l="1"/>
  <c r="AD107" i="558"/>
  <c r="AE107" i="558"/>
  <c r="AE107" i="475"/>
  <c r="AG106" i="474"/>
  <c r="AG105" i="472"/>
  <c r="AK105" i="472"/>
  <c r="AG106" i="472"/>
  <c r="AK106" i="472"/>
  <c r="AG105" i="474"/>
  <c r="AG107" i="474"/>
  <c r="AH105" i="472"/>
  <c r="AL105" i="472"/>
  <c r="AH106" i="472"/>
  <c r="AL106" i="472"/>
  <c r="AE105" i="469"/>
  <c r="AD105" i="558"/>
  <c r="AE105" i="558"/>
  <c r="AE105" i="472"/>
  <c r="AI105" i="472"/>
  <c r="AE106" i="472"/>
  <c r="AI106" i="472"/>
  <c r="AE106" i="469"/>
  <c r="AE105" i="475"/>
  <c r="AD92" i="558"/>
  <c r="AE94" i="558"/>
  <c r="AE93" i="475"/>
  <c r="AG95" i="474"/>
  <c r="AJ75" i="472"/>
  <c r="AH91" i="472"/>
  <c r="AL91" i="472"/>
  <c r="AL92" i="472"/>
  <c r="AL93" i="472"/>
  <c r="AL94" i="472"/>
  <c r="AL95" i="472"/>
  <c r="AL96" i="472"/>
  <c r="AL97" i="472"/>
  <c r="AH98" i="472"/>
  <c r="AL98" i="472"/>
  <c r="AD95" i="558"/>
  <c r="AE98" i="558"/>
  <c r="AE97" i="475"/>
  <c r="AG98" i="474"/>
  <c r="AE75" i="472"/>
  <c r="AE91" i="472"/>
  <c r="AI91" i="472"/>
  <c r="AG92" i="472"/>
  <c r="AG93" i="472"/>
  <c r="AG94" i="472"/>
  <c r="AG95" i="472"/>
  <c r="AG96" i="472"/>
  <c r="AG97" i="472"/>
  <c r="AE98" i="472"/>
  <c r="AI98" i="472"/>
  <c r="AD96" i="558"/>
  <c r="AE75" i="558"/>
  <c r="AE98" i="475"/>
  <c r="AG91" i="474"/>
  <c r="AF75" i="472"/>
  <c r="AF91" i="472"/>
  <c r="AJ91" i="472"/>
  <c r="AH92" i="472"/>
  <c r="AH93" i="472"/>
  <c r="AH94" i="472"/>
  <c r="AH95" i="472"/>
  <c r="AH96" i="472"/>
  <c r="AH97" i="472"/>
  <c r="AF98" i="472"/>
  <c r="AJ98" i="472"/>
  <c r="AE91" i="469"/>
  <c r="AD91" i="558"/>
  <c r="AD98" i="558"/>
  <c r="AE91" i="558"/>
  <c r="AE91" i="475"/>
  <c r="AG94" i="474"/>
  <c r="AI75" i="472"/>
  <c r="AG91" i="472"/>
  <c r="AK91" i="472"/>
  <c r="AK92" i="472"/>
  <c r="AK93" i="472"/>
  <c r="AK94" i="472"/>
  <c r="AK95" i="472"/>
  <c r="AK96" i="472"/>
  <c r="AK97" i="472"/>
  <c r="AG98" i="472"/>
  <c r="AK98" i="472"/>
  <c r="AE95" i="469"/>
  <c r="AE95" i="558"/>
  <c r="AE99" i="558"/>
  <c r="AE103" i="558"/>
  <c r="AE94" i="475"/>
  <c r="AE102" i="475"/>
  <c r="AE92" i="469"/>
  <c r="AE96" i="469"/>
  <c r="AD93" i="558"/>
  <c r="AD97" i="558"/>
  <c r="AD101" i="558"/>
  <c r="AE92" i="558"/>
  <c r="AE96" i="558"/>
  <c r="AE100" i="558"/>
  <c r="AA100" i="558" s="1"/>
  <c r="AE95" i="475"/>
  <c r="AE99" i="475"/>
  <c r="AE103" i="475"/>
  <c r="AG92" i="474"/>
  <c r="AG96" i="474"/>
  <c r="AG100" i="474"/>
  <c r="AE92" i="472"/>
  <c r="AI92" i="472"/>
  <c r="AE93" i="472"/>
  <c r="AI93" i="472"/>
  <c r="AE94" i="472"/>
  <c r="AI94" i="472"/>
  <c r="AE95" i="472"/>
  <c r="AI95" i="472"/>
  <c r="AE96" i="472"/>
  <c r="AI96" i="472"/>
  <c r="AE97" i="472"/>
  <c r="AI97" i="472"/>
  <c r="AE99" i="472"/>
  <c r="AI99" i="472"/>
  <c r="AE100" i="472"/>
  <c r="AI100" i="472"/>
  <c r="AE101" i="472"/>
  <c r="AI101" i="472"/>
  <c r="AE102" i="472"/>
  <c r="AI102" i="472"/>
  <c r="AE103" i="472"/>
  <c r="AI103" i="472"/>
  <c r="AE93" i="469"/>
  <c r="AE97" i="469"/>
  <c r="AD94" i="558"/>
  <c r="AA94" i="558" s="1"/>
  <c r="AE93" i="558"/>
  <c r="AE97" i="558"/>
  <c r="AE92" i="475"/>
  <c r="AE96" i="475"/>
  <c r="AG93" i="474"/>
  <c r="AG97" i="474"/>
  <c r="AG101" i="474"/>
  <c r="AF92" i="472"/>
  <c r="AJ92" i="472"/>
  <c r="AF93" i="472"/>
  <c r="AJ93" i="472"/>
  <c r="AF94" i="472"/>
  <c r="AJ94" i="472"/>
  <c r="AF95" i="472"/>
  <c r="AJ95" i="472"/>
  <c r="AF96" i="472"/>
  <c r="AJ96" i="472"/>
  <c r="AF97" i="472"/>
  <c r="AJ97" i="472"/>
  <c r="AF99" i="472"/>
  <c r="AJ99" i="472"/>
  <c r="AF100" i="472"/>
  <c r="AJ100" i="472"/>
  <c r="AF101" i="472"/>
  <c r="AJ101" i="472"/>
  <c r="AF102" i="472"/>
  <c r="AJ102" i="472"/>
  <c r="AF103" i="472"/>
  <c r="AJ103" i="472"/>
  <c r="AE75" i="469"/>
  <c r="AE94" i="469"/>
  <c r="AE98" i="469"/>
  <c r="AD66" i="558"/>
  <c r="AD73" i="558"/>
  <c r="AE81" i="558"/>
  <c r="AE82" i="558"/>
  <c r="AE66" i="475"/>
  <c r="AE82" i="475"/>
  <c r="AE73" i="475"/>
  <c r="AJ73" i="472"/>
  <c r="AJ82" i="472"/>
  <c r="AI73" i="472"/>
  <c r="AE73" i="472"/>
  <c r="AE82" i="472"/>
  <c r="AI82" i="472"/>
  <c r="AF73" i="472"/>
  <c r="AF82" i="472"/>
  <c r="AF90" i="472"/>
  <c r="AL90" i="472"/>
  <c r="AG90" i="474"/>
  <c r="AE90" i="475"/>
  <c r="AD90" i="558"/>
  <c r="AE90" i="472"/>
  <c r="AG90" i="472"/>
  <c r="AE90" i="469"/>
  <c r="AH90" i="472"/>
  <c r="AI90" i="472"/>
  <c r="AJ90" i="472"/>
  <c r="AK90" i="472"/>
  <c r="AE90" i="558"/>
  <c r="AK89" i="472"/>
  <c r="AE89" i="558"/>
  <c r="AG89" i="472"/>
  <c r="AE87" i="472"/>
  <c r="AE87" i="469"/>
  <c r="AE89" i="475"/>
  <c r="AE67" i="472"/>
  <c r="AI85" i="472"/>
  <c r="AI87" i="472"/>
  <c r="AH89" i="472"/>
  <c r="AL89" i="472"/>
  <c r="AE85" i="472"/>
  <c r="AE86" i="558"/>
  <c r="AG89" i="474"/>
  <c r="AE78" i="472"/>
  <c r="AE86" i="472"/>
  <c r="AE89" i="472"/>
  <c r="AI89" i="472"/>
  <c r="AE67" i="469"/>
  <c r="AE89" i="469"/>
  <c r="AD89" i="558"/>
  <c r="AE81" i="472"/>
  <c r="AI86" i="472"/>
  <c r="AF89" i="472"/>
  <c r="AJ89" i="472"/>
  <c r="AD87" i="558"/>
  <c r="AD81" i="558"/>
  <c r="AE87" i="558"/>
  <c r="AE78" i="475"/>
  <c r="AE85" i="475"/>
  <c r="AG85" i="474"/>
  <c r="AF67" i="472"/>
  <c r="AF78" i="472"/>
  <c r="AF81" i="472"/>
  <c r="AF85" i="472"/>
  <c r="AJ85" i="472"/>
  <c r="AF86" i="472"/>
  <c r="AJ86" i="472"/>
  <c r="AF87" i="472"/>
  <c r="AJ87" i="472"/>
  <c r="AE67" i="558"/>
  <c r="AE78" i="558"/>
  <c r="AE86" i="475"/>
  <c r="AG86" i="474"/>
  <c r="AI67" i="472"/>
  <c r="AI78" i="472"/>
  <c r="AI81" i="472"/>
  <c r="AG85" i="472"/>
  <c r="AK85" i="472"/>
  <c r="AG86" i="472"/>
  <c r="AK86" i="472"/>
  <c r="AG87" i="472"/>
  <c r="AK87" i="472"/>
  <c r="AE85" i="469"/>
  <c r="AD85" i="558"/>
  <c r="AD86" i="558"/>
  <c r="AE85" i="558"/>
  <c r="AE81" i="475"/>
  <c r="AE87" i="475"/>
  <c r="AG87" i="474"/>
  <c r="AJ67" i="472"/>
  <c r="AJ78" i="472"/>
  <c r="AJ81" i="472"/>
  <c r="AH85" i="472"/>
  <c r="AL85" i="472"/>
  <c r="AH86" i="472"/>
  <c r="AL86" i="472"/>
  <c r="AH87" i="472"/>
  <c r="AL87" i="472"/>
  <c r="AE86" i="469"/>
  <c r="AD82" i="558"/>
  <c r="AG77" i="474"/>
  <c r="AD67" i="558"/>
  <c r="AA67" i="558" s="1"/>
  <c r="AD75" i="558"/>
  <c r="AD79" i="558"/>
  <c r="AD83" i="558"/>
  <c r="AA83" i="558" s="1"/>
  <c r="AE72" i="558"/>
  <c r="AE76" i="558"/>
  <c r="AE84" i="558"/>
  <c r="AE67" i="475"/>
  <c r="AE75" i="475"/>
  <c r="AE79" i="475"/>
  <c r="AE83" i="475"/>
  <c r="AG78" i="474"/>
  <c r="AG82" i="474"/>
  <c r="AG67" i="472"/>
  <c r="AK67" i="472"/>
  <c r="AG72" i="472"/>
  <c r="AK72" i="472"/>
  <c r="AG73" i="472"/>
  <c r="AK73" i="472"/>
  <c r="AG75" i="472"/>
  <c r="AK75" i="472"/>
  <c r="AG76" i="472"/>
  <c r="AK76" i="472"/>
  <c r="AG77" i="472"/>
  <c r="AK77" i="472"/>
  <c r="AG78" i="472"/>
  <c r="AK78" i="472"/>
  <c r="AG79" i="472"/>
  <c r="AK79" i="472"/>
  <c r="AG81" i="472"/>
  <c r="AK81" i="472"/>
  <c r="AG82" i="472"/>
  <c r="AK82" i="472"/>
  <c r="AG83" i="472"/>
  <c r="AK83" i="472"/>
  <c r="AG84" i="472"/>
  <c r="AE73" i="469"/>
  <c r="AE77" i="469"/>
  <c r="AE81" i="469"/>
  <c r="AD78" i="558"/>
  <c r="AG73" i="474"/>
  <c r="AG81" i="474"/>
  <c r="AE72" i="469"/>
  <c r="AE76" i="469"/>
  <c r="AE84" i="469"/>
  <c r="AD72" i="558"/>
  <c r="AD76" i="558"/>
  <c r="AD84" i="558"/>
  <c r="AA84" i="558" s="1"/>
  <c r="AE73" i="558"/>
  <c r="AA73" i="558" s="1"/>
  <c r="AE77" i="558"/>
  <c r="AE72" i="475"/>
  <c r="AE76" i="475"/>
  <c r="AE84" i="475"/>
  <c r="AG67" i="474"/>
  <c r="AG75" i="474"/>
  <c r="AG79" i="474"/>
  <c r="AG83" i="474"/>
  <c r="AH67" i="472"/>
  <c r="AL67" i="472"/>
  <c r="AH72" i="472"/>
  <c r="AL72" i="472"/>
  <c r="AH73" i="472"/>
  <c r="AL73" i="472"/>
  <c r="AH75" i="472"/>
  <c r="AL75" i="472"/>
  <c r="AH76" i="472"/>
  <c r="AL76" i="472"/>
  <c r="AH77" i="472"/>
  <c r="AL77" i="472"/>
  <c r="AH78" i="472"/>
  <c r="AL78" i="472"/>
  <c r="AH79" i="472"/>
  <c r="AL79" i="472"/>
  <c r="AH81" i="472"/>
  <c r="AL81" i="472"/>
  <c r="AH82" i="472"/>
  <c r="AL82" i="472"/>
  <c r="AH83" i="472"/>
  <c r="AL83" i="472"/>
  <c r="AH84" i="472"/>
  <c r="AE78" i="469"/>
  <c r="AE66" i="558"/>
  <c r="AE50" i="558"/>
  <c r="AK66" i="472"/>
  <c r="AK50" i="472"/>
  <c r="AL66" i="472"/>
  <c r="AL71" i="472"/>
  <c r="AL70" i="472"/>
  <c r="AL69" i="472"/>
  <c r="AE66" i="469"/>
  <c r="AE71" i="469"/>
  <c r="AH69" i="472"/>
  <c r="AH70" i="472"/>
  <c r="AH71" i="472"/>
  <c r="AE69" i="558"/>
  <c r="AE69" i="475"/>
  <c r="AG69" i="474"/>
  <c r="AE69" i="472"/>
  <c r="AI69" i="472"/>
  <c r="AE70" i="472"/>
  <c r="AI70" i="472"/>
  <c r="AE71" i="472"/>
  <c r="AI71" i="472"/>
  <c r="AE70" i="558"/>
  <c r="AE70" i="475"/>
  <c r="AG70" i="474"/>
  <c r="AF69" i="472"/>
  <c r="AJ69" i="472"/>
  <c r="AF70" i="472"/>
  <c r="AJ70" i="472"/>
  <c r="AF71" i="472"/>
  <c r="AJ71" i="472"/>
  <c r="AE69" i="469"/>
  <c r="AD71" i="558"/>
  <c r="AD69" i="558"/>
  <c r="AA69" i="558" s="1"/>
  <c r="AD70" i="558"/>
  <c r="AE71" i="558"/>
  <c r="AE71" i="475"/>
  <c r="AG71" i="474"/>
  <c r="AG69" i="472"/>
  <c r="AK69" i="472"/>
  <c r="AG70" i="472"/>
  <c r="AK70" i="472"/>
  <c r="AG71" i="472"/>
  <c r="AK71" i="472"/>
  <c r="AE70" i="469"/>
  <c r="AG45" i="474"/>
  <c r="AG45" i="472"/>
  <c r="AK56" i="472"/>
  <c r="AK45" i="472"/>
  <c r="AG68" i="472"/>
  <c r="AE45" i="469"/>
  <c r="AG50" i="472"/>
  <c r="AK68" i="472"/>
  <c r="AD50" i="558"/>
  <c r="AA50" i="558" s="1"/>
  <c r="AD68" i="558"/>
  <c r="AA68" i="558" s="1"/>
  <c r="AE45" i="475"/>
  <c r="AH45" i="472"/>
  <c r="AL45" i="472"/>
  <c r="AH50" i="472"/>
  <c r="AL50" i="472"/>
  <c r="AL56" i="472"/>
  <c r="AH68" i="472"/>
  <c r="AL68" i="472"/>
  <c r="AE68" i="469"/>
  <c r="AG50" i="474"/>
  <c r="AG68" i="474"/>
  <c r="AE45" i="472"/>
  <c r="AI45" i="472"/>
  <c r="AE50" i="472"/>
  <c r="AI50" i="472"/>
  <c r="AG56" i="472"/>
  <c r="AE68" i="472"/>
  <c r="AI68" i="472"/>
  <c r="AE50" i="469"/>
  <c r="AE50" i="475"/>
  <c r="AE68" i="475"/>
  <c r="AF45" i="472"/>
  <c r="AJ45" i="472"/>
  <c r="AF50" i="472"/>
  <c r="AJ50" i="472"/>
  <c r="AH56" i="472"/>
  <c r="AF68" i="472"/>
  <c r="AJ68" i="472"/>
  <c r="AE56" i="472"/>
  <c r="AI56" i="472"/>
  <c r="AD56" i="558"/>
  <c r="AE56" i="558"/>
  <c r="AE56" i="475"/>
  <c r="AG56" i="474"/>
  <c r="AF56" i="472"/>
  <c r="AJ56" i="472"/>
  <c r="AE55" i="469"/>
  <c r="AE56" i="469"/>
  <c r="AK57" i="472"/>
  <c r="AE64" i="558"/>
  <c r="AK47" i="472"/>
  <c r="AK59" i="472"/>
  <c r="AE49" i="475"/>
  <c r="AK51" i="472"/>
  <c r="AK64" i="472"/>
  <c r="AE46" i="469"/>
  <c r="AE44" i="558"/>
  <c r="AG37" i="474"/>
  <c r="AK53" i="472"/>
  <c r="AD40" i="558"/>
  <c r="AD57" i="558"/>
  <c r="AJ36" i="472"/>
  <c r="AJ41" i="472"/>
  <c r="AD36" i="558"/>
  <c r="AD42" i="558"/>
  <c r="AD53" i="558"/>
  <c r="AD60" i="558"/>
  <c r="AE33" i="558"/>
  <c r="AE40" i="558"/>
  <c r="AE46" i="558"/>
  <c r="AE51" i="558"/>
  <c r="AE57" i="558"/>
  <c r="AE31" i="475"/>
  <c r="AE44" i="475"/>
  <c r="AE57" i="475"/>
  <c r="AF34" i="472"/>
  <c r="AF37" i="472"/>
  <c r="AG42" i="472"/>
  <c r="AG46" i="472"/>
  <c r="AG49" i="472"/>
  <c r="AG52" i="472"/>
  <c r="AG54" i="472"/>
  <c r="AG58" i="472"/>
  <c r="AG63" i="472"/>
  <c r="AG65" i="472"/>
  <c r="AE41" i="469"/>
  <c r="AD46" i="558"/>
  <c r="AD38" i="558"/>
  <c r="AD49" i="558"/>
  <c r="AE36" i="558"/>
  <c r="AE42" i="558"/>
  <c r="AE53" i="558"/>
  <c r="AE60" i="558"/>
  <c r="AE37" i="475"/>
  <c r="AE53" i="475"/>
  <c r="AG52" i="474"/>
  <c r="AG63" i="474"/>
  <c r="AJ34" i="472"/>
  <c r="AJ37" i="472"/>
  <c r="AK42" i="472"/>
  <c r="AK46" i="472"/>
  <c r="AK49" i="472"/>
  <c r="AK52" i="472"/>
  <c r="AK54" i="472"/>
  <c r="AK58" i="472"/>
  <c r="AK63" i="472"/>
  <c r="AK65" i="472"/>
  <c r="AE60" i="469"/>
  <c r="AD33" i="558"/>
  <c r="AD51" i="558"/>
  <c r="AJ33" i="472"/>
  <c r="AD44" i="558"/>
  <c r="AD64" i="558"/>
  <c r="AE38" i="558"/>
  <c r="AE49" i="558"/>
  <c r="AE65" i="475"/>
  <c r="AF33" i="472"/>
  <c r="AF36" i="472"/>
  <c r="AF41" i="472"/>
  <c r="AG44" i="472"/>
  <c r="AG47" i="472"/>
  <c r="AG51" i="472"/>
  <c r="AG53" i="472"/>
  <c r="AG57" i="472"/>
  <c r="AG59" i="472"/>
  <c r="AG64" i="472"/>
  <c r="AE34" i="469"/>
  <c r="AE51" i="469"/>
  <c r="AD31" i="558"/>
  <c r="AD37" i="558"/>
  <c r="AD41" i="558"/>
  <c r="AD45" i="558"/>
  <c r="AD54" i="558"/>
  <c r="AD58" i="558"/>
  <c r="AD65" i="558"/>
  <c r="AE34" i="558"/>
  <c r="AE52" i="558"/>
  <c r="AE33" i="475"/>
  <c r="AE54" i="475"/>
  <c r="AE58" i="475"/>
  <c r="AG33" i="474"/>
  <c r="AG44" i="474"/>
  <c r="AG49" i="474"/>
  <c r="AG53" i="474"/>
  <c r="AG57" i="474"/>
  <c r="AG64" i="474"/>
  <c r="AG33" i="472"/>
  <c r="AK33" i="472"/>
  <c r="AG34" i="472"/>
  <c r="AK34" i="472"/>
  <c r="AG36" i="472"/>
  <c r="AK36" i="472"/>
  <c r="AG37" i="472"/>
  <c r="AK37" i="472"/>
  <c r="AG41" i="472"/>
  <c r="AK41" i="472"/>
  <c r="AH42" i="472"/>
  <c r="AL42" i="472"/>
  <c r="AH44" i="472"/>
  <c r="AL44" i="472"/>
  <c r="AH46" i="472"/>
  <c r="AL46" i="472"/>
  <c r="AH47" i="472"/>
  <c r="AL47" i="472"/>
  <c r="AH49" i="472"/>
  <c r="AL49" i="472"/>
  <c r="AH51" i="472"/>
  <c r="AL51" i="472"/>
  <c r="AH52" i="472"/>
  <c r="AL52" i="472"/>
  <c r="AH53" i="472"/>
  <c r="AL53" i="472"/>
  <c r="AH54" i="472"/>
  <c r="AL54" i="472"/>
  <c r="AH57" i="472"/>
  <c r="AL57" i="472"/>
  <c r="AH58" i="472"/>
  <c r="AL58" i="472"/>
  <c r="AH59" i="472"/>
  <c r="AL59" i="472"/>
  <c r="AH63" i="472"/>
  <c r="AL63" i="472"/>
  <c r="AH64" i="472"/>
  <c r="AL64" i="472"/>
  <c r="AH65" i="472"/>
  <c r="AL65" i="472"/>
  <c r="AE36" i="469"/>
  <c r="AE52" i="469"/>
  <c r="AE34" i="475"/>
  <c r="AE41" i="475"/>
  <c r="AE46" i="475"/>
  <c r="AE51" i="475"/>
  <c r="AG34" i="474"/>
  <c r="AG41" i="474"/>
  <c r="AG54" i="474"/>
  <c r="AG58" i="474"/>
  <c r="AG65" i="474"/>
  <c r="AH33" i="472"/>
  <c r="AL33" i="472"/>
  <c r="AH34" i="472"/>
  <c r="AL34" i="472"/>
  <c r="AH36" i="472"/>
  <c r="AL36" i="472"/>
  <c r="AH37" i="472"/>
  <c r="AL37" i="472"/>
  <c r="AH41" i="472"/>
  <c r="AL41" i="472"/>
  <c r="AI42" i="472"/>
  <c r="AE44" i="472"/>
  <c r="AI44" i="472"/>
  <c r="AE46" i="472"/>
  <c r="AI46" i="472"/>
  <c r="AE47" i="472"/>
  <c r="AI47" i="472"/>
  <c r="AE49" i="472"/>
  <c r="AI49" i="472"/>
  <c r="AE51" i="472"/>
  <c r="AI51" i="472"/>
  <c r="AE52" i="472"/>
  <c r="AI52" i="472"/>
  <c r="AE53" i="472"/>
  <c r="AI53" i="472"/>
  <c r="AE54" i="472"/>
  <c r="AI54" i="472"/>
  <c r="AE57" i="472"/>
  <c r="AI57" i="472"/>
  <c r="AE58" i="472"/>
  <c r="AI58" i="472"/>
  <c r="AE59" i="472"/>
  <c r="AI59" i="472"/>
  <c r="AE63" i="472"/>
  <c r="AI63" i="472"/>
  <c r="AE64" i="472"/>
  <c r="AI64" i="472"/>
  <c r="AE65" i="472"/>
  <c r="AI65" i="472"/>
  <c r="AE31" i="469"/>
  <c r="AE37" i="469"/>
  <c r="AE44" i="469"/>
  <c r="AE49" i="469"/>
  <c r="AE53" i="469"/>
  <c r="AE57" i="469"/>
  <c r="AE64" i="469"/>
  <c r="AD34" i="558"/>
  <c r="AD52" i="558"/>
  <c r="AE31" i="558"/>
  <c r="AE37" i="558"/>
  <c r="AE41" i="558"/>
  <c r="AE45" i="558"/>
  <c r="AE54" i="558"/>
  <c r="AE58" i="558"/>
  <c r="AE65" i="558"/>
  <c r="AE36" i="475"/>
  <c r="AE52" i="475"/>
  <c r="AE64" i="475"/>
  <c r="AG36" i="474"/>
  <c r="AG42" i="474"/>
  <c r="AG46" i="474"/>
  <c r="AG51" i="474"/>
  <c r="AE33" i="472"/>
  <c r="AI33" i="472"/>
  <c r="AE34" i="472"/>
  <c r="AI34" i="472"/>
  <c r="AE36" i="472"/>
  <c r="AI36" i="472"/>
  <c r="AE37" i="472"/>
  <c r="AI37" i="472"/>
  <c r="AE41" i="472"/>
  <c r="AI41" i="472"/>
  <c r="AF42" i="472"/>
  <c r="AJ42" i="472"/>
  <c r="AF44" i="472"/>
  <c r="AJ44" i="472"/>
  <c r="AF46" i="472"/>
  <c r="AJ46" i="472"/>
  <c r="AF47" i="472"/>
  <c r="AJ47" i="472"/>
  <c r="AF49" i="472"/>
  <c r="AJ49" i="472"/>
  <c r="AF51" i="472"/>
  <c r="AJ51" i="472"/>
  <c r="AF52" i="472"/>
  <c r="AJ52" i="472"/>
  <c r="AF53" i="472"/>
  <c r="AJ53" i="472"/>
  <c r="AF54" i="472"/>
  <c r="AJ54" i="472"/>
  <c r="AF57" i="472"/>
  <c r="AJ57" i="472"/>
  <c r="AF58" i="472"/>
  <c r="AJ58" i="472"/>
  <c r="AF59" i="472"/>
  <c r="AJ59" i="472"/>
  <c r="AF63" i="472"/>
  <c r="AJ63" i="472"/>
  <c r="AF64" i="472"/>
  <c r="AJ64" i="472"/>
  <c r="AF65" i="472"/>
  <c r="AJ65" i="472"/>
  <c r="AE33" i="469"/>
  <c r="AE54" i="469"/>
  <c r="AE58" i="469"/>
  <c r="AE65" i="469"/>
  <c r="AE35" i="469"/>
  <c r="AE40" i="469"/>
  <c r="AK31" i="472"/>
  <c r="AG35" i="472"/>
  <c r="AG38" i="472"/>
  <c r="AG60" i="472"/>
  <c r="AK62" i="472"/>
  <c r="AD35" i="558"/>
  <c r="AD47" i="558"/>
  <c r="AD59" i="558"/>
  <c r="AG38" i="474"/>
  <c r="AG62" i="474"/>
  <c r="AG66" i="474"/>
  <c r="AH31" i="472"/>
  <c r="AL31" i="472"/>
  <c r="AH32" i="472"/>
  <c r="AL32" i="472"/>
  <c r="AH35" i="472"/>
  <c r="AL35" i="472"/>
  <c r="AH38" i="472"/>
  <c r="AL38" i="472"/>
  <c r="AH40" i="472"/>
  <c r="AL40" i="472"/>
  <c r="AH60" i="472"/>
  <c r="AL60" i="472"/>
  <c r="AH62" i="472"/>
  <c r="AL62" i="472"/>
  <c r="AE32" i="469"/>
  <c r="AE63" i="469"/>
  <c r="AD63" i="558"/>
  <c r="AG32" i="472"/>
  <c r="AK35" i="472"/>
  <c r="AK38" i="472"/>
  <c r="AG40" i="472"/>
  <c r="AK60" i="472"/>
  <c r="AD32" i="558"/>
  <c r="AG31" i="474"/>
  <c r="AG35" i="474"/>
  <c r="AG47" i="474"/>
  <c r="AG59" i="474"/>
  <c r="AE31" i="472"/>
  <c r="AI31" i="472"/>
  <c r="AE32" i="472"/>
  <c r="AI32" i="472"/>
  <c r="AE35" i="472"/>
  <c r="AI35" i="472"/>
  <c r="AE38" i="472"/>
  <c r="AI38" i="472"/>
  <c r="AE40" i="472"/>
  <c r="AI40" i="472"/>
  <c r="AE42" i="472"/>
  <c r="AE60" i="472"/>
  <c r="AI60" i="472"/>
  <c r="AE62" i="472"/>
  <c r="AI62" i="472"/>
  <c r="AE47" i="469"/>
  <c r="AE59" i="469"/>
  <c r="AG31" i="472"/>
  <c r="AK32" i="472"/>
  <c r="AK40" i="472"/>
  <c r="AG62" i="472"/>
  <c r="AG32" i="474"/>
  <c r="AG40" i="474"/>
  <c r="AF31" i="472"/>
  <c r="AJ31" i="472"/>
  <c r="AF32" i="472"/>
  <c r="AJ32" i="472"/>
  <c r="AF35" i="472"/>
  <c r="AJ35" i="472"/>
  <c r="AF38" i="472"/>
  <c r="AJ38" i="472"/>
  <c r="AF40" i="472"/>
  <c r="AJ40" i="472"/>
  <c r="AF60" i="472"/>
  <c r="AJ60" i="472"/>
  <c r="AF62" i="472"/>
  <c r="AJ62" i="472"/>
  <c r="AE47" i="558"/>
  <c r="AE63" i="558"/>
  <c r="AE47" i="475"/>
  <c r="AE63" i="475"/>
  <c r="AE32" i="558"/>
  <c r="AE40" i="475"/>
  <c r="AE35" i="558"/>
  <c r="AE59" i="558"/>
  <c r="AE35" i="475"/>
  <c r="AE59" i="475"/>
  <c r="AE32" i="475"/>
  <c r="AE60" i="475"/>
  <c r="AD62" i="558"/>
  <c r="AE62" i="558"/>
  <c r="AE38" i="475"/>
  <c r="AE42" i="475"/>
  <c r="AE62" i="475"/>
  <c r="AE38" i="469"/>
  <c r="AE42" i="469"/>
  <c r="AE62" i="469"/>
  <c r="AM2" i="558"/>
  <c r="AA39" i="558"/>
  <c r="AA48" i="558"/>
  <c r="AA80" i="558"/>
  <c r="AA88" i="558"/>
  <c r="AA92" i="558"/>
  <c r="AA104" i="558"/>
  <c r="AA108" i="558"/>
  <c r="AA112" i="558"/>
  <c r="AA116" i="558"/>
  <c r="AA120" i="558"/>
  <c r="AA124" i="558"/>
  <c r="AA128" i="558"/>
  <c r="AA61" i="558"/>
  <c r="AA77" i="558"/>
  <c r="AA81" i="558"/>
  <c r="AA101" i="558"/>
  <c r="AA105" i="558"/>
  <c r="AA109" i="558"/>
  <c r="AA113" i="558"/>
  <c r="AA117" i="558"/>
  <c r="AA121" i="558"/>
  <c r="AA125" i="558"/>
  <c r="AA129" i="558"/>
  <c r="AA43" i="558"/>
  <c r="AA55" i="558"/>
  <c r="AA79" i="558"/>
  <c r="AA99" i="558"/>
  <c r="AA103" i="558"/>
  <c r="AA107" i="558"/>
  <c r="AA111" i="558"/>
  <c r="AA115" i="558"/>
  <c r="AA119" i="558"/>
  <c r="AA123" i="558"/>
  <c r="AA127" i="558"/>
  <c r="AA74" i="558"/>
  <c r="AA102" i="558"/>
  <c r="AA106" i="558"/>
  <c r="AA110" i="558"/>
  <c r="AA114" i="558"/>
  <c r="AA118" i="558"/>
  <c r="AA122" i="558"/>
  <c r="AA126" i="558"/>
  <c r="AA130" i="558"/>
  <c r="P131" i="475"/>
  <c r="O131" i="475"/>
  <c r="N131" i="475"/>
  <c r="M131" i="475"/>
  <c r="L131" i="475"/>
  <c r="K131" i="475"/>
  <c r="J131" i="475"/>
  <c r="I131" i="475"/>
  <c r="R131" i="474"/>
  <c r="Q131" i="474"/>
  <c r="P131" i="474"/>
  <c r="O131" i="474"/>
  <c r="N131" i="474"/>
  <c r="M131" i="474"/>
  <c r="L131" i="474"/>
  <c r="K131" i="474"/>
  <c r="P131" i="473"/>
  <c r="O131" i="473"/>
  <c r="N131" i="473"/>
  <c r="M131" i="473"/>
  <c r="L131" i="473"/>
  <c r="K131" i="473"/>
  <c r="J131" i="473"/>
  <c r="I131" i="473"/>
  <c r="H131" i="473"/>
  <c r="P131" i="472"/>
  <c r="K131" i="472"/>
  <c r="P131" i="471"/>
  <c r="O131" i="471"/>
  <c r="N131" i="471"/>
  <c r="M131" i="471"/>
  <c r="L131" i="471"/>
  <c r="K131" i="471"/>
  <c r="J131" i="471"/>
  <c r="I131" i="471"/>
  <c r="H131" i="471"/>
  <c r="C42" i="532"/>
  <c r="C42" i="535" s="1"/>
  <c r="C43" i="532"/>
  <c r="C44" i="532"/>
  <c r="C45" i="532"/>
  <c r="C45" i="535" s="1"/>
  <c r="C46" i="532"/>
  <c r="C46" i="535" s="1"/>
  <c r="C47" i="532"/>
  <c r="C47" i="535" s="1"/>
  <c r="C48" i="532"/>
  <c r="C49" i="532"/>
  <c r="C50" i="532"/>
  <c r="C51" i="532"/>
  <c r="C51" i="535" s="1"/>
  <c r="C52" i="532"/>
  <c r="C52" i="535" s="1"/>
  <c r="C53" i="532"/>
  <c r="C53" i="535" s="1"/>
  <c r="C54" i="532"/>
  <c r="C54" i="535" s="1"/>
  <c r="C55" i="532"/>
  <c r="C56" i="532"/>
  <c r="C56" i="535" s="1"/>
  <c r="C57" i="532"/>
  <c r="C57" i="535" s="1"/>
  <c r="C58" i="532"/>
  <c r="C58" i="535" s="1"/>
  <c r="C59" i="532"/>
  <c r="C60" i="532"/>
  <c r="C61" i="532"/>
  <c r="C62" i="532"/>
  <c r="C63" i="532"/>
  <c r="C64" i="532"/>
  <c r="C65" i="532"/>
  <c r="C65" i="535" s="1"/>
  <c r="C66" i="532"/>
  <c r="C67" i="532"/>
  <c r="C67" i="535" s="1"/>
  <c r="C68" i="532"/>
  <c r="C69" i="532"/>
  <c r="C70" i="532"/>
  <c r="C70" i="535" s="1"/>
  <c r="C71" i="532"/>
  <c r="C72" i="532"/>
  <c r="C73" i="532"/>
  <c r="C73" i="535" s="1"/>
  <c r="C74" i="532"/>
  <c r="C75" i="532"/>
  <c r="C75" i="535" s="1"/>
  <c r="C76" i="532"/>
  <c r="C77" i="532"/>
  <c r="C78" i="532"/>
  <c r="C78" i="535" s="1"/>
  <c r="C79" i="532"/>
  <c r="C80" i="532"/>
  <c r="C81" i="532"/>
  <c r="C82" i="532"/>
  <c r="C82" i="535" s="1"/>
  <c r="C83" i="532"/>
  <c r="C84" i="532"/>
  <c r="C85" i="532"/>
  <c r="C85" i="535" s="1"/>
  <c r="C86" i="532"/>
  <c r="C87" i="532"/>
  <c r="C87" i="535" s="1"/>
  <c r="C88" i="532"/>
  <c r="C89" i="532"/>
  <c r="C89" i="535" s="1"/>
  <c r="C90" i="532"/>
  <c r="C90" i="535" s="1"/>
  <c r="C91" i="532"/>
  <c r="C91" i="535" s="1"/>
  <c r="C92" i="532"/>
  <c r="C92" i="535" s="1"/>
  <c r="C93" i="532"/>
  <c r="C93" i="535" s="1"/>
  <c r="C94" i="532"/>
  <c r="C94" i="535" s="1"/>
  <c r="C95" i="532"/>
  <c r="C95" i="535" s="1"/>
  <c r="C96" i="532"/>
  <c r="C96" i="535" s="1"/>
  <c r="C97" i="532"/>
  <c r="C98" i="532"/>
  <c r="C98" i="535" s="1"/>
  <c r="C99" i="532"/>
  <c r="C99" i="535" s="1"/>
  <c r="C100" i="532"/>
  <c r="C100" i="535" s="1"/>
  <c r="C101" i="532"/>
  <c r="C101" i="535" s="1"/>
  <c r="C102" i="532"/>
  <c r="C102" i="535" s="1"/>
  <c r="C103" i="532"/>
  <c r="C103" i="535" s="1"/>
  <c r="C104" i="532"/>
  <c r="C105" i="532"/>
  <c r="C106" i="532"/>
  <c r="C107" i="532"/>
  <c r="C108" i="532"/>
  <c r="C109" i="532"/>
  <c r="C110" i="532"/>
  <c r="C111" i="532"/>
  <c r="C112" i="532"/>
  <c r="C113" i="532"/>
  <c r="C114" i="532"/>
  <c r="C115" i="532"/>
  <c r="C116" i="532"/>
  <c r="C117" i="532"/>
  <c r="C118" i="532"/>
  <c r="C119" i="532"/>
  <c r="C120" i="532"/>
  <c r="C121" i="532"/>
  <c r="C122" i="532"/>
  <c r="C123" i="532"/>
  <c r="C124" i="532"/>
  <c r="C125" i="532"/>
  <c r="C126" i="532"/>
  <c r="C127" i="532"/>
  <c r="C128" i="532"/>
  <c r="C129" i="532"/>
  <c r="C130" i="532"/>
  <c r="G108" i="532" l="1"/>
  <c r="C108" i="535"/>
  <c r="G129" i="532"/>
  <c r="C129" i="535"/>
  <c r="G121" i="532"/>
  <c r="C121" i="535"/>
  <c r="G109" i="532"/>
  <c r="C109" i="535"/>
  <c r="G128" i="532"/>
  <c r="C128" i="535"/>
  <c r="G116" i="532"/>
  <c r="C116" i="535"/>
  <c r="G88" i="532"/>
  <c r="C88" i="535"/>
  <c r="G80" i="532"/>
  <c r="C80" i="535"/>
  <c r="G72" i="532"/>
  <c r="C72" i="535"/>
  <c r="G64" i="532"/>
  <c r="C64" i="535"/>
  <c r="G48" i="532"/>
  <c r="C48" i="535"/>
  <c r="G127" i="532"/>
  <c r="C127" i="535"/>
  <c r="G123" i="532"/>
  <c r="C123" i="535"/>
  <c r="G119" i="532"/>
  <c r="C119" i="535"/>
  <c r="G115" i="532"/>
  <c r="C115" i="535"/>
  <c r="G111" i="532"/>
  <c r="C111" i="535"/>
  <c r="C107" i="535"/>
  <c r="G83" i="532"/>
  <c r="C83" i="535"/>
  <c r="G79" i="532"/>
  <c r="C79" i="535"/>
  <c r="G71" i="532"/>
  <c r="C71" i="535"/>
  <c r="G63" i="532"/>
  <c r="C63" i="535"/>
  <c r="G59" i="532"/>
  <c r="C59" i="535"/>
  <c r="G55" i="532"/>
  <c r="C55" i="535"/>
  <c r="G43" i="532"/>
  <c r="C43" i="535"/>
  <c r="G125" i="532"/>
  <c r="C125" i="535"/>
  <c r="G117" i="532"/>
  <c r="C117" i="535"/>
  <c r="G113" i="532"/>
  <c r="C113" i="535"/>
  <c r="C105" i="535"/>
  <c r="G124" i="532"/>
  <c r="C124" i="535"/>
  <c r="G120" i="532"/>
  <c r="C120" i="535"/>
  <c r="G112" i="532"/>
  <c r="C112" i="535"/>
  <c r="G104" i="532"/>
  <c r="C104" i="535"/>
  <c r="G84" i="532"/>
  <c r="C84" i="535"/>
  <c r="G76" i="532"/>
  <c r="C76" i="535"/>
  <c r="G68" i="532"/>
  <c r="C68" i="535"/>
  <c r="G60" i="532"/>
  <c r="C60" i="535"/>
  <c r="G44" i="532"/>
  <c r="C44" i="535"/>
  <c r="G130" i="532"/>
  <c r="C130" i="535"/>
  <c r="G126" i="532"/>
  <c r="C126" i="535"/>
  <c r="G122" i="532"/>
  <c r="C122" i="535"/>
  <c r="G118" i="532"/>
  <c r="C118" i="535"/>
  <c r="G114" i="532"/>
  <c r="C114" i="535"/>
  <c r="G110" i="532"/>
  <c r="C110" i="535"/>
  <c r="C106" i="535"/>
  <c r="G86" i="532"/>
  <c r="C86" i="535"/>
  <c r="G74" i="532"/>
  <c r="C74" i="535"/>
  <c r="G66" i="532"/>
  <c r="C66" i="535"/>
  <c r="G62" i="532"/>
  <c r="C62" i="535"/>
  <c r="G50" i="532"/>
  <c r="C50" i="535"/>
  <c r="G97" i="532"/>
  <c r="C97" i="535"/>
  <c r="G81" i="532"/>
  <c r="C81" i="535"/>
  <c r="G77" i="532"/>
  <c r="C77" i="535"/>
  <c r="G69" i="532"/>
  <c r="C69" i="535"/>
  <c r="G61" i="532"/>
  <c r="C61" i="535"/>
  <c r="G49" i="532"/>
  <c r="C49" i="535"/>
  <c r="AA89" i="558"/>
  <c r="AA98" i="558"/>
  <c r="AA95" i="558"/>
  <c r="AA91" i="558"/>
  <c r="AA96" i="558"/>
  <c r="AA97" i="558"/>
  <c r="AA34" i="558"/>
  <c r="AA86" i="558"/>
  <c r="AA90" i="558"/>
  <c r="AA93" i="558"/>
  <c r="AA66" i="558"/>
  <c r="AA75" i="558"/>
  <c r="AA82" i="558"/>
  <c r="AA52" i="558"/>
  <c r="AA85" i="558"/>
  <c r="AA78" i="558"/>
  <c r="AA87" i="558"/>
  <c r="AA76" i="558"/>
  <c r="AA72" i="558"/>
  <c r="AA71" i="558"/>
  <c r="AA70" i="558"/>
  <c r="AA56" i="558"/>
  <c r="AA47" i="558"/>
  <c r="AA60" i="558"/>
  <c r="AA57" i="558"/>
  <c r="AA44" i="558"/>
  <c r="AA31" i="558"/>
  <c r="AA53" i="558"/>
  <c r="AA45" i="558"/>
  <c r="AA38" i="558"/>
  <c r="AA33" i="558"/>
  <c r="AA51" i="558"/>
  <c r="AA46" i="558"/>
  <c r="AA54" i="558"/>
  <c r="AA64" i="558"/>
  <c r="AA58" i="558"/>
  <c r="AA37" i="558"/>
  <c r="AA59" i="558"/>
  <c r="AA32" i="558"/>
  <c r="AA49" i="558"/>
  <c r="AA42" i="558"/>
  <c r="AA35" i="558"/>
  <c r="AA65" i="558"/>
  <c r="AA41" i="558"/>
  <c r="AA36" i="558"/>
  <c r="AA40" i="558"/>
  <c r="AA63" i="558"/>
  <c r="AA62" i="558"/>
  <c r="AE30" i="476"/>
  <c r="AD130" i="476"/>
  <c r="AD129" i="476"/>
  <c r="AD128" i="476"/>
  <c r="AD127" i="476"/>
  <c r="AD126" i="476"/>
  <c r="AD125" i="476"/>
  <c r="AD124" i="476"/>
  <c r="AD123" i="476"/>
  <c r="AD122" i="476"/>
  <c r="AD121" i="476"/>
  <c r="AD120" i="476"/>
  <c r="AD119" i="476"/>
  <c r="AD118" i="476"/>
  <c r="AD117" i="476"/>
  <c r="AD116" i="476"/>
  <c r="AD115" i="476"/>
  <c r="AD114" i="476"/>
  <c r="AD113" i="476"/>
  <c r="AD112" i="476"/>
  <c r="AD111" i="476"/>
  <c r="AD110" i="476"/>
  <c r="AD109" i="476"/>
  <c r="AD108" i="476"/>
  <c r="AD107" i="476"/>
  <c r="AD104" i="476"/>
  <c r="AD101" i="476"/>
  <c r="AD100" i="476"/>
  <c r="AD88" i="476"/>
  <c r="AD80" i="476"/>
  <c r="AD77" i="476"/>
  <c r="AD74" i="476"/>
  <c r="AD61" i="476"/>
  <c r="AD55" i="476"/>
  <c r="AD48" i="476"/>
  <c r="AD43" i="476"/>
  <c r="AD39" i="476"/>
  <c r="AD30" i="476"/>
  <c r="AD29" i="476"/>
  <c r="AD28" i="476"/>
  <c r="AD84" i="476" s="1"/>
  <c r="AE30" i="475"/>
  <c r="AE29" i="475"/>
  <c r="AD30" i="475"/>
  <c r="AD29" i="475"/>
  <c r="AD28" i="475"/>
  <c r="AF130" i="474"/>
  <c r="AF129" i="474"/>
  <c r="AF128" i="474"/>
  <c r="AF127" i="474"/>
  <c r="AF126" i="474"/>
  <c r="AF125" i="474"/>
  <c r="AF124" i="474"/>
  <c r="AF123" i="474"/>
  <c r="AF122" i="474"/>
  <c r="AF121" i="474"/>
  <c r="AF120" i="474"/>
  <c r="AF119" i="474"/>
  <c r="AF118" i="474"/>
  <c r="AF117" i="474"/>
  <c r="AF116" i="474"/>
  <c r="AF115" i="474"/>
  <c r="AF114" i="474"/>
  <c r="AF113" i="474"/>
  <c r="AF112" i="474"/>
  <c r="AF111" i="474"/>
  <c r="AF110" i="474"/>
  <c r="AF109" i="474"/>
  <c r="AF108" i="474"/>
  <c r="AF105" i="474"/>
  <c r="AF104" i="474"/>
  <c r="AF102" i="474"/>
  <c r="AF101" i="474"/>
  <c r="AF88" i="474"/>
  <c r="AF80" i="474"/>
  <c r="AF74" i="474"/>
  <c r="AF61" i="474"/>
  <c r="AF55" i="474"/>
  <c r="AF48" i="474"/>
  <c r="AF43" i="474"/>
  <c r="AF39" i="474"/>
  <c r="AF30" i="474"/>
  <c r="AF29" i="474"/>
  <c r="AF28" i="474"/>
  <c r="AF81" i="474" s="1"/>
  <c r="AD130" i="473"/>
  <c r="AD129" i="473"/>
  <c r="AD128" i="473"/>
  <c r="AD127" i="473"/>
  <c r="AD126" i="473"/>
  <c r="AD125" i="473"/>
  <c r="AD124" i="473"/>
  <c r="AD123" i="473"/>
  <c r="AD122" i="473"/>
  <c r="AD121" i="473"/>
  <c r="AD120" i="473"/>
  <c r="AD119" i="473"/>
  <c r="AD118" i="473"/>
  <c r="AD117" i="473"/>
  <c r="AD116" i="473"/>
  <c r="AD115" i="473"/>
  <c r="AD114" i="473"/>
  <c r="AD113" i="473"/>
  <c r="AD112" i="473"/>
  <c r="AD111" i="473"/>
  <c r="AD110" i="473"/>
  <c r="AD109" i="473"/>
  <c r="AD108" i="473"/>
  <c r="AD105" i="473"/>
  <c r="AD104" i="473"/>
  <c r="AD100" i="473"/>
  <c r="AD88" i="473"/>
  <c r="AD80" i="473"/>
  <c r="AD74" i="473"/>
  <c r="AD68" i="473"/>
  <c r="AD61" i="473"/>
  <c r="AD55" i="473"/>
  <c r="AD48" i="473"/>
  <c r="AD43" i="473"/>
  <c r="AD39" i="473"/>
  <c r="AD30" i="473"/>
  <c r="AD29" i="473"/>
  <c r="AD28" i="473"/>
  <c r="AD60" i="473" s="1"/>
  <c r="AD30" i="472"/>
  <c r="AD29" i="472"/>
  <c r="AD28" i="472"/>
  <c r="AD30" i="471"/>
  <c r="AD29" i="471"/>
  <c r="AD30" i="469"/>
  <c r="AD29" i="469"/>
  <c r="AD28" i="469"/>
  <c r="AK30" i="536"/>
  <c r="AK29" i="536"/>
  <c r="AJ30" i="536"/>
  <c r="AJ29" i="536"/>
  <c r="AI30" i="536"/>
  <c r="AE30" i="536"/>
  <c r="AE29" i="536"/>
  <c r="AE28" i="536"/>
  <c r="C40" i="532"/>
  <c r="C40" i="535" s="1"/>
  <c r="C39" i="532"/>
  <c r="C38" i="532"/>
  <c r="C38" i="535" s="1"/>
  <c r="C37" i="532"/>
  <c r="C37" i="535" s="1"/>
  <c r="C36" i="532"/>
  <c r="C36" i="535" s="1"/>
  <c r="C35" i="532"/>
  <c r="C35" i="535" s="1"/>
  <c r="C34" i="532"/>
  <c r="C34" i="535" s="1"/>
  <c r="C33" i="532"/>
  <c r="C33" i="535" s="1"/>
  <c r="C32" i="532"/>
  <c r="C32" i="535" s="1"/>
  <c r="CB130" i="477"/>
  <c r="CA130" i="477"/>
  <c r="BZ130" i="477"/>
  <c r="BY130" i="477"/>
  <c r="BX130" i="477"/>
  <c r="BW130" i="477"/>
  <c r="BV130" i="477"/>
  <c r="BT130" i="477"/>
  <c r="BS130" i="477"/>
  <c r="BR130" i="477"/>
  <c r="BQ130" i="477"/>
  <c r="BP130" i="477"/>
  <c r="BO130" i="477"/>
  <c r="BN130" i="477"/>
  <c r="BM130" i="477"/>
  <c r="BL130" i="477"/>
  <c r="BK130" i="477"/>
  <c r="BJ130" i="477"/>
  <c r="BI130" i="477"/>
  <c r="BH130" i="477"/>
  <c r="BG130" i="477"/>
  <c r="BF130" i="477"/>
  <c r="BE130" i="477"/>
  <c r="BD130" i="477"/>
  <c r="BC130" i="477"/>
  <c r="BB130" i="477"/>
  <c r="BA130" i="477"/>
  <c r="AZ130" i="477"/>
  <c r="AY130" i="477"/>
  <c r="AX130" i="477"/>
  <c r="AW130" i="477"/>
  <c r="AV130" i="477"/>
  <c r="AU130" i="477"/>
  <c r="AT130" i="477"/>
  <c r="CB129" i="477"/>
  <c r="CA129" i="477"/>
  <c r="BZ129" i="477"/>
  <c r="BY129" i="477"/>
  <c r="BX129" i="477"/>
  <c r="BW129" i="477"/>
  <c r="BV129" i="477"/>
  <c r="BT129" i="477"/>
  <c r="BS129" i="477"/>
  <c r="BR129" i="477"/>
  <c r="BQ129" i="477"/>
  <c r="BP129" i="477"/>
  <c r="BO129" i="477"/>
  <c r="BN129" i="477"/>
  <c r="BM129" i="477"/>
  <c r="BL129" i="477"/>
  <c r="BK129" i="477"/>
  <c r="BJ129" i="477"/>
  <c r="BI129" i="477"/>
  <c r="BH129" i="477"/>
  <c r="BG129" i="477"/>
  <c r="BF129" i="477"/>
  <c r="BE129" i="477"/>
  <c r="BD129" i="477"/>
  <c r="BC129" i="477"/>
  <c r="BB129" i="477"/>
  <c r="BA129" i="477"/>
  <c r="AZ129" i="477"/>
  <c r="AY129" i="477"/>
  <c r="AX129" i="477"/>
  <c r="AW129" i="477"/>
  <c r="AV129" i="477"/>
  <c r="AU129" i="477"/>
  <c r="AT129" i="477"/>
  <c r="CB128" i="477"/>
  <c r="CA128" i="477"/>
  <c r="BZ128" i="477"/>
  <c r="BY128" i="477"/>
  <c r="BX128" i="477"/>
  <c r="BW128" i="477"/>
  <c r="BV128" i="477"/>
  <c r="BT128" i="477"/>
  <c r="BS128" i="477"/>
  <c r="BR128" i="477"/>
  <c r="BQ128" i="477"/>
  <c r="BP128" i="477"/>
  <c r="BO128" i="477"/>
  <c r="BN128" i="477"/>
  <c r="BM128" i="477"/>
  <c r="BL128" i="477"/>
  <c r="BK128" i="477"/>
  <c r="BJ128" i="477"/>
  <c r="BI128" i="477"/>
  <c r="BH128" i="477"/>
  <c r="BG128" i="477"/>
  <c r="BF128" i="477"/>
  <c r="BE128" i="477"/>
  <c r="BD128" i="477"/>
  <c r="BC128" i="477"/>
  <c r="BB128" i="477"/>
  <c r="BA128" i="477"/>
  <c r="AZ128" i="477"/>
  <c r="AY128" i="477"/>
  <c r="AX128" i="477"/>
  <c r="AW128" i="477"/>
  <c r="AV128" i="477"/>
  <c r="AU128" i="477"/>
  <c r="AT128" i="477"/>
  <c r="CB127" i="477"/>
  <c r="CA127" i="477"/>
  <c r="BZ127" i="477"/>
  <c r="BY127" i="477"/>
  <c r="BX127" i="477"/>
  <c r="BW127" i="477"/>
  <c r="BV127" i="477"/>
  <c r="BT127" i="477"/>
  <c r="BS127" i="477"/>
  <c r="BR127" i="477"/>
  <c r="BQ127" i="477"/>
  <c r="BP127" i="477"/>
  <c r="BO127" i="477"/>
  <c r="BN127" i="477"/>
  <c r="BM127" i="477"/>
  <c r="BL127" i="477"/>
  <c r="BK127" i="477"/>
  <c r="BJ127" i="477"/>
  <c r="BI127" i="477"/>
  <c r="BH127" i="477"/>
  <c r="BG127" i="477"/>
  <c r="BF127" i="477"/>
  <c r="BE127" i="477"/>
  <c r="BD127" i="477"/>
  <c r="BC127" i="477"/>
  <c r="BB127" i="477"/>
  <c r="BA127" i="477"/>
  <c r="AZ127" i="477"/>
  <c r="AY127" i="477"/>
  <c r="AX127" i="477"/>
  <c r="AW127" i="477"/>
  <c r="AV127" i="477"/>
  <c r="AU127" i="477"/>
  <c r="AT127" i="477"/>
  <c r="CB126" i="477"/>
  <c r="CA126" i="477"/>
  <c r="BZ126" i="477"/>
  <c r="BY126" i="477"/>
  <c r="BX126" i="477"/>
  <c r="BW126" i="477"/>
  <c r="BV126" i="477"/>
  <c r="BT126" i="477"/>
  <c r="BS126" i="477"/>
  <c r="BR126" i="477"/>
  <c r="BQ126" i="477"/>
  <c r="BP126" i="477"/>
  <c r="BO126" i="477"/>
  <c r="BN126" i="477"/>
  <c r="BM126" i="477"/>
  <c r="BL126" i="477"/>
  <c r="BK126" i="477"/>
  <c r="BJ126" i="477"/>
  <c r="BI126" i="477"/>
  <c r="BH126" i="477"/>
  <c r="BG126" i="477"/>
  <c r="BF126" i="477"/>
  <c r="BE126" i="477"/>
  <c r="BD126" i="477"/>
  <c r="BC126" i="477"/>
  <c r="BB126" i="477"/>
  <c r="BA126" i="477"/>
  <c r="AZ126" i="477"/>
  <c r="AY126" i="477"/>
  <c r="AX126" i="477"/>
  <c r="AW126" i="477"/>
  <c r="AV126" i="477"/>
  <c r="AU126" i="477"/>
  <c r="AT126" i="477"/>
  <c r="CB125" i="477"/>
  <c r="CA125" i="477"/>
  <c r="BZ125" i="477"/>
  <c r="BY125" i="477"/>
  <c r="BX125" i="477"/>
  <c r="BW125" i="477"/>
  <c r="BV125" i="477"/>
  <c r="BT125" i="477"/>
  <c r="BS125" i="477"/>
  <c r="BR125" i="477"/>
  <c r="BQ125" i="477"/>
  <c r="BP125" i="477"/>
  <c r="BO125" i="477"/>
  <c r="BN125" i="477"/>
  <c r="BM125" i="477"/>
  <c r="BL125" i="477"/>
  <c r="BK125" i="477"/>
  <c r="BJ125" i="477"/>
  <c r="BI125" i="477"/>
  <c r="BH125" i="477"/>
  <c r="BG125" i="477"/>
  <c r="BF125" i="477"/>
  <c r="BE125" i="477"/>
  <c r="BD125" i="477"/>
  <c r="BC125" i="477"/>
  <c r="BB125" i="477"/>
  <c r="BA125" i="477"/>
  <c r="AZ125" i="477"/>
  <c r="AY125" i="477"/>
  <c r="AX125" i="477"/>
  <c r="AW125" i="477"/>
  <c r="AV125" i="477"/>
  <c r="AU125" i="477"/>
  <c r="AT125" i="477"/>
  <c r="CB124" i="477"/>
  <c r="CA124" i="477"/>
  <c r="BZ124" i="477"/>
  <c r="BY124" i="477"/>
  <c r="BX124" i="477"/>
  <c r="BW124" i="477"/>
  <c r="BV124" i="477"/>
  <c r="BT124" i="477"/>
  <c r="BS124" i="477"/>
  <c r="BR124" i="477"/>
  <c r="BQ124" i="477"/>
  <c r="BP124" i="477"/>
  <c r="BO124" i="477"/>
  <c r="BN124" i="477"/>
  <c r="BM124" i="477"/>
  <c r="BL124" i="477"/>
  <c r="BK124" i="477"/>
  <c r="BJ124" i="477"/>
  <c r="BI124" i="477"/>
  <c r="BH124" i="477"/>
  <c r="BG124" i="477"/>
  <c r="BF124" i="477"/>
  <c r="BE124" i="477"/>
  <c r="BD124" i="477"/>
  <c r="BC124" i="477"/>
  <c r="BB124" i="477"/>
  <c r="BA124" i="477"/>
  <c r="AZ124" i="477"/>
  <c r="AY124" i="477"/>
  <c r="AX124" i="477"/>
  <c r="AW124" i="477"/>
  <c r="AV124" i="477"/>
  <c r="AU124" i="477"/>
  <c r="AT124" i="477"/>
  <c r="CB123" i="477"/>
  <c r="CA123" i="477"/>
  <c r="BZ123" i="477"/>
  <c r="BY123" i="477"/>
  <c r="BX123" i="477"/>
  <c r="BW123" i="477"/>
  <c r="BV123" i="477"/>
  <c r="BT123" i="477"/>
  <c r="BS123" i="477"/>
  <c r="BR123" i="477"/>
  <c r="BQ123" i="477"/>
  <c r="BP123" i="477"/>
  <c r="BO123" i="477"/>
  <c r="BN123" i="477"/>
  <c r="BM123" i="477"/>
  <c r="BL123" i="477"/>
  <c r="BK123" i="477"/>
  <c r="BJ123" i="477"/>
  <c r="BI123" i="477"/>
  <c r="BH123" i="477"/>
  <c r="BG123" i="477"/>
  <c r="BF123" i="477"/>
  <c r="BE123" i="477"/>
  <c r="BD123" i="477"/>
  <c r="BC123" i="477"/>
  <c r="BB123" i="477"/>
  <c r="BA123" i="477"/>
  <c r="AZ123" i="477"/>
  <c r="AY123" i="477"/>
  <c r="AX123" i="477"/>
  <c r="AW123" i="477"/>
  <c r="AV123" i="477"/>
  <c r="AU123" i="477"/>
  <c r="AT123" i="477"/>
  <c r="CB122" i="477"/>
  <c r="CA122" i="477"/>
  <c r="BZ122" i="477"/>
  <c r="BY122" i="477"/>
  <c r="BX122" i="477"/>
  <c r="BW122" i="477"/>
  <c r="BV122" i="477"/>
  <c r="BT122" i="477"/>
  <c r="BS122" i="477"/>
  <c r="BR122" i="477"/>
  <c r="BQ122" i="477"/>
  <c r="BP122" i="477"/>
  <c r="BO122" i="477"/>
  <c r="BN122" i="477"/>
  <c r="BM122" i="477"/>
  <c r="BL122" i="477"/>
  <c r="BK122" i="477"/>
  <c r="BJ122" i="477"/>
  <c r="BI122" i="477"/>
  <c r="BH122" i="477"/>
  <c r="BG122" i="477"/>
  <c r="BF122" i="477"/>
  <c r="BE122" i="477"/>
  <c r="BD122" i="477"/>
  <c r="BC122" i="477"/>
  <c r="BB122" i="477"/>
  <c r="BA122" i="477"/>
  <c r="AZ122" i="477"/>
  <c r="AY122" i="477"/>
  <c r="AX122" i="477"/>
  <c r="AW122" i="477"/>
  <c r="AV122" i="477"/>
  <c r="AU122" i="477"/>
  <c r="AT122" i="477"/>
  <c r="CB121" i="477"/>
  <c r="CA121" i="477"/>
  <c r="BZ121" i="477"/>
  <c r="BY121" i="477"/>
  <c r="BX121" i="477"/>
  <c r="BW121" i="477"/>
  <c r="BV121" i="477"/>
  <c r="BT121" i="477"/>
  <c r="BS121" i="477"/>
  <c r="BR121" i="477"/>
  <c r="BQ121" i="477"/>
  <c r="BP121" i="477"/>
  <c r="BO121" i="477"/>
  <c r="BN121" i="477"/>
  <c r="BM121" i="477"/>
  <c r="BL121" i="477"/>
  <c r="BK121" i="477"/>
  <c r="BJ121" i="477"/>
  <c r="BI121" i="477"/>
  <c r="BH121" i="477"/>
  <c r="BG121" i="477"/>
  <c r="BF121" i="477"/>
  <c r="BE121" i="477"/>
  <c r="BD121" i="477"/>
  <c r="BC121" i="477"/>
  <c r="BB121" i="477"/>
  <c r="BA121" i="477"/>
  <c r="AZ121" i="477"/>
  <c r="AY121" i="477"/>
  <c r="AX121" i="477"/>
  <c r="AW121" i="477"/>
  <c r="AV121" i="477"/>
  <c r="AU121" i="477"/>
  <c r="AT121" i="477"/>
  <c r="CB120" i="477"/>
  <c r="CA120" i="477"/>
  <c r="BZ120" i="477"/>
  <c r="BY120" i="477"/>
  <c r="BX120" i="477"/>
  <c r="BW120" i="477"/>
  <c r="BV120" i="477"/>
  <c r="BT120" i="477"/>
  <c r="BS120" i="477"/>
  <c r="BR120" i="477"/>
  <c r="BQ120" i="477"/>
  <c r="BP120" i="477"/>
  <c r="BO120" i="477"/>
  <c r="BN120" i="477"/>
  <c r="BM120" i="477"/>
  <c r="BL120" i="477"/>
  <c r="BK120" i="477"/>
  <c r="BJ120" i="477"/>
  <c r="BI120" i="477"/>
  <c r="BH120" i="477"/>
  <c r="BG120" i="477"/>
  <c r="BF120" i="477"/>
  <c r="BE120" i="477"/>
  <c r="BD120" i="477"/>
  <c r="BC120" i="477"/>
  <c r="BB120" i="477"/>
  <c r="BA120" i="477"/>
  <c r="AZ120" i="477"/>
  <c r="AY120" i="477"/>
  <c r="AX120" i="477"/>
  <c r="AW120" i="477"/>
  <c r="AV120" i="477"/>
  <c r="AU120" i="477"/>
  <c r="AT120" i="477"/>
  <c r="CB119" i="477"/>
  <c r="CA119" i="477"/>
  <c r="BZ119" i="477"/>
  <c r="BY119" i="477"/>
  <c r="BX119" i="477"/>
  <c r="BW119" i="477"/>
  <c r="BV119" i="477"/>
  <c r="BT119" i="477"/>
  <c r="BS119" i="477"/>
  <c r="BR119" i="477"/>
  <c r="BQ119" i="477"/>
  <c r="BP119" i="477"/>
  <c r="BO119" i="477"/>
  <c r="BN119" i="477"/>
  <c r="BM119" i="477"/>
  <c r="BL119" i="477"/>
  <c r="BK119" i="477"/>
  <c r="BJ119" i="477"/>
  <c r="BI119" i="477"/>
  <c r="BH119" i="477"/>
  <c r="BG119" i="477"/>
  <c r="BF119" i="477"/>
  <c r="BE119" i="477"/>
  <c r="BD119" i="477"/>
  <c r="BC119" i="477"/>
  <c r="BB119" i="477"/>
  <c r="BA119" i="477"/>
  <c r="AZ119" i="477"/>
  <c r="AY119" i="477"/>
  <c r="AX119" i="477"/>
  <c r="AW119" i="477"/>
  <c r="AV119" i="477"/>
  <c r="AU119" i="477"/>
  <c r="AT119" i="477"/>
  <c r="CB118" i="477"/>
  <c r="CA118" i="477"/>
  <c r="BZ118" i="477"/>
  <c r="BY118" i="477"/>
  <c r="BX118" i="477"/>
  <c r="BW118" i="477"/>
  <c r="BV118" i="477"/>
  <c r="BT118" i="477"/>
  <c r="BS118" i="477"/>
  <c r="BR118" i="477"/>
  <c r="BQ118" i="477"/>
  <c r="BP118" i="477"/>
  <c r="BO118" i="477"/>
  <c r="BN118" i="477"/>
  <c r="BM118" i="477"/>
  <c r="BL118" i="477"/>
  <c r="BK118" i="477"/>
  <c r="BJ118" i="477"/>
  <c r="BI118" i="477"/>
  <c r="BH118" i="477"/>
  <c r="BG118" i="477"/>
  <c r="BF118" i="477"/>
  <c r="BE118" i="477"/>
  <c r="BD118" i="477"/>
  <c r="BC118" i="477"/>
  <c r="BB118" i="477"/>
  <c r="BA118" i="477"/>
  <c r="AZ118" i="477"/>
  <c r="AY118" i="477"/>
  <c r="AX118" i="477"/>
  <c r="AW118" i="477"/>
  <c r="AV118" i="477"/>
  <c r="AU118" i="477"/>
  <c r="AT118" i="477"/>
  <c r="CB117" i="477"/>
  <c r="CA117" i="477"/>
  <c r="BZ117" i="477"/>
  <c r="BY117" i="477"/>
  <c r="BX117" i="477"/>
  <c r="BW117" i="477"/>
  <c r="BV117" i="477"/>
  <c r="BT117" i="477"/>
  <c r="BS117" i="477"/>
  <c r="BR117" i="477"/>
  <c r="BQ117" i="477"/>
  <c r="BP117" i="477"/>
  <c r="BO117" i="477"/>
  <c r="BN117" i="477"/>
  <c r="BM117" i="477"/>
  <c r="BL117" i="477"/>
  <c r="BK117" i="477"/>
  <c r="BJ117" i="477"/>
  <c r="BI117" i="477"/>
  <c r="BH117" i="477"/>
  <c r="BG117" i="477"/>
  <c r="BF117" i="477"/>
  <c r="BE117" i="477"/>
  <c r="BD117" i="477"/>
  <c r="BC117" i="477"/>
  <c r="BB117" i="477"/>
  <c r="BA117" i="477"/>
  <c r="AZ117" i="477"/>
  <c r="AY117" i="477"/>
  <c r="AX117" i="477"/>
  <c r="AW117" i="477"/>
  <c r="AV117" i="477"/>
  <c r="AU117" i="477"/>
  <c r="AT117" i="477"/>
  <c r="CB116" i="477"/>
  <c r="CA116" i="477"/>
  <c r="BZ116" i="477"/>
  <c r="BY116" i="477"/>
  <c r="BX116" i="477"/>
  <c r="BW116" i="477"/>
  <c r="BV116" i="477"/>
  <c r="BT116" i="477"/>
  <c r="BS116" i="477"/>
  <c r="BR116" i="477"/>
  <c r="BQ116" i="477"/>
  <c r="BP116" i="477"/>
  <c r="BO116" i="477"/>
  <c r="BN116" i="477"/>
  <c r="BM116" i="477"/>
  <c r="BL116" i="477"/>
  <c r="BK116" i="477"/>
  <c r="BJ116" i="477"/>
  <c r="BI116" i="477"/>
  <c r="BH116" i="477"/>
  <c r="BG116" i="477"/>
  <c r="BF116" i="477"/>
  <c r="BE116" i="477"/>
  <c r="BD116" i="477"/>
  <c r="BC116" i="477"/>
  <c r="BB116" i="477"/>
  <c r="BA116" i="477"/>
  <c r="AZ116" i="477"/>
  <c r="AY116" i="477"/>
  <c r="AX116" i="477"/>
  <c r="AW116" i="477"/>
  <c r="AV116" i="477"/>
  <c r="AU116" i="477"/>
  <c r="AT116" i="477"/>
  <c r="CB115" i="477"/>
  <c r="CA115" i="477"/>
  <c r="BZ115" i="477"/>
  <c r="BY115" i="477"/>
  <c r="BX115" i="477"/>
  <c r="BW115" i="477"/>
  <c r="BV115" i="477"/>
  <c r="BT115" i="477"/>
  <c r="BS115" i="477"/>
  <c r="BR115" i="477"/>
  <c r="BQ115" i="477"/>
  <c r="BP115" i="477"/>
  <c r="BO115" i="477"/>
  <c r="BN115" i="477"/>
  <c r="BM115" i="477"/>
  <c r="BL115" i="477"/>
  <c r="BK115" i="477"/>
  <c r="BJ115" i="477"/>
  <c r="BI115" i="477"/>
  <c r="BH115" i="477"/>
  <c r="BG115" i="477"/>
  <c r="BF115" i="477"/>
  <c r="BE115" i="477"/>
  <c r="BD115" i="477"/>
  <c r="BC115" i="477"/>
  <c r="BB115" i="477"/>
  <c r="BA115" i="477"/>
  <c r="AZ115" i="477"/>
  <c r="AY115" i="477"/>
  <c r="AX115" i="477"/>
  <c r="AW115" i="477"/>
  <c r="AV115" i="477"/>
  <c r="AU115" i="477"/>
  <c r="AT115" i="477"/>
  <c r="CB114" i="477"/>
  <c r="CA114" i="477"/>
  <c r="BZ114" i="477"/>
  <c r="BY114" i="477"/>
  <c r="BX114" i="477"/>
  <c r="BW114" i="477"/>
  <c r="BV114" i="477"/>
  <c r="BT114" i="477"/>
  <c r="BS114" i="477"/>
  <c r="BR114" i="477"/>
  <c r="BQ114" i="477"/>
  <c r="BP114" i="477"/>
  <c r="BO114" i="477"/>
  <c r="BN114" i="477"/>
  <c r="BM114" i="477"/>
  <c r="BL114" i="477"/>
  <c r="BK114" i="477"/>
  <c r="BJ114" i="477"/>
  <c r="BI114" i="477"/>
  <c r="BH114" i="477"/>
  <c r="BG114" i="477"/>
  <c r="BF114" i="477"/>
  <c r="BE114" i="477"/>
  <c r="BD114" i="477"/>
  <c r="BC114" i="477"/>
  <c r="BB114" i="477"/>
  <c r="BA114" i="477"/>
  <c r="AZ114" i="477"/>
  <c r="AY114" i="477"/>
  <c r="AX114" i="477"/>
  <c r="AW114" i="477"/>
  <c r="AV114" i="477"/>
  <c r="AU114" i="477"/>
  <c r="AT114" i="477"/>
  <c r="CB113" i="477"/>
  <c r="CA113" i="477"/>
  <c r="BZ113" i="477"/>
  <c r="BY113" i="477"/>
  <c r="BX113" i="477"/>
  <c r="BW113" i="477"/>
  <c r="BV113" i="477"/>
  <c r="BT113" i="477"/>
  <c r="BS113" i="477"/>
  <c r="BR113" i="477"/>
  <c r="BQ113" i="477"/>
  <c r="BP113" i="477"/>
  <c r="BO113" i="477"/>
  <c r="BN113" i="477"/>
  <c r="BM113" i="477"/>
  <c r="BL113" i="477"/>
  <c r="BK113" i="477"/>
  <c r="BJ113" i="477"/>
  <c r="BI113" i="477"/>
  <c r="BH113" i="477"/>
  <c r="BG113" i="477"/>
  <c r="BF113" i="477"/>
  <c r="BE113" i="477"/>
  <c r="BD113" i="477"/>
  <c r="BC113" i="477"/>
  <c r="BB113" i="477"/>
  <c r="BA113" i="477"/>
  <c r="AZ113" i="477"/>
  <c r="AY113" i="477"/>
  <c r="AX113" i="477"/>
  <c r="AW113" i="477"/>
  <c r="AV113" i="477"/>
  <c r="AU113" i="477"/>
  <c r="AT113" i="477"/>
  <c r="CB112" i="477"/>
  <c r="CA112" i="477"/>
  <c r="BZ112" i="477"/>
  <c r="BY112" i="477"/>
  <c r="BX112" i="477"/>
  <c r="BW112" i="477"/>
  <c r="BV112" i="477"/>
  <c r="BT112" i="477"/>
  <c r="BS112" i="477"/>
  <c r="BR112" i="477"/>
  <c r="BQ112" i="477"/>
  <c r="BP112" i="477"/>
  <c r="BO112" i="477"/>
  <c r="BN112" i="477"/>
  <c r="BM112" i="477"/>
  <c r="BL112" i="477"/>
  <c r="BK112" i="477"/>
  <c r="BJ112" i="477"/>
  <c r="BI112" i="477"/>
  <c r="BH112" i="477"/>
  <c r="BG112" i="477"/>
  <c r="BF112" i="477"/>
  <c r="BE112" i="477"/>
  <c r="BD112" i="477"/>
  <c r="BC112" i="477"/>
  <c r="BB112" i="477"/>
  <c r="BA112" i="477"/>
  <c r="AZ112" i="477"/>
  <c r="AY112" i="477"/>
  <c r="AX112" i="477"/>
  <c r="AW112" i="477"/>
  <c r="AV112" i="477"/>
  <c r="AU112" i="477"/>
  <c r="AT112" i="477"/>
  <c r="CB111" i="477"/>
  <c r="CA111" i="477"/>
  <c r="BZ111" i="477"/>
  <c r="BY111" i="477"/>
  <c r="BX111" i="477"/>
  <c r="BW111" i="477"/>
  <c r="BV111" i="477"/>
  <c r="BT111" i="477"/>
  <c r="BS111" i="477"/>
  <c r="BR111" i="477"/>
  <c r="BQ111" i="477"/>
  <c r="BP111" i="477"/>
  <c r="BO111" i="477"/>
  <c r="BN111" i="477"/>
  <c r="BM111" i="477"/>
  <c r="BL111" i="477"/>
  <c r="BK111" i="477"/>
  <c r="BJ111" i="477"/>
  <c r="BI111" i="477"/>
  <c r="BH111" i="477"/>
  <c r="BG111" i="477"/>
  <c r="BF111" i="477"/>
  <c r="BE111" i="477"/>
  <c r="BD111" i="477"/>
  <c r="BC111" i="477"/>
  <c r="BB111" i="477"/>
  <c r="BA111" i="477"/>
  <c r="AZ111" i="477"/>
  <c r="AY111" i="477"/>
  <c r="AX111" i="477"/>
  <c r="AW111" i="477"/>
  <c r="AV111" i="477"/>
  <c r="AU111" i="477"/>
  <c r="AT111" i="477"/>
  <c r="CB110" i="477"/>
  <c r="CA110" i="477"/>
  <c r="BZ110" i="477"/>
  <c r="BY110" i="477"/>
  <c r="BX110" i="477"/>
  <c r="BW110" i="477"/>
  <c r="BV110" i="477"/>
  <c r="BT110" i="477"/>
  <c r="BS110" i="477"/>
  <c r="BR110" i="477"/>
  <c r="BQ110" i="477"/>
  <c r="BP110" i="477"/>
  <c r="BO110" i="477"/>
  <c r="BN110" i="477"/>
  <c r="BM110" i="477"/>
  <c r="BL110" i="477"/>
  <c r="BK110" i="477"/>
  <c r="BJ110" i="477"/>
  <c r="BI110" i="477"/>
  <c r="BH110" i="477"/>
  <c r="BG110" i="477"/>
  <c r="BF110" i="477"/>
  <c r="BE110" i="477"/>
  <c r="BD110" i="477"/>
  <c r="BC110" i="477"/>
  <c r="BB110" i="477"/>
  <c r="BA110" i="477"/>
  <c r="AZ110" i="477"/>
  <c r="AY110" i="477"/>
  <c r="AX110" i="477"/>
  <c r="AW110" i="477"/>
  <c r="AV110" i="477"/>
  <c r="AU110" i="477"/>
  <c r="AT110" i="477"/>
  <c r="CB109" i="477"/>
  <c r="CA109" i="477"/>
  <c r="BZ109" i="477"/>
  <c r="BY109" i="477"/>
  <c r="BX109" i="477"/>
  <c r="BW109" i="477"/>
  <c r="BV109" i="477"/>
  <c r="BT109" i="477"/>
  <c r="BS109" i="477"/>
  <c r="BR109" i="477"/>
  <c r="BQ109" i="477"/>
  <c r="BP109" i="477"/>
  <c r="BO109" i="477"/>
  <c r="BN109" i="477"/>
  <c r="BM109" i="477"/>
  <c r="BL109" i="477"/>
  <c r="BK109" i="477"/>
  <c r="BJ109" i="477"/>
  <c r="BI109" i="477"/>
  <c r="BH109" i="477"/>
  <c r="BG109" i="477"/>
  <c r="BF109" i="477"/>
  <c r="BE109" i="477"/>
  <c r="BD109" i="477"/>
  <c r="BC109" i="477"/>
  <c r="BB109" i="477"/>
  <c r="BA109" i="477"/>
  <c r="AZ109" i="477"/>
  <c r="AY109" i="477"/>
  <c r="AX109" i="477"/>
  <c r="AW109" i="477"/>
  <c r="AV109" i="477"/>
  <c r="AU109" i="477"/>
  <c r="AT109" i="477"/>
  <c r="CB108" i="477"/>
  <c r="CA108" i="477"/>
  <c r="BZ108" i="477"/>
  <c r="BY108" i="477"/>
  <c r="BX108" i="477"/>
  <c r="BW108" i="477"/>
  <c r="BV108" i="477"/>
  <c r="BT108" i="477"/>
  <c r="BS108" i="477"/>
  <c r="BR108" i="477"/>
  <c r="BQ108" i="477"/>
  <c r="BP108" i="477"/>
  <c r="BO108" i="477"/>
  <c r="BN108" i="477"/>
  <c r="BM108" i="477"/>
  <c r="BL108" i="477"/>
  <c r="BK108" i="477"/>
  <c r="BJ108" i="477"/>
  <c r="BI108" i="477"/>
  <c r="BH108" i="477"/>
  <c r="BG108" i="477"/>
  <c r="BF108" i="477"/>
  <c r="BE108" i="477"/>
  <c r="BD108" i="477"/>
  <c r="BC108" i="477"/>
  <c r="BB108" i="477"/>
  <c r="BA108" i="477"/>
  <c r="AZ108" i="477"/>
  <c r="AY108" i="477"/>
  <c r="AX108" i="477"/>
  <c r="AW108" i="477"/>
  <c r="AV108" i="477"/>
  <c r="AU108" i="477"/>
  <c r="AT108" i="477"/>
  <c r="CB107" i="477"/>
  <c r="CA107" i="477"/>
  <c r="BZ107" i="477"/>
  <c r="BY107" i="477"/>
  <c r="BX107" i="477"/>
  <c r="BW107" i="477"/>
  <c r="BS107" i="477"/>
  <c r="BR107" i="477"/>
  <c r="BQ107" i="477"/>
  <c r="BP107" i="477"/>
  <c r="BO107" i="477"/>
  <c r="BL107" i="477"/>
  <c r="BK107" i="477"/>
  <c r="BJ107" i="477"/>
  <c r="BI107" i="477"/>
  <c r="BD107" i="477"/>
  <c r="CB106" i="477"/>
  <c r="CA106" i="477"/>
  <c r="BZ106" i="477"/>
  <c r="BY106" i="477"/>
  <c r="BX106" i="477"/>
  <c r="BW106" i="477"/>
  <c r="BS106" i="477"/>
  <c r="BR106" i="477"/>
  <c r="BQ106" i="477"/>
  <c r="BP106" i="477"/>
  <c r="BO106" i="477"/>
  <c r="BL106" i="477"/>
  <c r="BK106" i="477"/>
  <c r="BJ106" i="477"/>
  <c r="BI106" i="477"/>
  <c r="BD106" i="477"/>
  <c r="CB105" i="477"/>
  <c r="CA105" i="477"/>
  <c r="BZ105" i="477"/>
  <c r="BY105" i="477"/>
  <c r="BX105" i="477"/>
  <c r="BW105" i="477"/>
  <c r="BS105" i="477"/>
  <c r="BR105" i="477"/>
  <c r="BQ105" i="477"/>
  <c r="BP105" i="477"/>
  <c r="BO105" i="477"/>
  <c r="BL105" i="477"/>
  <c r="BK105" i="477"/>
  <c r="BJ105" i="477"/>
  <c r="BI105" i="477"/>
  <c r="BD105" i="477"/>
  <c r="CB104" i="477"/>
  <c r="CA104" i="477"/>
  <c r="BZ104" i="477"/>
  <c r="BY104" i="477"/>
  <c r="BX104" i="477"/>
  <c r="BW104" i="477"/>
  <c r="BV104" i="477"/>
  <c r="BT104" i="477"/>
  <c r="BS104" i="477"/>
  <c r="BR104" i="477"/>
  <c r="BQ104" i="477"/>
  <c r="BP104" i="477"/>
  <c r="BO104" i="477"/>
  <c r="BN104" i="477"/>
  <c r="BM104" i="477"/>
  <c r="BL104" i="477"/>
  <c r="BK104" i="477"/>
  <c r="BJ104" i="477"/>
  <c r="BI104" i="477"/>
  <c r="BH104" i="477"/>
  <c r="BG104" i="477"/>
  <c r="BF104" i="477"/>
  <c r="BE104" i="477"/>
  <c r="BD104" i="477"/>
  <c r="BC104" i="477"/>
  <c r="BB104" i="477"/>
  <c r="BA104" i="477"/>
  <c r="AZ104" i="477"/>
  <c r="AY104" i="477"/>
  <c r="AX104" i="477"/>
  <c r="AW104" i="477"/>
  <c r="AV104" i="477"/>
  <c r="AU104" i="477"/>
  <c r="AT104" i="477"/>
  <c r="CB103" i="477"/>
  <c r="CA103" i="477"/>
  <c r="BZ103" i="477"/>
  <c r="BY103" i="477"/>
  <c r="BX103" i="477"/>
  <c r="BW103" i="477"/>
  <c r="BS103" i="477"/>
  <c r="BR103" i="477"/>
  <c r="BQ103" i="477"/>
  <c r="BP103" i="477"/>
  <c r="BO103" i="477"/>
  <c r="BL103" i="477"/>
  <c r="BK103" i="477"/>
  <c r="BJ103" i="477"/>
  <c r="BI103" i="477"/>
  <c r="BD103" i="477"/>
  <c r="CB102" i="477"/>
  <c r="CA102" i="477"/>
  <c r="BZ102" i="477"/>
  <c r="BY102" i="477"/>
  <c r="BX102" i="477"/>
  <c r="BW102" i="477"/>
  <c r="BS102" i="477"/>
  <c r="BR102" i="477"/>
  <c r="BQ102" i="477"/>
  <c r="BP102" i="477"/>
  <c r="BO102" i="477"/>
  <c r="BL102" i="477"/>
  <c r="BK102" i="477"/>
  <c r="BJ102" i="477"/>
  <c r="BI102" i="477"/>
  <c r="BD102" i="477"/>
  <c r="CB101" i="477"/>
  <c r="CA101" i="477"/>
  <c r="BZ101" i="477"/>
  <c r="BY101" i="477"/>
  <c r="BX101" i="477"/>
  <c r="BW101" i="477"/>
  <c r="BS101" i="477"/>
  <c r="BR101" i="477"/>
  <c r="BQ101" i="477"/>
  <c r="BP101" i="477"/>
  <c r="BO101" i="477"/>
  <c r="BL101" i="477"/>
  <c r="BK101" i="477"/>
  <c r="BJ101" i="477"/>
  <c r="BI101" i="477"/>
  <c r="BD101" i="477"/>
  <c r="CB100" i="477"/>
  <c r="CA100" i="477"/>
  <c r="BZ100" i="477"/>
  <c r="BY100" i="477"/>
  <c r="BX100" i="477"/>
  <c r="BW100" i="477"/>
  <c r="BS100" i="477"/>
  <c r="BR100" i="477"/>
  <c r="BQ100" i="477"/>
  <c r="BP100" i="477"/>
  <c r="BO100" i="477"/>
  <c r="BL100" i="477"/>
  <c r="BK100" i="477"/>
  <c r="BJ100" i="477"/>
  <c r="BI100" i="477"/>
  <c r="BD100" i="477"/>
  <c r="CB99" i="477"/>
  <c r="CA99" i="477"/>
  <c r="BZ99" i="477"/>
  <c r="BY99" i="477"/>
  <c r="BX99" i="477"/>
  <c r="BW99" i="477"/>
  <c r="BS99" i="477"/>
  <c r="BR99" i="477"/>
  <c r="BQ99" i="477"/>
  <c r="BP99" i="477"/>
  <c r="BO99" i="477"/>
  <c r="BL99" i="477"/>
  <c r="BK99" i="477"/>
  <c r="BJ99" i="477"/>
  <c r="BI99" i="477"/>
  <c r="BD99" i="477"/>
  <c r="CB98" i="477"/>
  <c r="CA98" i="477"/>
  <c r="BZ98" i="477"/>
  <c r="BY98" i="477"/>
  <c r="BX98" i="477"/>
  <c r="BW98" i="477"/>
  <c r="BS98" i="477"/>
  <c r="BR98" i="477"/>
  <c r="BQ98" i="477"/>
  <c r="BP98" i="477"/>
  <c r="BO98" i="477"/>
  <c r="BL98" i="477"/>
  <c r="BK98" i="477"/>
  <c r="BJ98" i="477"/>
  <c r="BI98" i="477"/>
  <c r="BD98" i="477"/>
  <c r="CB97" i="477"/>
  <c r="CA97" i="477"/>
  <c r="BZ97" i="477"/>
  <c r="BY97" i="477"/>
  <c r="BX97" i="477"/>
  <c r="BW97" i="477"/>
  <c r="BS97" i="477"/>
  <c r="BR97" i="477"/>
  <c r="BQ97" i="477"/>
  <c r="BP97" i="477"/>
  <c r="BO97" i="477"/>
  <c r="BL97" i="477"/>
  <c r="BK97" i="477"/>
  <c r="BJ97" i="477"/>
  <c r="BI97" i="477"/>
  <c r="BD97" i="477"/>
  <c r="CB96" i="477"/>
  <c r="CA96" i="477"/>
  <c r="BZ96" i="477"/>
  <c r="BY96" i="477"/>
  <c r="BX96" i="477"/>
  <c r="BW96" i="477"/>
  <c r="BS96" i="477"/>
  <c r="BR96" i="477"/>
  <c r="BQ96" i="477"/>
  <c r="BP96" i="477"/>
  <c r="BO96" i="477"/>
  <c r="BL96" i="477"/>
  <c r="BK96" i="477"/>
  <c r="BJ96" i="477"/>
  <c r="BI96" i="477"/>
  <c r="BD96" i="477"/>
  <c r="CB95" i="477"/>
  <c r="CA95" i="477"/>
  <c r="BZ95" i="477"/>
  <c r="BY95" i="477"/>
  <c r="BX95" i="477"/>
  <c r="BW95" i="477"/>
  <c r="BS95" i="477"/>
  <c r="BR95" i="477"/>
  <c r="BQ95" i="477"/>
  <c r="BP95" i="477"/>
  <c r="BO95" i="477"/>
  <c r="BL95" i="477"/>
  <c r="BK95" i="477"/>
  <c r="BJ95" i="477"/>
  <c r="BI95" i="477"/>
  <c r="BD95" i="477"/>
  <c r="CB94" i="477"/>
  <c r="CA94" i="477"/>
  <c r="BZ94" i="477"/>
  <c r="BY94" i="477"/>
  <c r="BX94" i="477"/>
  <c r="BW94" i="477"/>
  <c r="BS94" i="477"/>
  <c r="BR94" i="477"/>
  <c r="BQ94" i="477"/>
  <c r="BP94" i="477"/>
  <c r="BO94" i="477"/>
  <c r="BL94" i="477"/>
  <c r="BK94" i="477"/>
  <c r="BJ94" i="477"/>
  <c r="BI94" i="477"/>
  <c r="BD94" i="477"/>
  <c r="CB93" i="477"/>
  <c r="CA93" i="477"/>
  <c r="BZ93" i="477"/>
  <c r="BY93" i="477"/>
  <c r="BX93" i="477"/>
  <c r="BW93" i="477"/>
  <c r="BS93" i="477"/>
  <c r="BR93" i="477"/>
  <c r="BQ93" i="477"/>
  <c r="BP93" i="477"/>
  <c r="BO93" i="477"/>
  <c r="BL93" i="477"/>
  <c r="BK93" i="477"/>
  <c r="BJ93" i="477"/>
  <c r="BI93" i="477"/>
  <c r="BD93" i="477"/>
  <c r="CB92" i="477"/>
  <c r="CA92" i="477"/>
  <c r="BZ92" i="477"/>
  <c r="BY92" i="477"/>
  <c r="BX92" i="477"/>
  <c r="BW92" i="477"/>
  <c r="BS92" i="477"/>
  <c r="BR92" i="477"/>
  <c r="BQ92" i="477"/>
  <c r="BP92" i="477"/>
  <c r="BO92" i="477"/>
  <c r="BL92" i="477"/>
  <c r="BK92" i="477"/>
  <c r="BJ92" i="477"/>
  <c r="BI92" i="477"/>
  <c r="BD92" i="477"/>
  <c r="CB91" i="477"/>
  <c r="CA91" i="477"/>
  <c r="BZ91" i="477"/>
  <c r="BY91" i="477"/>
  <c r="BX91" i="477"/>
  <c r="BW91" i="477"/>
  <c r="BS91" i="477"/>
  <c r="BR91" i="477"/>
  <c r="BQ91" i="477"/>
  <c r="BP91" i="477"/>
  <c r="BO91" i="477"/>
  <c r="BL91" i="477"/>
  <c r="BK91" i="477"/>
  <c r="BJ91" i="477"/>
  <c r="BI91" i="477"/>
  <c r="BD91" i="477"/>
  <c r="CB90" i="477"/>
  <c r="CA90" i="477"/>
  <c r="BZ90" i="477"/>
  <c r="BY90" i="477"/>
  <c r="BX90" i="477"/>
  <c r="BW90" i="477"/>
  <c r="BS90" i="477"/>
  <c r="BR90" i="477"/>
  <c r="BQ90" i="477"/>
  <c r="BP90" i="477"/>
  <c r="BO90" i="477"/>
  <c r="BL90" i="477"/>
  <c r="BK90" i="477"/>
  <c r="BJ90" i="477"/>
  <c r="BI90" i="477"/>
  <c r="BD90" i="477"/>
  <c r="CB89" i="477"/>
  <c r="CA89" i="477"/>
  <c r="BZ89" i="477"/>
  <c r="BY89" i="477"/>
  <c r="BX89" i="477"/>
  <c r="BW89" i="477"/>
  <c r="BS89" i="477"/>
  <c r="BR89" i="477"/>
  <c r="BQ89" i="477"/>
  <c r="BP89" i="477"/>
  <c r="BO89" i="477"/>
  <c r="BL89" i="477"/>
  <c r="BK89" i="477"/>
  <c r="BJ89" i="477"/>
  <c r="BI89" i="477"/>
  <c r="BD89" i="477"/>
  <c r="CB88" i="477"/>
  <c r="CA88" i="477"/>
  <c r="BZ88" i="477"/>
  <c r="BY88" i="477"/>
  <c r="BX88" i="477"/>
  <c r="BW88" i="477"/>
  <c r="BS88" i="477"/>
  <c r="BR88" i="477"/>
  <c r="BQ88" i="477"/>
  <c r="BP88" i="477"/>
  <c r="BO88" i="477"/>
  <c r="BL88" i="477"/>
  <c r="BK88" i="477"/>
  <c r="BJ88" i="477"/>
  <c r="BI88" i="477"/>
  <c r="BD88" i="477"/>
  <c r="CB87" i="477"/>
  <c r="CA87" i="477"/>
  <c r="BZ87" i="477"/>
  <c r="BY87" i="477"/>
  <c r="BX87" i="477"/>
  <c r="BW87" i="477"/>
  <c r="BS87" i="477"/>
  <c r="BR87" i="477"/>
  <c r="BQ87" i="477"/>
  <c r="BP87" i="477"/>
  <c r="BO87" i="477"/>
  <c r="BL87" i="477"/>
  <c r="BK87" i="477"/>
  <c r="BJ87" i="477"/>
  <c r="BI87" i="477"/>
  <c r="BD87" i="477"/>
  <c r="CB86" i="477"/>
  <c r="CA86" i="477"/>
  <c r="BZ86" i="477"/>
  <c r="BY86" i="477"/>
  <c r="BX86" i="477"/>
  <c r="BW86" i="477"/>
  <c r="BS86" i="477"/>
  <c r="BR86" i="477"/>
  <c r="BQ86" i="477"/>
  <c r="BP86" i="477"/>
  <c r="BO86" i="477"/>
  <c r="BL86" i="477"/>
  <c r="BK86" i="477"/>
  <c r="BJ86" i="477"/>
  <c r="BI86" i="477"/>
  <c r="BD86" i="477"/>
  <c r="CB85" i="477"/>
  <c r="CA85" i="477"/>
  <c r="BZ85" i="477"/>
  <c r="BY85" i="477"/>
  <c r="BX85" i="477"/>
  <c r="BW85" i="477"/>
  <c r="BS85" i="477"/>
  <c r="BR85" i="477"/>
  <c r="BQ85" i="477"/>
  <c r="BP85" i="477"/>
  <c r="BO85" i="477"/>
  <c r="BL85" i="477"/>
  <c r="BK85" i="477"/>
  <c r="BJ85" i="477"/>
  <c r="BI85" i="477"/>
  <c r="BD85" i="477"/>
  <c r="CB84" i="477"/>
  <c r="CA84" i="477"/>
  <c r="BZ84" i="477"/>
  <c r="BY84" i="477"/>
  <c r="BX84" i="477"/>
  <c r="BW84" i="477"/>
  <c r="BS84" i="477"/>
  <c r="BR84" i="477"/>
  <c r="BQ84" i="477"/>
  <c r="BP84" i="477"/>
  <c r="BO84" i="477"/>
  <c r="BL84" i="477"/>
  <c r="BK84" i="477"/>
  <c r="BJ84" i="477"/>
  <c r="BI84" i="477"/>
  <c r="BD84" i="477"/>
  <c r="CB83" i="477"/>
  <c r="CA83" i="477"/>
  <c r="BZ83" i="477"/>
  <c r="BY83" i="477"/>
  <c r="BX83" i="477"/>
  <c r="BW83" i="477"/>
  <c r="BS83" i="477"/>
  <c r="BR83" i="477"/>
  <c r="BQ83" i="477"/>
  <c r="BP83" i="477"/>
  <c r="BO83" i="477"/>
  <c r="BL83" i="477"/>
  <c r="BK83" i="477"/>
  <c r="BJ83" i="477"/>
  <c r="BI83" i="477"/>
  <c r="BD83" i="477"/>
  <c r="CB82" i="477"/>
  <c r="CA82" i="477"/>
  <c r="BZ82" i="477"/>
  <c r="BY82" i="477"/>
  <c r="BX82" i="477"/>
  <c r="BW82" i="477"/>
  <c r="BS82" i="477"/>
  <c r="BR82" i="477"/>
  <c r="BQ82" i="477"/>
  <c r="BP82" i="477"/>
  <c r="BO82" i="477"/>
  <c r="BL82" i="477"/>
  <c r="BK82" i="477"/>
  <c r="BJ82" i="477"/>
  <c r="BI82" i="477"/>
  <c r="BD82" i="477"/>
  <c r="CB81" i="477"/>
  <c r="CA81" i="477"/>
  <c r="BZ81" i="477"/>
  <c r="BY81" i="477"/>
  <c r="BX81" i="477"/>
  <c r="BW81" i="477"/>
  <c r="BS81" i="477"/>
  <c r="BR81" i="477"/>
  <c r="BQ81" i="477"/>
  <c r="BP81" i="477"/>
  <c r="BO81" i="477"/>
  <c r="BL81" i="477"/>
  <c r="BK81" i="477"/>
  <c r="BJ81" i="477"/>
  <c r="BI81" i="477"/>
  <c r="BD81" i="477"/>
  <c r="CB80" i="477"/>
  <c r="CA80" i="477"/>
  <c r="BZ80" i="477"/>
  <c r="BY80" i="477"/>
  <c r="BX80" i="477"/>
  <c r="BW80" i="477"/>
  <c r="BS80" i="477"/>
  <c r="BR80" i="477"/>
  <c r="BQ80" i="477"/>
  <c r="BP80" i="477"/>
  <c r="BO80" i="477"/>
  <c r="BL80" i="477"/>
  <c r="BK80" i="477"/>
  <c r="BJ80" i="477"/>
  <c r="BI80" i="477"/>
  <c r="BD80" i="477"/>
  <c r="CB79" i="477"/>
  <c r="CA79" i="477"/>
  <c r="BZ79" i="477"/>
  <c r="BY79" i="477"/>
  <c r="BX79" i="477"/>
  <c r="BW79" i="477"/>
  <c r="BS79" i="477"/>
  <c r="BR79" i="477"/>
  <c r="BQ79" i="477"/>
  <c r="BP79" i="477"/>
  <c r="BO79" i="477"/>
  <c r="BL79" i="477"/>
  <c r="BK79" i="477"/>
  <c r="BJ79" i="477"/>
  <c r="BI79" i="477"/>
  <c r="BD79" i="477"/>
  <c r="CB78" i="477"/>
  <c r="CA78" i="477"/>
  <c r="BZ78" i="477"/>
  <c r="BY78" i="477"/>
  <c r="BX78" i="477"/>
  <c r="BW78" i="477"/>
  <c r="BS78" i="477"/>
  <c r="BR78" i="477"/>
  <c r="BQ78" i="477"/>
  <c r="BP78" i="477"/>
  <c r="BO78" i="477"/>
  <c r="BL78" i="477"/>
  <c r="BK78" i="477"/>
  <c r="BJ78" i="477"/>
  <c r="BI78" i="477"/>
  <c r="BD78" i="477"/>
  <c r="CB77" i="477"/>
  <c r="CA77" i="477"/>
  <c r="BZ77" i="477"/>
  <c r="BY77" i="477"/>
  <c r="BX77" i="477"/>
  <c r="BW77" i="477"/>
  <c r="BS77" i="477"/>
  <c r="BR77" i="477"/>
  <c r="BQ77" i="477"/>
  <c r="BP77" i="477"/>
  <c r="BO77" i="477"/>
  <c r="BL77" i="477"/>
  <c r="BK77" i="477"/>
  <c r="BJ77" i="477"/>
  <c r="BI77" i="477"/>
  <c r="BD77" i="477"/>
  <c r="CB76" i="477"/>
  <c r="CA76" i="477"/>
  <c r="BZ76" i="477"/>
  <c r="BY76" i="477"/>
  <c r="BX76" i="477"/>
  <c r="BW76" i="477"/>
  <c r="BS76" i="477"/>
  <c r="BR76" i="477"/>
  <c r="BQ76" i="477"/>
  <c r="BP76" i="477"/>
  <c r="BO76" i="477"/>
  <c r="BL76" i="477"/>
  <c r="BK76" i="477"/>
  <c r="BJ76" i="477"/>
  <c r="BI76" i="477"/>
  <c r="BD76" i="477"/>
  <c r="CB75" i="477"/>
  <c r="CA75" i="477"/>
  <c r="BZ75" i="477"/>
  <c r="BY75" i="477"/>
  <c r="BX75" i="477"/>
  <c r="BW75" i="477"/>
  <c r="BS75" i="477"/>
  <c r="BR75" i="477"/>
  <c r="BQ75" i="477"/>
  <c r="BP75" i="477"/>
  <c r="BO75" i="477"/>
  <c r="BL75" i="477"/>
  <c r="BK75" i="477"/>
  <c r="BJ75" i="477"/>
  <c r="BI75" i="477"/>
  <c r="BD75" i="477"/>
  <c r="CB74" i="477"/>
  <c r="CA74" i="477"/>
  <c r="BZ74" i="477"/>
  <c r="BY74" i="477"/>
  <c r="BX74" i="477"/>
  <c r="BW74" i="477"/>
  <c r="BV74" i="477"/>
  <c r="BT74" i="477"/>
  <c r="BS74" i="477"/>
  <c r="BR74" i="477"/>
  <c r="BQ74" i="477"/>
  <c r="BP74" i="477"/>
  <c r="BO74" i="477"/>
  <c r="BN74" i="477"/>
  <c r="BM74" i="477"/>
  <c r="BL74" i="477"/>
  <c r="BK74" i="477"/>
  <c r="BJ74" i="477"/>
  <c r="BI74" i="477"/>
  <c r="BH74" i="477"/>
  <c r="BG74" i="477"/>
  <c r="BF74" i="477"/>
  <c r="BE74" i="477"/>
  <c r="BD74" i="477"/>
  <c r="BC74" i="477"/>
  <c r="BB74" i="477"/>
  <c r="BA74" i="477"/>
  <c r="AZ74" i="477"/>
  <c r="AY74" i="477"/>
  <c r="AX74" i="477"/>
  <c r="AW74" i="477"/>
  <c r="AV74" i="477"/>
  <c r="AU74" i="477"/>
  <c r="AT74" i="477"/>
  <c r="CB73" i="477"/>
  <c r="CA73" i="477"/>
  <c r="BZ73" i="477"/>
  <c r="BY73" i="477"/>
  <c r="BX73" i="477"/>
  <c r="BW73" i="477"/>
  <c r="BS73" i="477"/>
  <c r="BR73" i="477"/>
  <c r="BQ73" i="477"/>
  <c r="BP73" i="477"/>
  <c r="BO73" i="477"/>
  <c r="BL73" i="477"/>
  <c r="BK73" i="477"/>
  <c r="BJ73" i="477"/>
  <c r="BI73" i="477"/>
  <c r="BD73" i="477"/>
  <c r="CB72" i="477"/>
  <c r="CA72" i="477"/>
  <c r="BZ72" i="477"/>
  <c r="BY72" i="477"/>
  <c r="BX72" i="477"/>
  <c r="BW72" i="477"/>
  <c r="BS72" i="477"/>
  <c r="BR72" i="477"/>
  <c r="BQ72" i="477"/>
  <c r="BP72" i="477"/>
  <c r="BO72" i="477"/>
  <c r="BL72" i="477"/>
  <c r="BK72" i="477"/>
  <c r="BJ72" i="477"/>
  <c r="BI72" i="477"/>
  <c r="BD72" i="477"/>
  <c r="CB71" i="477"/>
  <c r="CA71" i="477"/>
  <c r="BZ71" i="477"/>
  <c r="BY71" i="477"/>
  <c r="BX71" i="477"/>
  <c r="BW71" i="477"/>
  <c r="BS71" i="477"/>
  <c r="BR71" i="477"/>
  <c r="BQ71" i="477"/>
  <c r="BP71" i="477"/>
  <c r="BO71" i="477"/>
  <c r="BL71" i="477"/>
  <c r="BK71" i="477"/>
  <c r="BJ71" i="477"/>
  <c r="BI71" i="477"/>
  <c r="BD71" i="477"/>
  <c r="CB70" i="477"/>
  <c r="CA70" i="477"/>
  <c r="BZ70" i="477"/>
  <c r="BY70" i="477"/>
  <c r="BX70" i="477"/>
  <c r="BW70" i="477"/>
  <c r="BS70" i="477"/>
  <c r="BR70" i="477"/>
  <c r="BQ70" i="477"/>
  <c r="BP70" i="477"/>
  <c r="BO70" i="477"/>
  <c r="BL70" i="477"/>
  <c r="BK70" i="477"/>
  <c r="BJ70" i="477"/>
  <c r="BI70" i="477"/>
  <c r="BD70" i="477"/>
  <c r="CB69" i="477"/>
  <c r="CA69" i="477"/>
  <c r="BZ69" i="477"/>
  <c r="BY69" i="477"/>
  <c r="BX69" i="477"/>
  <c r="BW69" i="477"/>
  <c r="BS69" i="477"/>
  <c r="BR69" i="477"/>
  <c r="BQ69" i="477"/>
  <c r="BP69" i="477"/>
  <c r="BO69" i="477"/>
  <c r="BL69" i="477"/>
  <c r="BK69" i="477"/>
  <c r="BJ69" i="477"/>
  <c r="BI69" i="477"/>
  <c r="BD69" i="477"/>
  <c r="CB68" i="477"/>
  <c r="CA68" i="477"/>
  <c r="BZ68" i="477"/>
  <c r="BY68" i="477"/>
  <c r="BX68" i="477"/>
  <c r="BW68" i="477"/>
  <c r="BS68" i="477"/>
  <c r="BR68" i="477"/>
  <c r="BQ68" i="477"/>
  <c r="BP68" i="477"/>
  <c r="BO68" i="477"/>
  <c r="BL68" i="477"/>
  <c r="BK68" i="477"/>
  <c r="BJ68" i="477"/>
  <c r="BI68" i="477"/>
  <c r="BD68" i="477"/>
  <c r="CB67" i="477"/>
  <c r="CA67" i="477"/>
  <c r="BZ67" i="477"/>
  <c r="BY67" i="477"/>
  <c r="BX67" i="477"/>
  <c r="BW67" i="477"/>
  <c r="BS67" i="477"/>
  <c r="BR67" i="477"/>
  <c r="BQ67" i="477"/>
  <c r="BP67" i="477"/>
  <c r="BO67" i="477"/>
  <c r="BL67" i="477"/>
  <c r="BK67" i="477"/>
  <c r="BJ67" i="477"/>
  <c r="BI67" i="477"/>
  <c r="BD67" i="477"/>
  <c r="CB66" i="477"/>
  <c r="CA66" i="477"/>
  <c r="BZ66" i="477"/>
  <c r="BY66" i="477"/>
  <c r="BX66" i="477"/>
  <c r="BW66" i="477"/>
  <c r="BS66" i="477"/>
  <c r="BR66" i="477"/>
  <c r="BQ66" i="477"/>
  <c r="BP66" i="477"/>
  <c r="BO66" i="477"/>
  <c r="BL66" i="477"/>
  <c r="BK66" i="477"/>
  <c r="BJ66" i="477"/>
  <c r="BI66" i="477"/>
  <c r="BD66" i="477"/>
  <c r="CB65" i="477"/>
  <c r="CA65" i="477"/>
  <c r="BZ65" i="477"/>
  <c r="BY65" i="477"/>
  <c r="BX65" i="477"/>
  <c r="BW65" i="477"/>
  <c r="BS65" i="477"/>
  <c r="BR65" i="477"/>
  <c r="BQ65" i="477"/>
  <c r="BP65" i="477"/>
  <c r="BO65" i="477"/>
  <c r="BL65" i="477"/>
  <c r="BK65" i="477"/>
  <c r="BJ65" i="477"/>
  <c r="BI65" i="477"/>
  <c r="BD65" i="477"/>
  <c r="CB64" i="477"/>
  <c r="CA64" i="477"/>
  <c r="BZ64" i="477"/>
  <c r="BY64" i="477"/>
  <c r="BX64" i="477"/>
  <c r="BW64" i="477"/>
  <c r="BS64" i="477"/>
  <c r="BR64" i="477"/>
  <c r="BQ64" i="477"/>
  <c r="BP64" i="477"/>
  <c r="BO64" i="477"/>
  <c r="BL64" i="477"/>
  <c r="BK64" i="477"/>
  <c r="BJ64" i="477"/>
  <c r="BI64" i="477"/>
  <c r="BD64" i="477"/>
  <c r="CB63" i="477"/>
  <c r="CA63" i="477"/>
  <c r="BZ63" i="477"/>
  <c r="BY63" i="477"/>
  <c r="BX63" i="477"/>
  <c r="BW63" i="477"/>
  <c r="BS63" i="477"/>
  <c r="BR63" i="477"/>
  <c r="BQ63" i="477"/>
  <c r="BP63" i="477"/>
  <c r="BO63" i="477"/>
  <c r="BL63" i="477"/>
  <c r="BK63" i="477"/>
  <c r="BJ63" i="477"/>
  <c r="BI63" i="477"/>
  <c r="BD63" i="477"/>
  <c r="CB62" i="477"/>
  <c r="CA62" i="477"/>
  <c r="BZ62" i="477"/>
  <c r="BY62" i="477"/>
  <c r="BX62" i="477"/>
  <c r="BW62" i="477"/>
  <c r="BS62" i="477"/>
  <c r="BR62" i="477"/>
  <c r="BQ62" i="477"/>
  <c r="BP62" i="477"/>
  <c r="BO62" i="477"/>
  <c r="BL62" i="477"/>
  <c r="BK62" i="477"/>
  <c r="BJ62" i="477"/>
  <c r="BI62" i="477"/>
  <c r="BD62" i="477"/>
  <c r="CB61" i="477"/>
  <c r="CA61" i="477"/>
  <c r="BZ61" i="477"/>
  <c r="BY61" i="477"/>
  <c r="BX61" i="477"/>
  <c r="BW61" i="477"/>
  <c r="BS61" i="477"/>
  <c r="BR61" i="477"/>
  <c r="BQ61" i="477"/>
  <c r="BP61" i="477"/>
  <c r="BO61" i="477"/>
  <c r="BL61" i="477"/>
  <c r="BK61" i="477"/>
  <c r="BJ61" i="477"/>
  <c r="BI61" i="477"/>
  <c r="BD61" i="477"/>
  <c r="CB60" i="477"/>
  <c r="CA60" i="477"/>
  <c r="BZ60" i="477"/>
  <c r="BY60" i="477"/>
  <c r="BX60" i="477"/>
  <c r="BW60" i="477"/>
  <c r="BS60" i="477"/>
  <c r="BR60" i="477"/>
  <c r="BQ60" i="477"/>
  <c r="BP60" i="477"/>
  <c r="BO60" i="477"/>
  <c r="BL60" i="477"/>
  <c r="BK60" i="477"/>
  <c r="BJ60" i="477"/>
  <c r="BI60" i="477"/>
  <c r="BD60" i="477"/>
  <c r="CB59" i="477"/>
  <c r="CA59" i="477"/>
  <c r="BZ59" i="477"/>
  <c r="BY59" i="477"/>
  <c r="BX59" i="477"/>
  <c r="BW59" i="477"/>
  <c r="BS59" i="477"/>
  <c r="BR59" i="477"/>
  <c r="BQ59" i="477"/>
  <c r="BP59" i="477"/>
  <c r="BO59" i="477"/>
  <c r="BL59" i="477"/>
  <c r="BK59" i="477"/>
  <c r="BJ59" i="477"/>
  <c r="BI59" i="477"/>
  <c r="BD59" i="477"/>
  <c r="CB58" i="477"/>
  <c r="CA58" i="477"/>
  <c r="BZ58" i="477"/>
  <c r="BY58" i="477"/>
  <c r="BX58" i="477"/>
  <c r="BW58" i="477"/>
  <c r="BS58" i="477"/>
  <c r="BR58" i="477"/>
  <c r="BQ58" i="477"/>
  <c r="BP58" i="477"/>
  <c r="BO58" i="477"/>
  <c r="BL58" i="477"/>
  <c r="BK58" i="477"/>
  <c r="BJ58" i="477"/>
  <c r="BI58" i="477"/>
  <c r="BD58" i="477"/>
  <c r="CB57" i="477"/>
  <c r="CA57" i="477"/>
  <c r="BZ57" i="477"/>
  <c r="BY57" i="477"/>
  <c r="BX57" i="477"/>
  <c r="BW57" i="477"/>
  <c r="BS57" i="477"/>
  <c r="BR57" i="477"/>
  <c r="BQ57" i="477"/>
  <c r="BP57" i="477"/>
  <c r="BO57" i="477"/>
  <c r="BL57" i="477"/>
  <c r="BK57" i="477"/>
  <c r="BJ57" i="477"/>
  <c r="BI57" i="477"/>
  <c r="BD57" i="477"/>
  <c r="CB56" i="477"/>
  <c r="CA56" i="477"/>
  <c r="BZ56" i="477"/>
  <c r="BY56" i="477"/>
  <c r="BX56" i="477"/>
  <c r="BW56" i="477"/>
  <c r="BS56" i="477"/>
  <c r="BR56" i="477"/>
  <c r="BQ56" i="477"/>
  <c r="BP56" i="477"/>
  <c r="BO56" i="477"/>
  <c r="BL56" i="477"/>
  <c r="BK56" i="477"/>
  <c r="BJ56" i="477"/>
  <c r="BI56" i="477"/>
  <c r="BD56" i="477"/>
  <c r="CB55" i="477"/>
  <c r="CA55" i="477"/>
  <c r="BZ55" i="477"/>
  <c r="BY55" i="477"/>
  <c r="BX55" i="477"/>
  <c r="BW55" i="477"/>
  <c r="BS55" i="477"/>
  <c r="BR55" i="477"/>
  <c r="BQ55" i="477"/>
  <c r="BP55" i="477"/>
  <c r="BO55" i="477"/>
  <c r="BL55" i="477"/>
  <c r="BK55" i="477"/>
  <c r="BJ55" i="477"/>
  <c r="BI55" i="477"/>
  <c r="BD55" i="477"/>
  <c r="CB54" i="477"/>
  <c r="CA54" i="477"/>
  <c r="BZ54" i="477"/>
  <c r="BY54" i="477"/>
  <c r="BX54" i="477"/>
  <c r="BW54" i="477"/>
  <c r="BS54" i="477"/>
  <c r="BR54" i="477"/>
  <c r="BQ54" i="477"/>
  <c r="BP54" i="477"/>
  <c r="BO54" i="477"/>
  <c r="BL54" i="477"/>
  <c r="BK54" i="477"/>
  <c r="BJ54" i="477"/>
  <c r="BI54" i="477"/>
  <c r="BD54" i="477"/>
  <c r="CB53" i="477"/>
  <c r="CA53" i="477"/>
  <c r="BZ53" i="477"/>
  <c r="BY53" i="477"/>
  <c r="BX53" i="477"/>
  <c r="BW53" i="477"/>
  <c r="BS53" i="477"/>
  <c r="BR53" i="477"/>
  <c r="BQ53" i="477"/>
  <c r="BP53" i="477"/>
  <c r="BO53" i="477"/>
  <c r="BL53" i="477"/>
  <c r="BK53" i="477"/>
  <c r="BJ53" i="477"/>
  <c r="BI53" i="477"/>
  <c r="BD53" i="477"/>
  <c r="CB52" i="477"/>
  <c r="CA52" i="477"/>
  <c r="BZ52" i="477"/>
  <c r="BY52" i="477"/>
  <c r="BX52" i="477"/>
  <c r="BW52" i="477"/>
  <c r="BS52" i="477"/>
  <c r="BR52" i="477"/>
  <c r="BQ52" i="477"/>
  <c r="BP52" i="477"/>
  <c r="BO52" i="477"/>
  <c r="BL52" i="477"/>
  <c r="BK52" i="477"/>
  <c r="BJ52" i="477"/>
  <c r="BI52" i="477"/>
  <c r="BD52" i="477"/>
  <c r="CB51" i="477"/>
  <c r="CA51" i="477"/>
  <c r="BZ51" i="477"/>
  <c r="BY51" i="477"/>
  <c r="BX51" i="477"/>
  <c r="BW51" i="477"/>
  <c r="BS51" i="477"/>
  <c r="BR51" i="477"/>
  <c r="BQ51" i="477"/>
  <c r="BP51" i="477"/>
  <c r="BO51" i="477"/>
  <c r="BL51" i="477"/>
  <c r="BK51" i="477"/>
  <c r="BJ51" i="477"/>
  <c r="BI51" i="477"/>
  <c r="BD51" i="477"/>
  <c r="CB50" i="477"/>
  <c r="CA50" i="477"/>
  <c r="BZ50" i="477"/>
  <c r="BY50" i="477"/>
  <c r="BX50" i="477"/>
  <c r="BW50" i="477"/>
  <c r="BS50" i="477"/>
  <c r="BR50" i="477"/>
  <c r="BQ50" i="477"/>
  <c r="BP50" i="477"/>
  <c r="BO50" i="477"/>
  <c r="BL50" i="477"/>
  <c r="BK50" i="477"/>
  <c r="BJ50" i="477"/>
  <c r="BI50" i="477"/>
  <c r="BD50" i="477"/>
  <c r="CB49" i="477"/>
  <c r="CA49" i="477"/>
  <c r="BZ49" i="477"/>
  <c r="BY49" i="477"/>
  <c r="BX49" i="477"/>
  <c r="BW49" i="477"/>
  <c r="BS49" i="477"/>
  <c r="BR49" i="477"/>
  <c r="BQ49" i="477"/>
  <c r="BP49" i="477"/>
  <c r="BO49" i="477"/>
  <c r="BL49" i="477"/>
  <c r="BK49" i="477"/>
  <c r="BJ49" i="477"/>
  <c r="BI49" i="477"/>
  <c r="BD49" i="477"/>
  <c r="CB48" i="477"/>
  <c r="CA48" i="477"/>
  <c r="BZ48" i="477"/>
  <c r="BY48" i="477"/>
  <c r="BX48" i="477"/>
  <c r="BW48" i="477"/>
  <c r="BS48" i="477"/>
  <c r="BR48" i="477"/>
  <c r="BQ48" i="477"/>
  <c r="BP48" i="477"/>
  <c r="BO48" i="477"/>
  <c r="BL48" i="477"/>
  <c r="BK48" i="477"/>
  <c r="BJ48" i="477"/>
  <c r="BI48" i="477"/>
  <c r="BD48" i="477"/>
  <c r="CB47" i="477"/>
  <c r="CA47" i="477"/>
  <c r="BZ47" i="477"/>
  <c r="BY47" i="477"/>
  <c r="BX47" i="477"/>
  <c r="BW47" i="477"/>
  <c r="BS47" i="477"/>
  <c r="BR47" i="477"/>
  <c r="BQ47" i="477"/>
  <c r="BP47" i="477"/>
  <c r="BO47" i="477"/>
  <c r="BL47" i="477"/>
  <c r="BK47" i="477"/>
  <c r="BJ47" i="477"/>
  <c r="BI47" i="477"/>
  <c r="BD47" i="477"/>
  <c r="CB46" i="477"/>
  <c r="CA46" i="477"/>
  <c r="BZ46" i="477"/>
  <c r="BY46" i="477"/>
  <c r="BX46" i="477"/>
  <c r="BW46" i="477"/>
  <c r="BS46" i="477"/>
  <c r="BR46" i="477"/>
  <c r="BQ46" i="477"/>
  <c r="BP46" i="477"/>
  <c r="BO46" i="477"/>
  <c r="BL46" i="477"/>
  <c r="BK46" i="477"/>
  <c r="BJ46" i="477"/>
  <c r="BI46" i="477"/>
  <c r="BD46" i="477"/>
  <c r="CB45" i="477"/>
  <c r="CA45" i="477"/>
  <c r="BZ45" i="477"/>
  <c r="BY45" i="477"/>
  <c r="BX45" i="477"/>
  <c r="BW45" i="477"/>
  <c r="BS45" i="477"/>
  <c r="BR45" i="477"/>
  <c r="BQ45" i="477"/>
  <c r="BP45" i="477"/>
  <c r="BO45" i="477"/>
  <c r="BL45" i="477"/>
  <c r="BK45" i="477"/>
  <c r="BJ45" i="477"/>
  <c r="BI45" i="477"/>
  <c r="BD45" i="477"/>
  <c r="CB44" i="477"/>
  <c r="CA44" i="477"/>
  <c r="BZ44" i="477"/>
  <c r="BY44" i="477"/>
  <c r="BX44" i="477"/>
  <c r="BW44" i="477"/>
  <c r="BS44" i="477"/>
  <c r="BR44" i="477"/>
  <c r="BQ44" i="477"/>
  <c r="BP44" i="477"/>
  <c r="BO44" i="477"/>
  <c r="BL44" i="477"/>
  <c r="BK44" i="477"/>
  <c r="BJ44" i="477"/>
  <c r="BI44" i="477"/>
  <c r="BD44" i="477"/>
  <c r="CB43" i="477"/>
  <c r="CA43" i="477"/>
  <c r="BZ43" i="477"/>
  <c r="BY43" i="477"/>
  <c r="BX43" i="477"/>
  <c r="BW43" i="477"/>
  <c r="BS43" i="477"/>
  <c r="BR43" i="477"/>
  <c r="BQ43" i="477"/>
  <c r="BP43" i="477"/>
  <c r="BO43" i="477"/>
  <c r="BL43" i="477"/>
  <c r="BK43" i="477"/>
  <c r="BJ43" i="477"/>
  <c r="BI43" i="477"/>
  <c r="BD43" i="477"/>
  <c r="CB42" i="477"/>
  <c r="CA42" i="477"/>
  <c r="BZ42" i="477"/>
  <c r="BY42" i="477"/>
  <c r="BX42" i="477"/>
  <c r="BW42" i="477"/>
  <c r="BS42" i="477"/>
  <c r="BR42" i="477"/>
  <c r="BQ42" i="477"/>
  <c r="BP42" i="477"/>
  <c r="BO42" i="477"/>
  <c r="BL42" i="477"/>
  <c r="BK42" i="477"/>
  <c r="BJ42" i="477"/>
  <c r="BI42" i="477"/>
  <c r="BD42" i="477"/>
  <c r="CB41" i="477"/>
  <c r="CA41" i="477"/>
  <c r="BZ41" i="477"/>
  <c r="BY41" i="477"/>
  <c r="BX41" i="477"/>
  <c r="BW41" i="477"/>
  <c r="BS41" i="477"/>
  <c r="BR41" i="477"/>
  <c r="BQ41" i="477"/>
  <c r="BP41" i="477"/>
  <c r="BO41" i="477"/>
  <c r="BL41" i="477"/>
  <c r="BK41" i="477"/>
  <c r="BJ41" i="477"/>
  <c r="BI41" i="477"/>
  <c r="BD41" i="477"/>
  <c r="CB40" i="477"/>
  <c r="CA40" i="477"/>
  <c r="BZ40" i="477"/>
  <c r="BY40" i="477"/>
  <c r="BX40" i="477"/>
  <c r="BW40" i="477"/>
  <c r="BS40" i="477"/>
  <c r="BR40" i="477"/>
  <c r="BQ40" i="477"/>
  <c r="BP40" i="477"/>
  <c r="BO40" i="477"/>
  <c r="BL40" i="477"/>
  <c r="BK40" i="477"/>
  <c r="BJ40" i="477"/>
  <c r="BI40" i="477"/>
  <c r="BD40" i="477"/>
  <c r="CB39" i="477"/>
  <c r="CA39" i="477"/>
  <c r="BZ39" i="477"/>
  <c r="BY39" i="477"/>
  <c r="BX39" i="477"/>
  <c r="BW39" i="477"/>
  <c r="BS39" i="477"/>
  <c r="BR39" i="477"/>
  <c r="BQ39" i="477"/>
  <c r="BP39" i="477"/>
  <c r="BO39" i="477"/>
  <c r="BL39" i="477"/>
  <c r="BK39" i="477"/>
  <c r="BJ39" i="477"/>
  <c r="BI39" i="477"/>
  <c r="BD39" i="477"/>
  <c r="CB38" i="477"/>
  <c r="CA38" i="477"/>
  <c r="BZ38" i="477"/>
  <c r="BY38" i="477"/>
  <c r="BX38" i="477"/>
  <c r="BW38" i="477"/>
  <c r="BS38" i="477"/>
  <c r="BR38" i="477"/>
  <c r="BQ38" i="477"/>
  <c r="BP38" i="477"/>
  <c r="BO38" i="477"/>
  <c r="BL38" i="477"/>
  <c r="BK38" i="477"/>
  <c r="BJ38" i="477"/>
  <c r="BI38" i="477"/>
  <c r="BD38" i="477"/>
  <c r="CB37" i="477"/>
  <c r="CA37" i="477"/>
  <c r="BZ37" i="477"/>
  <c r="BY37" i="477"/>
  <c r="BX37" i="477"/>
  <c r="BW37" i="477"/>
  <c r="BS37" i="477"/>
  <c r="BR37" i="477"/>
  <c r="BQ37" i="477"/>
  <c r="BP37" i="477"/>
  <c r="BO37" i="477"/>
  <c r="BL37" i="477"/>
  <c r="BK37" i="477"/>
  <c r="BJ37" i="477"/>
  <c r="BI37" i="477"/>
  <c r="BD37" i="477"/>
  <c r="CB36" i="477"/>
  <c r="CA36" i="477"/>
  <c r="BZ36" i="477"/>
  <c r="BY36" i="477"/>
  <c r="BX36" i="477"/>
  <c r="BW36" i="477"/>
  <c r="BS36" i="477"/>
  <c r="BR36" i="477"/>
  <c r="BQ36" i="477"/>
  <c r="BP36" i="477"/>
  <c r="BO36" i="477"/>
  <c r="BL36" i="477"/>
  <c r="BK36" i="477"/>
  <c r="BJ36" i="477"/>
  <c r="BI36" i="477"/>
  <c r="BD36" i="477"/>
  <c r="CB35" i="477"/>
  <c r="CA35" i="477"/>
  <c r="BZ35" i="477"/>
  <c r="BY35" i="477"/>
  <c r="BX35" i="477"/>
  <c r="BW35" i="477"/>
  <c r="BS35" i="477"/>
  <c r="BR35" i="477"/>
  <c r="BQ35" i="477"/>
  <c r="BP35" i="477"/>
  <c r="BO35" i="477"/>
  <c r="BL35" i="477"/>
  <c r="BK35" i="477"/>
  <c r="BJ35" i="477"/>
  <c r="BI35" i="477"/>
  <c r="BD35" i="477"/>
  <c r="CB34" i="477"/>
  <c r="CA34" i="477"/>
  <c r="BZ34" i="477"/>
  <c r="BY34" i="477"/>
  <c r="BX34" i="477"/>
  <c r="BW34" i="477"/>
  <c r="BS34" i="477"/>
  <c r="BR34" i="477"/>
  <c r="BQ34" i="477"/>
  <c r="BP34" i="477"/>
  <c r="BO34" i="477"/>
  <c r="BL34" i="477"/>
  <c r="BK34" i="477"/>
  <c r="BJ34" i="477"/>
  <c r="BI34" i="477"/>
  <c r="BD34" i="477"/>
  <c r="CB33" i="477"/>
  <c r="CA33" i="477"/>
  <c r="BZ33" i="477"/>
  <c r="BY33" i="477"/>
  <c r="BX33" i="477"/>
  <c r="BW33" i="477"/>
  <c r="BS33" i="477"/>
  <c r="BR33" i="477"/>
  <c r="BQ33" i="477"/>
  <c r="BP33" i="477"/>
  <c r="BO33" i="477"/>
  <c r="BL33" i="477"/>
  <c r="BK33" i="477"/>
  <c r="BJ33" i="477"/>
  <c r="BI33" i="477"/>
  <c r="BD33" i="477"/>
  <c r="CB32" i="477"/>
  <c r="CA32" i="477"/>
  <c r="BZ32" i="477"/>
  <c r="BY32" i="477"/>
  <c r="BX32" i="477"/>
  <c r="BW32" i="477"/>
  <c r="BS32" i="477"/>
  <c r="BR32" i="477"/>
  <c r="BQ32" i="477"/>
  <c r="BP32" i="477"/>
  <c r="BO32" i="477"/>
  <c r="BL32" i="477"/>
  <c r="BK32" i="477"/>
  <c r="BJ32" i="477"/>
  <c r="BI32" i="477"/>
  <c r="BD32" i="477"/>
  <c r="CB31" i="477"/>
  <c r="CA31" i="477"/>
  <c r="BZ31" i="477"/>
  <c r="BY31" i="477"/>
  <c r="BX31" i="477"/>
  <c r="BW31" i="477"/>
  <c r="BS31" i="477"/>
  <c r="BR31" i="477"/>
  <c r="BQ31" i="477"/>
  <c r="BP31" i="477"/>
  <c r="BO31" i="477"/>
  <c r="BL31" i="477"/>
  <c r="BK31" i="477"/>
  <c r="BJ31" i="477"/>
  <c r="BI31" i="477"/>
  <c r="BD31" i="477"/>
  <c r="AD106" i="473" l="1"/>
  <c r="AF106" i="474"/>
  <c r="AD107" i="473"/>
  <c r="AF107" i="474"/>
  <c r="AD105" i="476"/>
  <c r="AD106" i="476"/>
  <c r="G114" i="535"/>
  <c r="G114" i="522"/>
  <c r="G122" i="535"/>
  <c r="G122" i="522"/>
  <c r="G130" i="535"/>
  <c r="G130" i="522"/>
  <c r="G120" i="535"/>
  <c r="G120" i="522"/>
  <c r="G117" i="535"/>
  <c r="G117" i="522"/>
  <c r="G111" i="535"/>
  <c r="G111" i="522"/>
  <c r="G119" i="535"/>
  <c r="G119" i="522"/>
  <c r="G127" i="535"/>
  <c r="G127" i="522"/>
  <c r="G116" i="535"/>
  <c r="G116" i="522"/>
  <c r="G109" i="535"/>
  <c r="G109" i="522"/>
  <c r="G129" i="535"/>
  <c r="G129" i="522"/>
  <c r="G110" i="535"/>
  <c r="G110" i="522"/>
  <c r="G118" i="535"/>
  <c r="G118" i="522"/>
  <c r="G126" i="535"/>
  <c r="G126" i="522"/>
  <c r="G112" i="535"/>
  <c r="G112" i="522"/>
  <c r="G124" i="535"/>
  <c r="G124" i="522"/>
  <c r="G113" i="535"/>
  <c r="G113" i="522"/>
  <c r="G125" i="535"/>
  <c r="G125" i="522"/>
  <c r="G115" i="535"/>
  <c r="G115" i="522"/>
  <c r="G123" i="535"/>
  <c r="G123" i="522"/>
  <c r="G128" i="535"/>
  <c r="G128" i="522"/>
  <c r="G121" i="535"/>
  <c r="G121" i="522"/>
  <c r="G108" i="535"/>
  <c r="G108" i="522"/>
  <c r="G97" i="535"/>
  <c r="G97" i="522"/>
  <c r="G88" i="535"/>
  <c r="G88" i="522"/>
  <c r="G86" i="535"/>
  <c r="G86" i="522"/>
  <c r="G83" i="535"/>
  <c r="G83" i="522"/>
  <c r="G84" i="535"/>
  <c r="G84" i="522"/>
  <c r="G80" i="535"/>
  <c r="G80" i="522"/>
  <c r="G81" i="535"/>
  <c r="G81" i="522"/>
  <c r="G79" i="535"/>
  <c r="G79" i="522"/>
  <c r="G77" i="535"/>
  <c r="G77" i="522"/>
  <c r="G76" i="535"/>
  <c r="G76" i="522"/>
  <c r="G74" i="535"/>
  <c r="G74" i="522"/>
  <c r="G72" i="535"/>
  <c r="G72" i="522"/>
  <c r="G71" i="535"/>
  <c r="G71" i="522"/>
  <c r="G69" i="535"/>
  <c r="G69" i="522"/>
  <c r="G68" i="535"/>
  <c r="G68" i="522"/>
  <c r="G66" i="535"/>
  <c r="G66" i="522"/>
  <c r="G61" i="535"/>
  <c r="G61" i="522"/>
  <c r="G62" i="535"/>
  <c r="G62" i="522"/>
  <c r="G60" i="535"/>
  <c r="G60" i="522"/>
  <c r="G59" i="535"/>
  <c r="G59" i="522"/>
  <c r="G64" i="535"/>
  <c r="G64" i="522"/>
  <c r="G63" i="535"/>
  <c r="G63" i="522"/>
  <c r="G55" i="535"/>
  <c r="G55" i="522"/>
  <c r="G49" i="535"/>
  <c r="G49" i="522"/>
  <c r="G50" i="535"/>
  <c r="G50" i="522"/>
  <c r="G48" i="535"/>
  <c r="G48" i="522"/>
  <c r="G43" i="535"/>
  <c r="G43" i="522"/>
  <c r="G44" i="535"/>
  <c r="G44" i="522"/>
  <c r="G104" i="535"/>
  <c r="G104" i="522"/>
  <c r="G39" i="532"/>
  <c r="C39" i="535"/>
  <c r="G35" i="532"/>
  <c r="AD96" i="473"/>
  <c r="AF91" i="474"/>
  <c r="AF98" i="474"/>
  <c r="AD92" i="476"/>
  <c r="AD98" i="476"/>
  <c r="AF93" i="474"/>
  <c r="AD93" i="476"/>
  <c r="AF94" i="474"/>
  <c r="AD96" i="476"/>
  <c r="AD92" i="473"/>
  <c r="AF97" i="474"/>
  <c r="AD91" i="476"/>
  <c r="AD97" i="476"/>
  <c r="AD93" i="473"/>
  <c r="AD97" i="473"/>
  <c r="AD101" i="473"/>
  <c r="AD94" i="473"/>
  <c r="AD98" i="473"/>
  <c r="AD102" i="473"/>
  <c r="AF95" i="474"/>
  <c r="AF99" i="474"/>
  <c r="AF103" i="474"/>
  <c r="AD94" i="476"/>
  <c r="AD102" i="476"/>
  <c r="AD91" i="473"/>
  <c r="AD95" i="473"/>
  <c r="AD99" i="473"/>
  <c r="AD103" i="473"/>
  <c r="AF92" i="474"/>
  <c r="AF96" i="474"/>
  <c r="AF100" i="474"/>
  <c r="AD95" i="476"/>
  <c r="AD99" i="476"/>
  <c r="AD103" i="476"/>
  <c r="AD73" i="476"/>
  <c r="AD82" i="476"/>
  <c r="AF82" i="474"/>
  <c r="AD90" i="473"/>
  <c r="AD90" i="476"/>
  <c r="AF90" i="474"/>
  <c r="AD87" i="473"/>
  <c r="AD87" i="476"/>
  <c r="AD89" i="473"/>
  <c r="AD81" i="476"/>
  <c r="AD89" i="476"/>
  <c r="AF89" i="474"/>
  <c r="AF78" i="474"/>
  <c r="AF86" i="474"/>
  <c r="AD85" i="473"/>
  <c r="AF87" i="474"/>
  <c r="AD78" i="476"/>
  <c r="AD85" i="476"/>
  <c r="AF85" i="474"/>
  <c r="AD86" i="473"/>
  <c r="AD86" i="476"/>
  <c r="AD75" i="473"/>
  <c r="AD79" i="473"/>
  <c r="AD83" i="473"/>
  <c r="AF67" i="474"/>
  <c r="AF75" i="474"/>
  <c r="AF79" i="474"/>
  <c r="AF83" i="474"/>
  <c r="AD72" i="473"/>
  <c r="AD76" i="473"/>
  <c r="AD84" i="473"/>
  <c r="AF72" i="474"/>
  <c r="AF76" i="474"/>
  <c r="AF84" i="474"/>
  <c r="AD67" i="476"/>
  <c r="AD75" i="476"/>
  <c r="AD79" i="476"/>
  <c r="AD83" i="476"/>
  <c r="AD67" i="473"/>
  <c r="AD78" i="473"/>
  <c r="AD82" i="473"/>
  <c r="AD73" i="473"/>
  <c r="AD77" i="473"/>
  <c r="AD81" i="473"/>
  <c r="AF73" i="474"/>
  <c r="AF77" i="474"/>
  <c r="AD72" i="476"/>
  <c r="AD76" i="476"/>
  <c r="AF62" i="474"/>
  <c r="AF70" i="474"/>
  <c r="AD64" i="476"/>
  <c r="AD70" i="476"/>
  <c r="AD69" i="473"/>
  <c r="AD45" i="473"/>
  <c r="AD70" i="473"/>
  <c r="AF71" i="474"/>
  <c r="AD71" i="476"/>
  <c r="AD71" i="473"/>
  <c r="AD50" i="473"/>
  <c r="AF69" i="474"/>
  <c r="AD69" i="476"/>
  <c r="AF50" i="474"/>
  <c r="AD45" i="476"/>
  <c r="AF45" i="474"/>
  <c r="AD50" i="476"/>
  <c r="AD68" i="476"/>
  <c r="AF68" i="474"/>
  <c r="AF56" i="474"/>
  <c r="AD56" i="476"/>
  <c r="AD56" i="473"/>
  <c r="AF36" i="474"/>
  <c r="AF52" i="474"/>
  <c r="AF57" i="474"/>
  <c r="AF37" i="474"/>
  <c r="AF44" i="474"/>
  <c r="AF49" i="474"/>
  <c r="AF53" i="474"/>
  <c r="AF63" i="474"/>
  <c r="AF33" i="474"/>
  <c r="AF42" i="474"/>
  <c r="AF46" i="474"/>
  <c r="AF51" i="474"/>
  <c r="AF64" i="474"/>
  <c r="AD34" i="473"/>
  <c r="AD49" i="473"/>
  <c r="AD53" i="473"/>
  <c r="AD57" i="473"/>
  <c r="AD65" i="473"/>
  <c r="AD34" i="476"/>
  <c r="AD40" i="476"/>
  <c r="AD54" i="476"/>
  <c r="AD58" i="476"/>
  <c r="AD65" i="476"/>
  <c r="AD35" i="473"/>
  <c r="AD41" i="473"/>
  <c r="AD46" i="473"/>
  <c r="AD54" i="473"/>
  <c r="AD58" i="473"/>
  <c r="AF34" i="474"/>
  <c r="AF41" i="474"/>
  <c r="AF54" i="474"/>
  <c r="AF58" i="474"/>
  <c r="AF65" i="474"/>
  <c r="AD36" i="476"/>
  <c r="AD41" i="476"/>
  <c r="AD46" i="476"/>
  <c r="AD51" i="476"/>
  <c r="AD60" i="476"/>
  <c r="AD31" i="473"/>
  <c r="AD36" i="473"/>
  <c r="AD47" i="473"/>
  <c r="AD51" i="473"/>
  <c r="AD31" i="476"/>
  <c r="AD37" i="476"/>
  <c r="AD52" i="476"/>
  <c r="AD33" i="473"/>
  <c r="AD37" i="473"/>
  <c r="AD44" i="473"/>
  <c r="AD52" i="473"/>
  <c r="AD64" i="473"/>
  <c r="AD33" i="476"/>
  <c r="AD44" i="476"/>
  <c r="AD49" i="476"/>
  <c r="AD53" i="476"/>
  <c r="AD57" i="476"/>
  <c r="AD38" i="473"/>
  <c r="AD42" i="473"/>
  <c r="AD62" i="473"/>
  <c r="AD66" i="473"/>
  <c r="AD59" i="473"/>
  <c r="AD63" i="473"/>
  <c r="AD32" i="473"/>
  <c r="AD40" i="473"/>
  <c r="AF38" i="474"/>
  <c r="AF31" i="474"/>
  <c r="AF35" i="474"/>
  <c r="AF47" i="474"/>
  <c r="AF60" i="474"/>
  <c r="AF32" i="474"/>
  <c r="AF40" i="474"/>
  <c r="AD63" i="476"/>
  <c r="AD59" i="476"/>
  <c r="AD47" i="476"/>
  <c r="AD35" i="476"/>
  <c r="AD66" i="476"/>
  <c r="AD62" i="476"/>
  <c r="AD42" i="476"/>
  <c r="AD38" i="476"/>
  <c r="AD32" i="476"/>
  <c r="AF59" i="474"/>
  <c r="AF66" i="474"/>
  <c r="AW28" i="477"/>
  <c r="CB30" i="477"/>
  <c r="CA30" i="477"/>
  <c r="BZ30" i="477"/>
  <c r="BY30" i="477"/>
  <c r="BX30" i="477"/>
  <c r="BW30" i="477"/>
  <c r="BV30" i="477"/>
  <c r="BT30" i="477"/>
  <c r="BS30" i="477"/>
  <c r="BR30" i="477"/>
  <c r="BQ30" i="477"/>
  <c r="BP30" i="477"/>
  <c r="BO30" i="477"/>
  <c r="BN30" i="477"/>
  <c r="BM30" i="477"/>
  <c r="BL30" i="477"/>
  <c r="BK30" i="477"/>
  <c r="BJ30" i="477"/>
  <c r="BI30" i="477"/>
  <c r="BH30" i="477"/>
  <c r="BG30" i="477"/>
  <c r="BF30" i="477"/>
  <c r="BE30" i="477"/>
  <c r="BD30" i="477"/>
  <c r="BC30" i="477"/>
  <c r="BB30" i="477"/>
  <c r="BA30" i="477"/>
  <c r="AZ30" i="477"/>
  <c r="AY30" i="477"/>
  <c r="AX30" i="477"/>
  <c r="AW30" i="477"/>
  <c r="AV30" i="477"/>
  <c r="AU30" i="477"/>
  <c r="CB29" i="477"/>
  <c r="CA29" i="477"/>
  <c r="BZ29" i="477"/>
  <c r="BY29" i="477"/>
  <c r="BX29" i="477"/>
  <c r="BV29" i="477"/>
  <c r="BT29" i="477"/>
  <c r="BS29" i="477"/>
  <c r="BR29" i="477"/>
  <c r="BQ29" i="477"/>
  <c r="BP29" i="477"/>
  <c r="BO29" i="477"/>
  <c r="BN29" i="477"/>
  <c r="BM29" i="477"/>
  <c r="BL29" i="477"/>
  <c r="BK29" i="477"/>
  <c r="BJ29" i="477"/>
  <c r="BI29" i="477"/>
  <c r="BH29" i="477"/>
  <c r="BG29" i="477"/>
  <c r="BF29" i="477"/>
  <c r="BE29" i="477"/>
  <c r="BD29" i="477"/>
  <c r="BC29" i="477"/>
  <c r="BB29" i="477"/>
  <c r="BA29" i="477"/>
  <c r="AZ29" i="477"/>
  <c r="AY29" i="477"/>
  <c r="AX29" i="477"/>
  <c r="AW29" i="477"/>
  <c r="AV29" i="477"/>
  <c r="AU29" i="477"/>
  <c r="CB28" i="477"/>
  <c r="CA28" i="477"/>
  <c r="BZ28" i="477"/>
  <c r="BY28" i="477"/>
  <c r="BX28" i="477"/>
  <c r="BW28" i="477"/>
  <c r="BV28" i="477"/>
  <c r="BT28" i="477"/>
  <c r="BS28" i="477"/>
  <c r="BR28" i="477"/>
  <c r="BQ28" i="477"/>
  <c r="BP28" i="477"/>
  <c r="BO28" i="477"/>
  <c r="BN28" i="477"/>
  <c r="BM28" i="477"/>
  <c r="BL28" i="477"/>
  <c r="BK28" i="477"/>
  <c r="BJ28" i="477"/>
  <c r="BI28" i="477"/>
  <c r="BH28" i="477"/>
  <c r="BG28" i="477"/>
  <c r="BF28" i="477"/>
  <c r="BE28" i="477"/>
  <c r="BD28" i="477"/>
  <c r="BC28" i="477"/>
  <c r="BB28" i="477"/>
  <c r="BA28" i="477"/>
  <c r="AZ28" i="477"/>
  <c r="AY28" i="477"/>
  <c r="AX28" i="477"/>
  <c r="AV28" i="477"/>
  <c r="AU28" i="477"/>
  <c r="AT28" i="477"/>
  <c r="BB107" i="477" l="1"/>
  <c r="BB105" i="477"/>
  <c r="BB106" i="477"/>
  <c r="BF107" i="477"/>
  <c r="BF105" i="477"/>
  <c r="BF106" i="477"/>
  <c r="AT107" i="477"/>
  <c r="AT105" i="477"/>
  <c r="AT106" i="477"/>
  <c r="AY107" i="477"/>
  <c r="AY105" i="477"/>
  <c r="AY106" i="477"/>
  <c r="AU107" i="477"/>
  <c r="AU105" i="477"/>
  <c r="AU106" i="477"/>
  <c r="AZ106" i="477"/>
  <c r="AZ107" i="477"/>
  <c r="AZ105" i="477"/>
  <c r="BH106" i="477"/>
  <c r="BH107" i="477"/>
  <c r="BH105" i="477"/>
  <c r="BT106" i="477"/>
  <c r="BT105" i="477"/>
  <c r="BT107" i="477"/>
  <c r="AV106" i="477"/>
  <c r="AV105" i="477"/>
  <c r="AV107" i="477"/>
  <c r="BE106" i="477"/>
  <c r="BE107" i="477"/>
  <c r="BE105" i="477"/>
  <c r="BM106" i="477"/>
  <c r="BM107" i="477"/>
  <c r="BM105" i="477"/>
  <c r="BV106" i="477"/>
  <c r="BV107" i="477"/>
  <c r="BV105" i="477"/>
  <c r="AW106" i="477"/>
  <c r="AW107" i="477"/>
  <c r="AW105" i="477"/>
  <c r="BA106" i="477"/>
  <c r="BA107" i="477"/>
  <c r="BA105" i="477"/>
  <c r="AX107" i="477"/>
  <c r="AX105" i="477"/>
  <c r="AX106" i="477"/>
  <c r="BN107" i="477"/>
  <c r="BN105" i="477"/>
  <c r="BN106" i="477"/>
  <c r="BC107" i="477"/>
  <c r="BC105" i="477"/>
  <c r="BC106" i="477"/>
  <c r="BG107" i="477"/>
  <c r="BG105" i="477"/>
  <c r="BG106" i="477"/>
  <c r="G39" i="535"/>
  <c r="G39" i="522"/>
  <c r="G35" i="535"/>
  <c r="G35" i="522"/>
  <c r="AX91" i="477"/>
  <c r="AX103" i="477"/>
  <c r="AX101" i="477"/>
  <c r="AX99" i="477"/>
  <c r="AX97" i="477"/>
  <c r="AX95" i="477"/>
  <c r="AX93" i="477"/>
  <c r="AX102" i="477"/>
  <c r="AX96" i="477"/>
  <c r="AX94" i="477"/>
  <c r="AX100" i="477"/>
  <c r="AX92" i="477"/>
  <c r="AX98" i="477"/>
  <c r="BB103" i="477"/>
  <c r="BB101" i="477"/>
  <c r="BB99" i="477"/>
  <c r="BB97" i="477"/>
  <c r="BB95" i="477"/>
  <c r="BB93" i="477"/>
  <c r="BB102" i="477"/>
  <c r="BB94" i="477"/>
  <c r="BB100" i="477"/>
  <c r="BB92" i="477"/>
  <c r="BB98" i="477"/>
  <c r="BB96" i="477"/>
  <c r="AT91" i="477"/>
  <c r="AT103" i="477"/>
  <c r="AT101" i="477"/>
  <c r="AT99" i="477"/>
  <c r="AT97" i="477"/>
  <c r="AT95" i="477"/>
  <c r="AT93" i="477"/>
  <c r="AT102" i="477"/>
  <c r="AT98" i="477"/>
  <c r="AT96" i="477"/>
  <c r="AT92" i="477"/>
  <c r="AT94" i="477"/>
  <c r="AT100" i="477"/>
  <c r="AY91" i="477"/>
  <c r="AY103" i="477"/>
  <c r="AY101" i="477"/>
  <c r="AY99" i="477"/>
  <c r="AY97" i="477"/>
  <c r="AY95" i="477"/>
  <c r="AY93" i="477"/>
  <c r="AY96" i="477"/>
  <c r="AY94" i="477"/>
  <c r="AY102" i="477"/>
  <c r="AY100" i="477"/>
  <c r="AY98" i="477"/>
  <c r="AY92" i="477"/>
  <c r="BC103" i="477"/>
  <c r="BC101" i="477"/>
  <c r="BC99" i="477"/>
  <c r="BC97" i="477"/>
  <c r="BC95" i="477"/>
  <c r="BC93" i="477"/>
  <c r="BC98" i="477"/>
  <c r="BC92" i="477"/>
  <c r="BC102" i="477"/>
  <c r="BC100" i="477"/>
  <c r="BC96" i="477"/>
  <c r="BC94" i="477"/>
  <c r="BG103" i="477"/>
  <c r="BG101" i="477"/>
  <c r="BG99" i="477"/>
  <c r="BG97" i="477"/>
  <c r="BG95" i="477"/>
  <c r="BG93" i="477"/>
  <c r="BG96" i="477"/>
  <c r="BG94" i="477"/>
  <c r="BG102" i="477"/>
  <c r="BG100" i="477"/>
  <c r="BG98" i="477"/>
  <c r="BG92" i="477"/>
  <c r="BF103" i="477"/>
  <c r="BF101" i="477"/>
  <c r="BF99" i="477"/>
  <c r="BF97" i="477"/>
  <c r="BF95" i="477"/>
  <c r="BF93" i="477"/>
  <c r="BF102" i="477"/>
  <c r="BF98" i="477"/>
  <c r="BF96" i="477"/>
  <c r="BF94" i="477"/>
  <c r="BF100" i="477"/>
  <c r="BF92" i="477"/>
  <c r="AU91" i="477"/>
  <c r="AU103" i="477"/>
  <c r="AU101" i="477"/>
  <c r="AU99" i="477"/>
  <c r="AU97" i="477"/>
  <c r="AU95" i="477"/>
  <c r="AU93" i="477"/>
  <c r="AU92" i="477"/>
  <c r="AU102" i="477"/>
  <c r="AU100" i="477"/>
  <c r="AU98" i="477"/>
  <c r="AU96" i="477"/>
  <c r="AU94" i="477"/>
  <c r="AZ91" i="477"/>
  <c r="AZ102" i="477"/>
  <c r="AZ100" i="477"/>
  <c r="AZ98" i="477"/>
  <c r="AZ96" i="477"/>
  <c r="AZ94" i="477"/>
  <c r="AZ92" i="477"/>
  <c r="AZ103" i="477"/>
  <c r="AZ101" i="477"/>
  <c r="AZ95" i="477"/>
  <c r="AZ93" i="477"/>
  <c r="AZ99" i="477"/>
  <c r="AZ97" i="477"/>
  <c r="BH102" i="477"/>
  <c r="BH100" i="477"/>
  <c r="BH98" i="477"/>
  <c r="BH96" i="477"/>
  <c r="BH94" i="477"/>
  <c r="BH92" i="477"/>
  <c r="BH103" i="477"/>
  <c r="BH101" i="477"/>
  <c r="BH99" i="477"/>
  <c r="BH97" i="477"/>
  <c r="BH95" i="477"/>
  <c r="BH93" i="477"/>
  <c r="BT102" i="477"/>
  <c r="BT100" i="477"/>
  <c r="BT98" i="477"/>
  <c r="BT96" i="477"/>
  <c r="BT94" i="477"/>
  <c r="BT92" i="477"/>
  <c r="BT103" i="477"/>
  <c r="BT101" i="477"/>
  <c r="BT95" i="477"/>
  <c r="BT93" i="477"/>
  <c r="BT99" i="477"/>
  <c r="BT97" i="477"/>
  <c r="BN103" i="477"/>
  <c r="BN101" i="477"/>
  <c r="BN99" i="477"/>
  <c r="BN97" i="477"/>
  <c r="BN95" i="477"/>
  <c r="BN93" i="477"/>
  <c r="BN102" i="477"/>
  <c r="BN96" i="477"/>
  <c r="BN94" i="477"/>
  <c r="BN100" i="477"/>
  <c r="BN92" i="477"/>
  <c r="BN98" i="477"/>
  <c r="AV91" i="477"/>
  <c r="AV102" i="477"/>
  <c r="AV100" i="477"/>
  <c r="AV98" i="477"/>
  <c r="AV96" i="477"/>
  <c r="AV94" i="477"/>
  <c r="AV92" i="477"/>
  <c r="AV103" i="477"/>
  <c r="AV101" i="477"/>
  <c r="AV97" i="477"/>
  <c r="AV95" i="477"/>
  <c r="AV93" i="477"/>
  <c r="AV99" i="477"/>
  <c r="BA91" i="477"/>
  <c r="BA102" i="477"/>
  <c r="BA100" i="477"/>
  <c r="BA98" i="477"/>
  <c r="BA96" i="477"/>
  <c r="BA94" i="477"/>
  <c r="BA92" i="477"/>
  <c r="BA97" i="477"/>
  <c r="BA103" i="477"/>
  <c r="BA101" i="477"/>
  <c r="BA99" i="477"/>
  <c r="BA95" i="477"/>
  <c r="BA93" i="477"/>
  <c r="BE102" i="477"/>
  <c r="BE100" i="477"/>
  <c r="BE98" i="477"/>
  <c r="BE96" i="477"/>
  <c r="BE94" i="477"/>
  <c r="BE92" i="477"/>
  <c r="BE95" i="477"/>
  <c r="BE93" i="477"/>
  <c r="BE103" i="477"/>
  <c r="BE101" i="477"/>
  <c r="BE99" i="477"/>
  <c r="BE97" i="477"/>
  <c r="BM102" i="477"/>
  <c r="BM100" i="477"/>
  <c r="BM98" i="477"/>
  <c r="BM96" i="477"/>
  <c r="BM94" i="477"/>
  <c r="BM92" i="477"/>
  <c r="BM97" i="477"/>
  <c r="BM95" i="477"/>
  <c r="BM93" i="477"/>
  <c r="BM103" i="477"/>
  <c r="BM101" i="477"/>
  <c r="BM99" i="477"/>
  <c r="BV102" i="477"/>
  <c r="BV100" i="477"/>
  <c r="BV98" i="477"/>
  <c r="BV96" i="477"/>
  <c r="BV94" i="477"/>
  <c r="BV92" i="477"/>
  <c r="BV95" i="477"/>
  <c r="BV103" i="477"/>
  <c r="BV101" i="477"/>
  <c r="BV99" i="477"/>
  <c r="BV97" i="477"/>
  <c r="BV93" i="477"/>
  <c r="AW91" i="477"/>
  <c r="AW102" i="477"/>
  <c r="AW100" i="477"/>
  <c r="AW98" i="477"/>
  <c r="AW96" i="477"/>
  <c r="AW94" i="477"/>
  <c r="AW92" i="477"/>
  <c r="AW95" i="477"/>
  <c r="AW93" i="477"/>
  <c r="AW103" i="477"/>
  <c r="AW101" i="477"/>
  <c r="AW99" i="477"/>
  <c r="AW97" i="477"/>
  <c r="BT89" i="477"/>
  <c r="BT91" i="477"/>
  <c r="BT90" i="477"/>
  <c r="BG89" i="477"/>
  <c r="BG91" i="477"/>
  <c r="BG90" i="477"/>
  <c r="BH89" i="477"/>
  <c r="BH91" i="477"/>
  <c r="BH90" i="477"/>
  <c r="BE89" i="477"/>
  <c r="BE90" i="477"/>
  <c r="BE91" i="477"/>
  <c r="BF89" i="477"/>
  <c r="BF91" i="477"/>
  <c r="BF90" i="477"/>
  <c r="BM89" i="477"/>
  <c r="BM90" i="477"/>
  <c r="BM91" i="477"/>
  <c r="BB89" i="477"/>
  <c r="BB91" i="477"/>
  <c r="BB90" i="477"/>
  <c r="BN89" i="477"/>
  <c r="BN90" i="477"/>
  <c r="BN91" i="477"/>
  <c r="BC89" i="477"/>
  <c r="BC91" i="477"/>
  <c r="BC90" i="477"/>
  <c r="BV89" i="477"/>
  <c r="BV90" i="477"/>
  <c r="BV91" i="477"/>
  <c r="AT89" i="477"/>
  <c r="AT90" i="477"/>
  <c r="AY89" i="477"/>
  <c r="AY90" i="477"/>
  <c r="AU89" i="477"/>
  <c r="AU90" i="477"/>
  <c r="AZ89" i="477"/>
  <c r="AZ90" i="477"/>
  <c r="AV89" i="477"/>
  <c r="AV90" i="477"/>
  <c r="AW89" i="477"/>
  <c r="AW90" i="477"/>
  <c r="BA89" i="477"/>
  <c r="BA90" i="477"/>
  <c r="AX89" i="477"/>
  <c r="AX90" i="477"/>
  <c r="AW88" i="477"/>
  <c r="AW86" i="477"/>
  <c r="AW87" i="477"/>
  <c r="AW85" i="477"/>
  <c r="AV88" i="477"/>
  <c r="AV86" i="477"/>
  <c r="AV87" i="477"/>
  <c r="AV85" i="477"/>
  <c r="BE88" i="477"/>
  <c r="BE86" i="477"/>
  <c r="BE87" i="477"/>
  <c r="BE85" i="477"/>
  <c r="AX86" i="477"/>
  <c r="AX87" i="477"/>
  <c r="AX85" i="477"/>
  <c r="AX88" i="477"/>
  <c r="BF87" i="477"/>
  <c r="BF85" i="477"/>
  <c r="BF88" i="477"/>
  <c r="BF86" i="477"/>
  <c r="BM88" i="477"/>
  <c r="BM86" i="477"/>
  <c r="BM87" i="477"/>
  <c r="BM85" i="477"/>
  <c r="BV88" i="477"/>
  <c r="BV86" i="477"/>
  <c r="BV87" i="477"/>
  <c r="BV85" i="477"/>
  <c r="BN87" i="477"/>
  <c r="BN85" i="477"/>
  <c r="BN88" i="477"/>
  <c r="BN86" i="477"/>
  <c r="BC87" i="477"/>
  <c r="BC85" i="477"/>
  <c r="BC88" i="477"/>
  <c r="BC86" i="477"/>
  <c r="BG87" i="477"/>
  <c r="BG85" i="477"/>
  <c r="BG88" i="477"/>
  <c r="BG86" i="477"/>
  <c r="BA88" i="477"/>
  <c r="BA86" i="477"/>
  <c r="BA87" i="477"/>
  <c r="BA85" i="477"/>
  <c r="BB88" i="477"/>
  <c r="BB87" i="477"/>
  <c r="BB85" i="477"/>
  <c r="BB86" i="477"/>
  <c r="AT87" i="477"/>
  <c r="AT85" i="477"/>
  <c r="AT86" i="477"/>
  <c r="AT88" i="477"/>
  <c r="AY87" i="477"/>
  <c r="AY85" i="477"/>
  <c r="AY88" i="477"/>
  <c r="AY86" i="477"/>
  <c r="AU87" i="477"/>
  <c r="AU85" i="477"/>
  <c r="AU88" i="477"/>
  <c r="AU86" i="477"/>
  <c r="AZ88" i="477"/>
  <c r="AZ86" i="477"/>
  <c r="AZ87" i="477"/>
  <c r="AZ85" i="477"/>
  <c r="BH88" i="477"/>
  <c r="BH86" i="477"/>
  <c r="BH85" i="477"/>
  <c r="BH87" i="477"/>
  <c r="BT85" i="477"/>
  <c r="BT88" i="477"/>
  <c r="BT86" i="477"/>
  <c r="BT87" i="477"/>
  <c r="BT84" i="477"/>
  <c r="BT82" i="477"/>
  <c r="BT80" i="477"/>
  <c r="BT78" i="477"/>
  <c r="BT76" i="477"/>
  <c r="BT72" i="477"/>
  <c r="BT83" i="477"/>
  <c r="BT81" i="477"/>
  <c r="BT79" i="477"/>
  <c r="BT77" i="477"/>
  <c r="BT75" i="477"/>
  <c r="BT73" i="477"/>
  <c r="BM84" i="477"/>
  <c r="BM78" i="477"/>
  <c r="BM83" i="477"/>
  <c r="BM81" i="477"/>
  <c r="BM79" i="477"/>
  <c r="BM77" i="477"/>
  <c r="BM75" i="477"/>
  <c r="BM73" i="477"/>
  <c r="BM80" i="477"/>
  <c r="BM82" i="477"/>
  <c r="BM76" i="477"/>
  <c r="BM72" i="477"/>
  <c r="AW80" i="477"/>
  <c r="AW78" i="477"/>
  <c r="AW72" i="477"/>
  <c r="AW83" i="477"/>
  <c r="AW81" i="477"/>
  <c r="AW79" i="477"/>
  <c r="AW77" i="477"/>
  <c r="AW75" i="477"/>
  <c r="AW73" i="477"/>
  <c r="AW84" i="477"/>
  <c r="AW76" i="477"/>
  <c r="AW82" i="477"/>
  <c r="AZ84" i="477"/>
  <c r="AZ82" i="477"/>
  <c r="AZ80" i="477"/>
  <c r="AZ78" i="477"/>
  <c r="AZ76" i="477"/>
  <c r="AZ72" i="477"/>
  <c r="AZ83" i="477"/>
  <c r="AZ81" i="477"/>
  <c r="AZ79" i="477"/>
  <c r="AZ77" i="477"/>
  <c r="AZ75" i="477"/>
  <c r="AZ73" i="477"/>
  <c r="BH84" i="477"/>
  <c r="BH82" i="477"/>
  <c r="BH80" i="477"/>
  <c r="BH78" i="477"/>
  <c r="BH76" i="477"/>
  <c r="BH72" i="477"/>
  <c r="BH83" i="477"/>
  <c r="BH81" i="477"/>
  <c r="BH79" i="477"/>
  <c r="BH77" i="477"/>
  <c r="BH75" i="477"/>
  <c r="BH73" i="477"/>
  <c r="BA83" i="477"/>
  <c r="BA81" i="477"/>
  <c r="BA79" i="477"/>
  <c r="BA77" i="477"/>
  <c r="BA75" i="477"/>
  <c r="BA73" i="477"/>
  <c r="BA82" i="477"/>
  <c r="BA80" i="477"/>
  <c r="BA78" i="477"/>
  <c r="BA84" i="477"/>
  <c r="BA76" i="477"/>
  <c r="BA72" i="477"/>
  <c r="BV72" i="477"/>
  <c r="BV83" i="477"/>
  <c r="BV81" i="477"/>
  <c r="BV79" i="477"/>
  <c r="BV77" i="477"/>
  <c r="BV75" i="477"/>
  <c r="BV73" i="477"/>
  <c r="BV84" i="477"/>
  <c r="BV82" i="477"/>
  <c r="BV78" i="477"/>
  <c r="BV76" i="477"/>
  <c r="BV80" i="477"/>
  <c r="BB83" i="477"/>
  <c r="BB81" i="477"/>
  <c r="BB79" i="477"/>
  <c r="BB77" i="477"/>
  <c r="BB75" i="477"/>
  <c r="BB73" i="477"/>
  <c r="BB84" i="477"/>
  <c r="BB82" i="477"/>
  <c r="BB80" i="477"/>
  <c r="BB78" i="477"/>
  <c r="BB76" i="477"/>
  <c r="BB72" i="477"/>
  <c r="BF83" i="477"/>
  <c r="BF81" i="477"/>
  <c r="BF79" i="477"/>
  <c r="BF77" i="477"/>
  <c r="BF75" i="477"/>
  <c r="BF73" i="477"/>
  <c r="BF84" i="477"/>
  <c r="BF82" i="477"/>
  <c r="BF80" i="477"/>
  <c r="BF78" i="477"/>
  <c r="BF76" i="477"/>
  <c r="BF72" i="477"/>
  <c r="BN83" i="477"/>
  <c r="BN81" i="477"/>
  <c r="BN79" i="477"/>
  <c r="BN77" i="477"/>
  <c r="BN75" i="477"/>
  <c r="BN73" i="477"/>
  <c r="BN84" i="477"/>
  <c r="BN82" i="477"/>
  <c r="BN80" i="477"/>
  <c r="BN78" i="477"/>
  <c r="BN76" i="477"/>
  <c r="BN72" i="477"/>
  <c r="AU79" i="477"/>
  <c r="AU77" i="477"/>
  <c r="AU84" i="477"/>
  <c r="AU82" i="477"/>
  <c r="AU80" i="477"/>
  <c r="AU78" i="477"/>
  <c r="AU76" i="477"/>
  <c r="AU72" i="477"/>
  <c r="AU81" i="477"/>
  <c r="AU75" i="477"/>
  <c r="AU83" i="477"/>
  <c r="AU73" i="477"/>
  <c r="AV84" i="477"/>
  <c r="AV82" i="477"/>
  <c r="AV80" i="477"/>
  <c r="AV78" i="477"/>
  <c r="AV76" i="477"/>
  <c r="AV72" i="477"/>
  <c r="AV83" i="477"/>
  <c r="AV81" i="477"/>
  <c r="AV79" i="477"/>
  <c r="AV77" i="477"/>
  <c r="AV75" i="477"/>
  <c r="AV73" i="477"/>
  <c r="BE82" i="477"/>
  <c r="BE76" i="477"/>
  <c r="BE83" i="477"/>
  <c r="BE81" i="477"/>
  <c r="BE79" i="477"/>
  <c r="BE77" i="477"/>
  <c r="BE75" i="477"/>
  <c r="BE73" i="477"/>
  <c r="BE84" i="477"/>
  <c r="BE72" i="477"/>
  <c r="BE80" i="477"/>
  <c r="BE78" i="477"/>
  <c r="AX83" i="477"/>
  <c r="AX81" i="477"/>
  <c r="AX79" i="477"/>
  <c r="AX77" i="477"/>
  <c r="AX75" i="477"/>
  <c r="AX73" i="477"/>
  <c r="AX84" i="477"/>
  <c r="AX82" i="477"/>
  <c r="AX80" i="477"/>
  <c r="AX78" i="477"/>
  <c r="AX76" i="477"/>
  <c r="AX72" i="477"/>
  <c r="AT83" i="477"/>
  <c r="AT81" i="477"/>
  <c r="AT79" i="477"/>
  <c r="AT77" i="477"/>
  <c r="AT75" i="477"/>
  <c r="AT73" i="477"/>
  <c r="AT84" i="477"/>
  <c r="AT82" i="477"/>
  <c r="AT80" i="477"/>
  <c r="AT78" i="477"/>
  <c r="AT76" i="477"/>
  <c r="AT72" i="477"/>
  <c r="AY73" i="477"/>
  <c r="AY84" i="477"/>
  <c r="AY82" i="477"/>
  <c r="AY80" i="477"/>
  <c r="AY78" i="477"/>
  <c r="AY76" i="477"/>
  <c r="AY72" i="477"/>
  <c r="AY83" i="477"/>
  <c r="AY79" i="477"/>
  <c r="AY77" i="477"/>
  <c r="AY81" i="477"/>
  <c r="AY75" i="477"/>
  <c r="BC83" i="477"/>
  <c r="BC75" i="477"/>
  <c r="BC84" i="477"/>
  <c r="BC82" i="477"/>
  <c r="BC80" i="477"/>
  <c r="BC78" i="477"/>
  <c r="BC76" i="477"/>
  <c r="BC72" i="477"/>
  <c r="BC81" i="477"/>
  <c r="BC73" i="477"/>
  <c r="BC79" i="477"/>
  <c r="BC77" i="477"/>
  <c r="BG81" i="477"/>
  <c r="BG79" i="477"/>
  <c r="BG77" i="477"/>
  <c r="BG84" i="477"/>
  <c r="BG82" i="477"/>
  <c r="BG80" i="477"/>
  <c r="BG78" i="477"/>
  <c r="BG76" i="477"/>
  <c r="BG72" i="477"/>
  <c r="BG75" i="477"/>
  <c r="BG83" i="477"/>
  <c r="BG73" i="477"/>
  <c r="BA71" i="477"/>
  <c r="BA69" i="477"/>
  <c r="BA70" i="477"/>
  <c r="BB71" i="477"/>
  <c r="BB69" i="477"/>
  <c r="BB70" i="477"/>
  <c r="AT71" i="477"/>
  <c r="AT69" i="477"/>
  <c r="AT70" i="477"/>
  <c r="AY70" i="477"/>
  <c r="AY71" i="477"/>
  <c r="AY69" i="477"/>
  <c r="BG70" i="477"/>
  <c r="BG71" i="477"/>
  <c r="BG69" i="477"/>
  <c r="BE71" i="477"/>
  <c r="BE69" i="477"/>
  <c r="BE70" i="477"/>
  <c r="BV71" i="477"/>
  <c r="BV69" i="477"/>
  <c r="BV70" i="477"/>
  <c r="BN71" i="477"/>
  <c r="BN69" i="477"/>
  <c r="BN70" i="477"/>
  <c r="BC70" i="477"/>
  <c r="BC71" i="477"/>
  <c r="BC69" i="477"/>
  <c r="AU70" i="477"/>
  <c r="AU71" i="477"/>
  <c r="AU69" i="477"/>
  <c r="AZ70" i="477"/>
  <c r="AZ71" i="477"/>
  <c r="AZ69" i="477"/>
  <c r="BH70" i="477"/>
  <c r="BH71" i="477"/>
  <c r="BH69" i="477"/>
  <c r="BT70" i="477"/>
  <c r="BT71" i="477"/>
  <c r="BT69" i="477"/>
  <c r="AV70" i="477"/>
  <c r="AV71" i="477"/>
  <c r="AV69" i="477"/>
  <c r="AW71" i="477"/>
  <c r="AW69" i="477"/>
  <c r="AW70" i="477"/>
  <c r="BM71" i="477"/>
  <c r="BM69" i="477"/>
  <c r="BM70" i="477"/>
  <c r="AX71" i="477"/>
  <c r="AX69" i="477"/>
  <c r="AX70" i="477"/>
  <c r="BF71" i="477"/>
  <c r="BF69" i="477"/>
  <c r="BF70" i="477"/>
  <c r="AU67" i="477"/>
  <c r="AU68" i="477"/>
  <c r="AU50" i="477"/>
  <c r="AZ67" i="477"/>
  <c r="AZ68" i="477"/>
  <c r="AZ50" i="477"/>
  <c r="BH67" i="477"/>
  <c r="BH68" i="477"/>
  <c r="BH50" i="477"/>
  <c r="BT67" i="477"/>
  <c r="BT68" i="477"/>
  <c r="BT50" i="477"/>
  <c r="BC67" i="477"/>
  <c r="BC50" i="477"/>
  <c r="BC68" i="477"/>
  <c r="BG67" i="477"/>
  <c r="BG68" i="477"/>
  <c r="BG50" i="477"/>
  <c r="AV67" i="477"/>
  <c r="AV68" i="477"/>
  <c r="AV50" i="477"/>
  <c r="BA68" i="477"/>
  <c r="BA50" i="477"/>
  <c r="BA67" i="477"/>
  <c r="BE68" i="477"/>
  <c r="BE50" i="477"/>
  <c r="BE67" i="477"/>
  <c r="BM68" i="477"/>
  <c r="BM50" i="477"/>
  <c r="BM67" i="477"/>
  <c r="BV68" i="477"/>
  <c r="BV50" i="477"/>
  <c r="BV67" i="477"/>
  <c r="AW67" i="477"/>
  <c r="AW68" i="477"/>
  <c r="AW50" i="477"/>
  <c r="AT68" i="477"/>
  <c r="AT50" i="477"/>
  <c r="AT67" i="477"/>
  <c r="AY50" i="477"/>
  <c r="AY67" i="477"/>
  <c r="AY68" i="477"/>
  <c r="AX68" i="477"/>
  <c r="AX50" i="477"/>
  <c r="AX67" i="477"/>
  <c r="BB68" i="477"/>
  <c r="BB50" i="477"/>
  <c r="BB67" i="477"/>
  <c r="BF68" i="477"/>
  <c r="BF50" i="477"/>
  <c r="BF67" i="477"/>
  <c r="BN68" i="477"/>
  <c r="BN50" i="477"/>
  <c r="BN67" i="477"/>
  <c r="BB46" i="477"/>
  <c r="BB55" i="477"/>
  <c r="BB36" i="477"/>
  <c r="BF46" i="477"/>
  <c r="BF55" i="477"/>
  <c r="BF36" i="477"/>
  <c r="BN55" i="477"/>
  <c r="BN53" i="477"/>
  <c r="BN65" i="477"/>
  <c r="BN61" i="477"/>
  <c r="BN52" i="477"/>
  <c r="BN57" i="477"/>
  <c r="BN64" i="477"/>
  <c r="BN56" i="477"/>
  <c r="BN54" i="477"/>
  <c r="AT46" i="477"/>
  <c r="AT55" i="477"/>
  <c r="AT36" i="477"/>
  <c r="AX46" i="477"/>
  <c r="AX55" i="477"/>
  <c r="AX36" i="477"/>
  <c r="AX37" i="477"/>
  <c r="AY46" i="477"/>
  <c r="AY55" i="477"/>
  <c r="AY36" i="477"/>
  <c r="AU46" i="477"/>
  <c r="AU55" i="477"/>
  <c r="AU36" i="477"/>
  <c r="AZ46" i="477"/>
  <c r="AZ36" i="477"/>
  <c r="AZ55" i="477"/>
  <c r="BH33" i="477"/>
  <c r="BH46" i="477"/>
  <c r="BH55" i="477"/>
  <c r="BH36" i="477"/>
  <c r="BH37" i="477"/>
  <c r="BC46" i="477"/>
  <c r="BC55" i="477"/>
  <c r="BC36" i="477"/>
  <c r="AV46" i="477"/>
  <c r="AV55" i="477"/>
  <c r="AV36" i="477"/>
  <c r="BA55" i="477"/>
  <c r="BA36" i="477"/>
  <c r="BA46" i="477"/>
  <c r="BE55" i="477"/>
  <c r="BE36" i="477"/>
  <c r="BE46" i="477"/>
  <c r="BM64" i="477"/>
  <c r="BM46" i="477"/>
  <c r="BM55" i="477"/>
  <c r="BM65" i="477"/>
  <c r="BM37" i="477"/>
  <c r="BM33" i="477"/>
  <c r="BM36" i="477"/>
  <c r="AW55" i="477"/>
  <c r="AW36" i="477"/>
  <c r="AW46" i="477"/>
  <c r="AV61" i="477"/>
  <c r="AV57" i="477"/>
  <c r="AV52" i="477"/>
  <c r="AV49" i="477"/>
  <c r="AV32" i="477"/>
  <c r="AV63" i="477"/>
  <c r="AV59" i="477"/>
  <c r="AV54" i="477"/>
  <c r="AV66" i="477"/>
  <c r="AV64" i="477"/>
  <c r="AV51" i="477"/>
  <c r="AV43" i="477"/>
  <c r="AV39" i="477"/>
  <c r="AV33" i="477"/>
  <c r="AV56" i="477"/>
  <c r="AV47" i="477"/>
  <c r="AV38" i="477"/>
  <c r="AV35" i="477"/>
  <c r="AV58" i="477"/>
  <c r="AV62" i="477"/>
  <c r="AV42" i="477"/>
  <c r="AV34" i="477"/>
  <c r="AV31" i="477"/>
  <c r="AV53" i="477"/>
  <c r="AV37" i="477"/>
  <c r="AV65" i="477"/>
  <c r="AV60" i="477"/>
  <c r="AV45" i="477"/>
  <c r="AV41" i="477"/>
  <c r="AV48" i="477"/>
  <c r="AV44" i="477"/>
  <c r="AV40" i="477"/>
  <c r="BE65" i="477"/>
  <c r="BE63" i="477"/>
  <c r="BE61" i="477"/>
  <c r="BE59" i="477"/>
  <c r="BE57" i="477"/>
  <c r="BE53" i="477"/>
  <c r="BE51" i="477"/>
  <c r="BE49" i="477"/>
  <c r="BE47" i="477"/>
  <c r="BE66" i="477"/>
  <c r="BE64" i="477"/>
  <c r="BE62" i="477"/>
  <c r="BE60" i="477"/>
  <c r="BE58" i="477"/>
  <c r="BE56" i="477"/>
  <c r="BE54" i="477"/>
  <c r="BE52" i="477"/>
  <c r="BE48" i="477"/>
  <c r="BE44" i="477"/>
  <c r="BE42" i="477"/>
  <c r="BE40" i="477"/>
  <c r="BE38" i="477"/>
  <c r="BE34" i="477"/>
  <c r="BE32" i="477"/>
  <c r="BE45" i="477"/>
  <c r="BE43" i="477"/>
  <c r="BE41" i="477"/>
  <c r="BE39" i="477"/>
  <c r="BE37" i="477"/>
  <c r="BE35" i="477"/>
  <c r="BE33" i="477"/>
  <c r="BE31" i="477"/>
  <c r="BV65" i="477"/>
  <c r="BV63" i="477"/>
  <c r="BV61" i="477"/>
  <c r="BV59" i="477"/>
  <c r="BV57" i="477"/>
  <c r="BV55" i="477"/>
  <c r="BV53" i="477"/>
  <c r="BV51" i="477"/>
  <c r="BV49" i="477"/>
  <c r="BV47" i="477"/>
  <c r="BV66" i="477"/>
  <c r="BV64" i="477"/>
  <c r="BV62" i="477"/>
  <c r="BV60" i="477"/>
  <c r="BV58" i="477"/>
  <c r="BV56" i="477"/>
  <c r="BV54" i="477"/>
  <c r="BV52" i="477"/>
  <c r="BV48" i="477"/>
  <c r="BV46" i="477"/>
  <c r="BV44" i="477"/>
  <c r="BV42" i="477"/>
  <c r="BV40" i="477"/>
  <c r="BV38" i="477"/>
  <c r="BV36" i="477"/>
  <c r="BV34" i="477"/>
  <c r="BV32" i="477"/>
  <c r="BV45" i="477"/>
  <c r="BV43" i="477"/>
  <c r="BV41" i="477"/>
  <c r="BV39" i="477"/>
  <c r="BV37" i="477"/>
  <c r="BV35" i="477"/>
  <c r="BV31" i="477"/>
  <c r="BV33" i="477"/>
  <c r="AX66" i="477"/>
  <c r="AX64" i="477"/>
  <c r="AX60" i="477"/>
  <c r="AX56" i="477"/>
  <c r="AX51" i="477"/>
  <c r="AX48" i="477"/>
  <c r="AX31" i="477"/>
  <c r="AX65" i="477"/>
  <c r="AX62" i="477"/>
  <c r="AX58" i="477"/>
  <c r="AX53" i="477"/>
  <c r="AX57" i="477"/>
  <c r="AX52" i="477"/>
  <c r="AX47" i="477"/>
  <c r="AX42" i="477"/>
  <c r="AX38" i="477"/>
  <c r="AX34" i="477"/>
  <c r="AX49" i="477"/>
  <c r="AX63" i="477"/>
  <c r="AX45" i="477"/>
  <c r="AX41" i="477"/>
  <c r="AX43" i="477"/>
  <c r="AX39" i="477"/>
  <c r="AX61" i="477"/>
  <c r="AX54" i="477"/>
  <c r="AX44" i="477"/>
  <c r="AX40" i="477"/>
  <c r="AX33" i="477"/>
  <c r="AX32" i="477"/>
  <c r="AX59" i="477"/>
  <c r="AX35" i="477"/>
  <c r="BN62" i="477"/>
  <c r="BN58" i="477"/>
  <c r="BN31" i="477"/>
  <c r="BN66" i="477"/>
  <c r="BN60" i="477"/>
  <c r="BN51" i="477"/>
  <c r="BN48" i="477"/>
  <c r="BN47" i="477"/>
  <c r="BN44" i="477"/>
  <c r="BN40" i="477"/>
  <c r="BN43" i="477"/>
  <c r="BN35" i="477"/>
  <c r="BN33" i="477"/>
  <c r="BN46" i="477"/>
  <c r="BN63" i="477"/>
  <c r="BN39" i="477"/>
  <c r="BN36" i="477"/>
  <c r="BN59" i="477"/>
  <c r="BN49" i="477"/>
  <c r="BN45" i="477"/>
  <c r="BN42" i="477"/>
  <c r="BN38" i="477"/>
  <c r="BN32" i="477"/>
  <c r="BN41" i="477"/>
  <c r="BN37" i="477"/>
  <c r="BN34" i="477"/>
  <c r="BM63" i="477"/>
  <c r="BM61" i="477"/>
  <c r="BM59" i="477"/>
  <c r="BM57" i="477"/>
  <c r="BM53" i="477"/>
  <c r="BM51" i="477"/>
  <c r="BM49" i="477"/>
  <c r="BM47" i="477"/>
  <c r="BM66" i="477"/>
  <c r="BM62" i="477"/>
  <c r="BM60" i="477"/>
  <c r="BM58" i="477"/>
  <c r="BM56" i="477"/>
  <c r="BM54" i="477"/>
  <c r="BM52" i="477"/>
  <c r="BM48" i="477"/>
  <c r="BM44" i="477"/>
  <c r="BM42" i="477"/>
  <c r="BM40" i="477"/>
  <c r="BM38" i="477"/>
  <c r="BM34" i="477"/>
  <c r="BM32" i="477"/>
  <c r="BM45" i="477"/>
  <c r="BM43" i="477"/>
  <c r="BM41" i="477"/>
  <c r="BM39" i="477"/>
  <c r="BM35" i="477"/>
  <c r="BM31" i="477"/>
  <c r="BB65" i="477"/>
  <c r="BB62" i="477"/>
  <c r="BB58" i="477"/>
  <c r="BB53" i="477"/>
  <c r="BB31" i="477"/>
  <c r="BB66" i="477"/>
  <c r="BB64" i="477"/>
  <c r="BB60" i="477"/>
  <c r="BB56" i="477"/>
  <c r="BB51" i="477"/>
  <c r="BB48" i="477"/>
  <c r="BB63" i="477"/>
  <c r="BB44" i="477"/>
  <c r="BB40" i="477"/>
  <c r="BB37" i="477"/>
  <c r="BB39" i="477"/>
  <c r="BB32" i="477"/>
  <c r="BB61" i="477"/>
  <c r="BB54" i="477"/>
  <c r="BB43" i="477"/>
  <c r="BB35" i="477"/>
  <c r="BB34" i="477"/>
  <c r="BB57" i="477"/>
  <c r="BB47" i="477"/>
  <c r="BB41" i="477"/>
  <c r="BB33" i="477"/>
  <c r="BB59" i="477"/>
  <c r="BB49" i="477"/>
  <c r="BB42" i="477"/>
  <c r="BB38" i="477"/>
  <c r="BB52" i="477"/>
  <c r="BB45" i="477"/>
  <c r="BF66" i="477"/>
  <c r="BF64" i="477"/>
  <c r="BF60" i="477"/>
  <c r="BF56" i="477"/>
  <c r="BF51" i="477"/>
  <c r="BF48" i="477"/>
  <c r="BF31" i="477"/>
  <c r="BF65" i="477"/>
  <c r="BF62" i="477"/>
  <c r="BF58" i="477"/>
  <c r="BF53" i="477"/>
  <c r="BF59" i="477"/>
  <c r="BF49" i="477"/>
  <c r="BF42" i="477"/>
  <c r="BF38" i="477"/>
  <c r="BF33" i="477"/>
  <c r="BF57" i="477"/>
  <c r="BF52" i="477"/>
  <c r="BF45" i="477"/>
  <c r="BF41" i="477"/>
  <c r="BF32" i="477"/>
  <c r="BF47" i="477"/>
  <c r="BF35" i="477"/>
  <c r="BF63" i="477"/>
  <c r="BF44" i="477"/>
  <c r="BF40" i="477"/>
  <c r="BF37" i="477"/>
  <c r="BF34" i="477"/>
  <c r="BF61" i="477"/>
  <c r="BF54" i="477"/>
  <c r="BF43" i="477"/>
  <c r="BF39" i="477"/>
  <c r="AT65" i="477"/>
  <c r="AT62" i="477"/>
  <c r="AT58" i="477"/>
  <c r="AT53" i="477"/>
  <c r="AT31" i="477"/>
  <c r="AT66" i="477"/>
  <c r="AT64" i="477"/>
  <c r="AT60" i="477"/>
  <c r="AT56" i="477"/>
  <c r="AT51" i="477"/>
  <c r="AT48" i="477"/>
  <c r="AT59" i="477"/>
  <c r="AT49" i="477"/>
  <c r="AT44" i="477"/>
  <c r="AT40" i="477"/>
  <c r="AT37" i="477"/>
  <c r="AT45" i="477"/>
  <c r="AT41" i="477"/>
  <c r="AT57" i="477"/>
  <c r="AT52" i="477"/>
  <c r="AT43" i="477"/>
  <c r="AT39" i="477"/>
  <c r="AT33" i="477"/>
  <c r="AT32" i="477"/>
  <c r="AT61" i="477"/>
  <c r="AT54" i="477"/>
  <c r="AT63" i="477"/>
  <c r="AT47" i="477"/>
  <c r="AT42" i="477"/>
  <c r="AT38" i="477"/>
  <c r="AT35" i="477"/>
  <c r="AT34" i="477"/>
  <c r="AY66" i="477"/>
  <c r="AY64" i="477"/>
  <c r="AY62" i="477"/>
  <c r="AY60" i="477"/>
  <c r="AY58" i="477"/>
  <c r="AY56" i="477"/>
  <c r="AY54" i="477"/>
  <c r="AY52" i="477"/>
  <c r="AY48" i="477"/>
  <c r="AY65" i="477"/>
  <c r="AY63" i="477"/>
  <c r="AY61" i="477"/>
  <c r="AY59" i="477"/>
  <c r="AY57" i="477"/>
  <c r="AY53" i="477"/>
  <c r="AY51" i="477"/>
  <c r="AY49" i="477"/>
  <c r="AY47" i="477"/>
  <c r="AY45" i="477"/>
  <c r="AY43" i="477"/>
  <c r="AY41" i="477"/>
  <c r="AY39" i="477"/>
  <c r="AY37" i="477"/>
  <c r="AY35" i="477"/>
  <c r="AY33" i="477"/>
  <c r="AY44" i="477"/>
  <c r="AY42" i="477"/>
  <c r="AY40" i="477"/>
  <c r="AY38" i="477"/>
  <c r="AY34" i="477"/>
  <c r="AY31" i="477"/>
  <c r="AY32" i="477"/>
  <c r="BG66" i="477"/>
  <c r="BG64" i="477"/>
  <c r="BG62" i="477"/>
  <c r="BG60" i="477"/>
  <c r="BG58" i="477"/>
  <c r="BG56" i="477"/>
  <c r="BG54" i="477"/>
  <c r="BG52" i="477"/>
  <c r="BG48" i="477"/>
  <c r="BG65" i="477"/>
  <c r="BG63" i="477"/>
  <c r="BG61" i="477"/>
  <c r="BG59" i="477"/>
  <c r="BG57" i="477"/>
  <c r="BG55" i="477"/>
  <c r="BG53" i="477"/>
  <c r="BG51" i="477"/>
  <c r="BG49" i="477"/>
  <c r="BG47" i="477"/>
  <c r="BG45" i="477"/>
  <c r="BG43" i="477"/>
  <c r="BG41" i="477"/>
  <c r="BG39" i="477"/>
  <c r="BG37" i="477"/>
  <c r="BG35" i="477"/>
  <c r="BG33" i="477"/>
  <c r="BG46" i="477"/>
  <c r="BG44" i="477"/>
  <c r="BG42" i="477"/>
  <c r="BG40" i="477"/>
  <c r="BG38" i="477"/>
  <c r="BG36" i="477"/>
  <c r="BG32" i="477"/>
  <c r="BG34" i="477"/>
  <c r="BG31" i="477"/>
  <c r="BA65" i="477"/>
  <c r="BA63" i="477"/>
  <c r="BA61" i="477"/>
  <c r="BA59" i="477"/>
  <c r="BA57" i="477"/>
  <c r="BA53" i="477"/>
  <c r="BA51" i="477"/>
  <c r="BA49" i="477"/>
  <c r="BA47" i="477"/>
  <c r="BA66" i="477"/>
  <c r="BA64" i="477"/>
  <c r="BA62" i="477"/>
  <c r="BA60" i="477"/>
  <c r="BA58" i="477"/>
  <c r="BA56" i="477"/>
  <c r="BA54" i="477"/>
  <c r="BA52" i="477"/>
  <c r="BA48" i="477"/>
  <c r="BA44" i="477"/>
  <c r="BA42" i="477"/>
  <c r="BA40" i="477"/>
  <c r="BA38" i="477"/>
  <c r="BA34" i="477"/>
  <c r="BA45" i="477"/>
  <c r="BA43" i="477"/>
  <c r="BA41" i="477"/>
  <c r="BA39" i="477"/>
  <c r="BA37" i="477"/>
  <c r="BA35" i="477"/>
  <c r="BA33" i="477"/>
  <c r="BA32" i="477"/>
  <c r="BA31" i="477"/>
  <c r="AW65" i="477"/>
  <c r="AW63" i="477"/>
  <c r="AW61" i="477"/>
  <c r="AW59" i="477"/>
  <c r="AW57" i="477"/>
  <c r="AW53" i="477"/>
  <c r="AW51" i="477"/>
  <c r="AW49" i="477"/>
  <c r="AW66" i="477"/>
  <c r="AW64" i="477"/>
  <c r="AW62" i="477"/>
  <c r="AW60" i="477"/>
  <c r="AW58" i="477"/>
  <c r="AW56" i="477"/>
  <c r="AW54" i="477"/>
  <c r="AW52" i="477"/>
  <c r="AW48" i="477"/>
  <c r="AW44" i="477"/>
  <c r="AW42" i="477"/>
  <c r="AW40" i="477"/>
  <c r="AW38" i="477"/>
  <c r="AW34" i="477"/>
  <c r="AW47" i="477"/>
  <c r="AW45" i="477"/>
  <c r="AW43" i="477"/>
  <c r="AW41" i="477"/>
  <c r="AW39" i="477"/>
  <c r="AW37" i="477"/>
  <c r="AW35" i="477"/>
  <c r="AW31" i="477"/>
  <c r="AW32" i="477"/>
  <c r="AW33" i="477"/>
  <c r="BC32" i="477"/>
  <c r="BC66" i="477"/>
  <c r="BC64" i="477"/>
  <c r="BC62" i="477"/>
  <c r="BC60" i="477"/>
  <c r="BC58" i="477"/>
  <c r="BC56" i="477"/>
  <c r="BC54" i="477"/>
  <c r="BC52" i="477"/>
  <c r="BC48" i="477"/>
  <c r="BC65" i="477"/>
  <c r="BC63" i="477"/>
  <c r="BC61" i="477"/>
  <c r="BC59" i="477"/>
  <c r="BC57" i="477"/>
  <c r="BC53" i="477"/>
  <c r="BC51" i="477"/>
  <c r="BC49" i="477"/>
  <c r="BC47" i="477"/>
  <c r="BC45" i="477"/>
  <c r="BC43" i="477"/>
  <c r="BC41" i="477"/>
  <c r="BC39" i="477"/>
  <c r="BC37" i="477"/>
  <c r="BC35" i="477"/>
  <c r="BC33" i="477"/>
  <c r="BC44" i="477"/>
  <c r="BC42" i="477"/>
  <c r="BC40" i="477"/>
  <c r="BC38" i="477"/>
  <c r="BC34" i="477"/>
  <c r="BC31" i="477"/>
  <c r="AU66" i="477"/>
  <c r="AU64" i="477"/>
  <c r="AU62" i="477"/>
  <c r="AU60" i="477"/>
  <c r="AU58" i="477"/>
  <c r="AU56" i="477"/>
  <c r="AU54" i="477"/>
  <c r="AU52" i="477"/>
  <c r="AU48" i="477"/>
  <c r="AU65" i="477"/>
  <c r="AU63" i="477"/>
  <c r="AU61" i="477"/>
  <c r="AU59" i="477"/>
  <c r="AU57" i="477"/>
  <c r="AU53" i="477"/>
  <c r="AU51" i="477"/>
  <c r="AU49" i="477"/>
  <c r="AU47" i="477"/>
  <c r="AU45" i="477"/>
  <c r="AU43" i="477"/>
  <c r="AU41" i="477"/>
  <c r="AU39" i="477"/>
  <c r="AU37" i="477"/>
  <c r="AU35" i="477"/>
  <c r="AU33" i="477"/>
  <c r="AU44" i="477"/>
  <c r="AU42" i="477"/>
  <c r="AU40" i="477"/>
  <c r="AU38" i="477"/>
  <c r="AU32" i="477"/>
  <c r="AU34" i="477"/>
  <c r="AU31" i="477"/>
  <c r="AZ63" i="477"/>
  <c r="AZ59" i="477"/>
  <c r="AZ54" i="477"/>
  <c r="AZ47" i="477"/>
  <c r="AZ32" i="477"/>
  <c r="AZ61" i="477"/>
  <c r="AZ57" i="477"/>
  <c r="AZ52" i="477"/>
  <c r="AZ49" i="477"/>
  <c r="AZ62" i="477"/>
  <c r="AZ56" i="477"/>
  <c r="AZ45" i="477"/>
  <c r="AZ41" i="477"/>
  <c r="AZ37" i="477"/>
  <c r="AZ33" i="477"/>
  <c r="AZ66" i="477"/>
  <c r="AZ65" i="477"/>
  <c r="AZ60" i="477"/>
  <c r="AZ44" i="477"/>
  <c r="AZ40" i="477"/>
  <c r="AZ64" i="477"/>
  <c r="AZ51" i="477"/>
  <c r="AZ42" i="477"/>
  <c r="AZ38" i="477"/>
  <c r="AZ58" i="477"/>
  <c r="AZ53" i="477"/>
  <c r="AZ48" i="477"/>
  <c r="AZ43" i="477"/>
  <c r="AZ39" i="477"/>
  <c r="AZ35" i="477"/>
  <c r="AZ34" i="477"/>
  <c r="AZ31" i="477"/>
  <c r="BH63" i="477"/>
  <c r="BH59" i="477"/>
  <c r="BH54" i="477"/>
  <c r="BH47" i="477"/>
  <c r="BH61" i="477"/>
  <c r="BH57" i="477"/>
  <c r="BH52" i="477"/>
  <c r="BH49" i="477"/>
  <c r="BH58" i="477"/>
  <c r="BH53" i="477"/>
  <c r="BH48" i="477"/>
  <c r="BH45" i="477"/>
  <c r="BH41" i="477"/>
  <c r="BH34" i="477"/>
  <c r="BH31" i="477"/>
  <c r="BH44" i="477"/>
  <c r="BH40" i="477"/>
  <c r="BH66" i="477"/>
  <c r="BH64" i="477"/>
  <c r="BH51" i="477"/>
  <c r="BH62" i="477"/>
  <c r="BH56" i="477"/>
  <c r="BH43" i="477"/>
  <c r="BH39" i="477"/>
  <c r="BH35" i="477"/>
  <c r="BH65" i="477"/>
  <c r="BH60" i="477"/>
  <c r="BH42" i="477"/>
  <c r="BH38" i="477"/>
  <c r="BH32" i="477"/>
  <c r="BT66" i="477"/>
  <c r="BT60" i="477"/>
  <c r="BT56" i="477"/>
  <c r="BT51" i="477"/>
  <c r="BT48" i="477"/>
  <c r="BT62" i="477"/>
  <c r="BT58" i="477"/>
  <c r="BT53" i="477"/>
  <c r="BT61" i="477"/>
  <c r="BT55" i="477"/>
  <c r="BT54" i="477"/>
  <c r="BT42" i="477"/>
  <c r="BT38" i="477"/>
  <c r="BT32" i="477"/>
  <c r="BT59" i="477"/>
  <c r="BT49" i="477"/>
  <c r="BT41" i="477"/>
  <c r="BT39" i="477"/>
  <c r="BT64" i="477"/>
  <c r="BT46" i="477"/>
  <c r="BT45" i="477"/>
  <c r="BT37" i="477"/>
  <c r="BT34" i="477"/>
  <c r="BT31" i="477"/>
  <c r="BT43" i="477"/>
  <c r="BT57" i="477"/>
  <c r="BT52" i="477"/>
  <c r="BT47" i="477"/>
  <c r="BT44" i="477"/>
  <c r="BT40" i="477"/>
  <c r="BT65" i="477"/>
  <c r="BT63" i="477"/>
  <c r="BT36" i="477"/>
  <c r="BT35" i="477"/>
  <c r="BT33" i="477"/>
  <c r="K27" i="530"/>
  <c r="C6" i="539" l="1"/>
  <c r="AO74" i="477" l="1"/>
  <c r="AO108" i="477"/>
  <c r="AO109" i="477"/>
  <c r="AO110" i="477"/>
  <c r="AO111" i="477"/>
  <c r="AO112" i="477"/>
  <c r="AO113" i="477"/>
  <c r="AO114" i="477"/>
  <c r="AO115" i="477"/>
  <c r="AO116" i="477"/>
  <c r="AO117" i="477"/>
  <c r="AO118" i="477"/>
  <c r="AO119" i="477"/>
  <c r="AO120" i="477"/>
  <c r="AO121" i="477"/>
  <c r="AO122" i="477"/>
  <c r="AO123" i="477"/>
  <c r="AO124" i="477"/>
  <c r="AO125" i="477"/>
  <c r="AO126" i="477"/>
  <c r="AO127" i="477"/>
  <c r="AO128" i="477"/>
  <c r="AO129" i="477"/>
  <c r="AO130" i="477"/>
  <c r="C129" i="539" l="1"/>
  <c r="C121" i="539"/>
  <c r="C109" i="539"/>
  <c r="C120" i="539"/>
  <c r="C108" i="539"/>
  <c r="C117" i="539"/>
  <c r="C124" i="539"/>
  <c r="C112" i="539"/>
  <c r="C123" i="539"/>
  <c r="C115" i="539"/>
  <c r="C125" i="539"/>
  <c r="C113" i="539"/>
  <c r="C128" i="539"/>
  <c r="C116" i="539"/>
  <c r="C127" i="539"/>
  <c r="C119" i="539"/>
  <c r="C111" i="539"/>
  <c r="C130" i="539"/>
  <c r="C126" i="539"/>
  <c r="C122" i="539"/>
  <c r="C118" i="539"/>
  <c r="C114" i="539"/>
  <c r="C110" i="539"/>
  <c r="C74" i="539"/>
  <c r="C129" i="527"/>
  <c r="F129" i="476"/>
  <c r="U129" i="476" s="1"/>
  <c r="C125" i="527"/>
  <c r="F125" i="476"/>
  <c r="U125" i="476" s="1"/>
  <c r="C121" i="527"/>
  <c r="F121" i="476"/>
  <c r="U121" i="476" s="1"/>
  <c r="C117" i="527"/>
  <c r="F117" i="476"/>
  <c r="U117" i="476" s="1"/>
  <c r="C113" i="527"/>
  <c r="F113" i="476"/>
  <c r="U113" i="476" s="1"/>
  <c r="C109" i="527"/>
  <c r="F109" i="476"/>
  <c r="U109" i="476" s="1"/>
  <c r="C120" i="527"/>
  <c r="F120" i="476"/>
  <c r="U120" i="476" s="1"/>
  <c r="C116" i="527"/>
  <c r="F116" i="476"/>
  <c r="U116" i="476" s="1"/>
  <c r="C112" i="527"/>
  <c r="F112" i="476"/>
  <c r="U112" i="476" s="1"/>
  <c r="C108" i="527"/>
  <c r="F108" i="476"/>
  <c r="U108" i="476" s="1"/>
  <c r="C128" i="527"/>
  <c r="F128" i="476"/>
  <c r="U128" i="476" s="1"/>
  <c r="C123" i="527"/>
  <c r="F123" i="476"/>
  <c r="U123" i="476" s="1"/>
  <c r="C115" i="527"/>
  <c r="F115" i="476"/>
  <c r="U115" i="476" s="1"/>
  <c r="C111" i="527"/>
  <c r="F111" i="476"/>
  <c r="U111" i="476" s="1"/>
  <c r="C124" i="527"/>
  <c r="F124" i="476"/>
  <c r="U124" i="476" s="1"/>
  <c r="C127" i="527"/>
  <c r="F127" i="476"/>
  <c r="U127" i="476" s="1"/>
  <c r="C119" i="527"/>
  <c r="F119" i="476"/>
  <c r="U119" i="476" s="1"/>
  <c r="C130" i="527"/>
  <c r="F130" i="476"/>
  <c r="U130" i="476" s="1"/>
  <c r="C126" i="527"/>
  <c r="F126" i="476"/>
  <c r="U126" i="476" s="1"/>
  <c r="C122" i="527"/>
  <c r="F122" i="476"/>
  <c r="U122" i="476" s="1"/>
  <c r="C118" i="527"/>
  <c r="F118" i="476"/>
  <c r="U118" i="476" s="1"/>
  <c r="C114" i="527"/>
  <c r="F114" i="476"/>
  <c r="U114" i="476" s="1"/>
  <c r="C110" i="527"/>
  <c r="F110" i="476"/>
  <c r="U110" i="476" s="1"/>
  <c r="C74" i="527"/>
  <c r="F74" i="476"/>
  <c r="U74" i="476" s="1"/>
  <c r="F125" i="558"/>
  <c r="U125" i="558" s="1"/>
  <c r="F121" i="558"/>
  <c r="U121" i="558" s="1"/>
  <c r="F117" i="558"/>
  <c r="U117" i="558" s="1"/>
  <c r="F113" i="558"/>
  <c r="U113" i="558" s="1"/>
  <c r="F109" i="558"/>
  <c r="U109" i="558" s="1"/>
  <c r="F128" i="558"/>
  <c r="U128" i="558" s="1"/>
  <c r="F116" i="558"/>
  <c r="U116" i="558" s="1"/>
  <c r="F112" i="558"/>
  <c r="U112" i="558" s="1"/>
  <c r="F108" i="558"/>
  <c r="U108" i="558" s="1"/>
  <c r="F124" i="558"/>
  <c r="U124" i="558" s="1"/>
  <c r="F127" i="558"/>
  <c r="U127" i="558" s="1"/>
  <c r="F123" i="558"/>
  <c r="U123" i="558" s="1"/>
  <c r="F119" i="558"/>
  <c r="U119" i="558" s="1"/>
  <c r="F115" i="558"/>
  <c r="U115" i="558" s="1"/>
  <c r="F111" i="558"/>
  <c r="U111" i="558" s="1"/>
  <c r="F129" i="558"/>
  <c r="U129" i="558" s="1"/>
  <c r="F120" i="558"/>
  <c r="U120" i="558" s="1"/>
  <c r="F130" i="558"/>
  <c r="U130" i="558" s="1"/>
  <c r="F126" i="558"/>
  <c r="U126" i="558" s="1"/>
  <c r="F122" i="558"/>
  <c r="U122" i="558" s="1"/>
  <c r="F118" i="558"/>
  <c r="U118" i="558" s="1"/>
  <c r="F114" i="558"/>
  <c r="U114" i="558" s="1"/>
  <c r="F110" i="558"/>
  <c r="U110" i="558" s="1"/>
  <c r="F74" i="558"/>
  <c r="U74" i="558" s="1"/>
  <c r="G110" i="527" l="1"/>
  <c r="H110" i="527"/>
  <c r="H124" i="527"/>
  <c r="G124" i="527"/>
  <c r="H112" i="527"/>
  <c r="G112" i="527"/>
  <c r="G125" i="527"/>
  <c r="H125" i="527"/>
  <c r="H116" i="527"/>
  <c r="G116" i="527"/>
  <c r="H129" i="527"/>
  <c r="G129" i="527"/>
  <c r="H121" i="527"/>
  <c r="G121" i="527"/>
  <c r="G114" i="527"/>
  <c r="H114" i="527"/>
  <c r="G118" i="527"/>
  <c r="H118" i="527"/>
  <c r="H111" i="527"/>
  <c r="G111" i="527"/>
  <c r="G120" i="527"/>
  <c r="H120" i="527"/>
  <c r="G122" i="527"/>
  <c r="H122" i="527"/>
  <c r="G115" i="527"/>
  <c r="H115" i="527"/>
  <c r="G108" i="527"/>
  <c r="H108" i="527"/>
  <c r="G126" i="527"/>
  <c r="H126" i="527"/>
  <c r="G123" i="527"/>
  <c r="H123" i="527"/>
  <c r="G109" i="527"/>
  <c r="H109" i="527"/>
  <c r="G127" i="527"/>
  <c r="H127" i="527"/>
  <c r="G130" i="527"/>
  <c r="H130" i="527"/>
  <c r="G128" i="527"/>
  <c r="H128" i="527"/>
  <c r="H113" i="527"/>
  <c r="G113" i="527"/>
  <c r="G119" i="527"/>
  <c r="H119" i="527"/>
  <c r="G117" i="527"/>
  <c r="H117" i="527"/>
  <c r="G74" i="527"/>
  <c r="H74" i="527"/>
  <c r="C74" i="528"/>
  <c r="C74" i="529" s="1"/>
  <c r="C74" i="530" s="1"/>
  <c r="C74" i="531" s="1"/>
  <c r="Z74" i="527"/>
  <c r="C114" i="528"/>
  <c r="C114" i="529" s="1"/>
  <c r="C114" i="530" s="1"/>
  <c r="C114" i="531" s="1"/>
  <c r="Z114" i="527"/>
  <c r="C122" i="528"/>
  <c r="C122" i="529" s="1"/>
  <c r="C122" i="530" s="1"/>
  <c r="C122" i="531" s="1"/>
  <c r="Z122" i="527"/>
  <c r="C130" i="528"/>
  <c r="C130" i="529" s="1"/>
  <c r="C130" i="530" s="1"/>
  <c r="C130" i="531" s="1"/>
  <c r="Z130" i="527"/>
  <c r="C127" i="528"/>
  <c r="C127" i="529" s="1"/>
  <c r="C127" i="530" s="1"/>
  <c r="C127" i="531" s="1"/>
  <c r="Z127" i="527"/>
  <c r="C115" i="528"/>
  <c r="C115" i="529" s="1"/>
  <c r="C115" i="530" s="1"/>
  <c r="C115" i="531" s="1"/>
  <c r="Z115" i="527"/>
  <c r="C128" i="528"/>
  <c r="C128" i="529" s="1"/>
  <c r="C128" i="530" s="1"/>
  <c r="C128" i="531" s="1"/>
  <c r="Z128" i="527"/>
  <c r="C112" i="528"/>
  <c r="C112" i="529" s="1"/>
  <c r="C112" i="530" s="1"/>
  <c r="C112" i="531" s="1"/>
  <c r="Z112" i="527"/>
  <c r="C120" i="528"/>
  <c r="C120" i="529" s="1"/>
  <c r="C120" i="530" s="1"/>
  <c r="C120" i="531" s="1"/>
  <c r="Z120" i="527"/>
  <c r="C113" i="528"/>
  <c r="C113" i="529" s="1"/>
  <c r="C113" i="530" s="1"/>
  <c r="C113" i="531" s="1"/>
  <c r="Z113" i="527"/>
  <c r="C121" i="528"/>
  <c r="C121" i="529" s="1"/>
  <c r="C121" i="530" s="1"/>
  <c r="C121" i="531" s="1"/>
  <c r="Z121" i="527"/>
  <c r="C129" i="528"/>
  <c r="C129" i="529" s="1"/>
  <c r="C129" i="530" s="1"/>
  <c r="C129" i="531" s="1"/>
  <c r="Z129" i="527"/>
  <c r="C110" i="528"/>
  <c r="C110" i="529" s="1"/>
  <c r="C110" i="530" s="1"/>
  <c r="C110" i="531" s="1"/>
  <c r="Z110" i="527"/>
  <c r="C118" i="528"/>
  <c r="C118" i="529" s="1"/>
  <c r="C118" i="530" s="1"/>
  <c r="C118" i="531" s="1"/>
  <c r="Z118" i="527"/>
  <c r="C126" i="528"/>
  <c r="C126" i="529" s="1"/>
  <c r="C126" i="530" s="1"/>
  <c r="C126" i="531" s="1"/>
  <c r="Z126" i="527"/>
  <c r="C119" i="528"/>
  <c r="C119" i="529" s="1"/>
  <c r="C119" i="530" s="1"/>
  <c r="C119" i="531" s="1"/>
  <c r="Z119" i="527"/>
  <c r="C124" i="528"/>
  <c r="C124" i="529" s="1"/>
  <c r="C124" i="530" s="1"/>
  <c r="C124" i="531" s="1"/>
  <c r="Z124" i="527"/>
  <c r="C111" i="528"/>
  <c r="C111" i="529" s="1"/>
  <c r="C111" i="530" s="1"/>
  <c r="C111" i="531" s="1"/>
  <c r="Z111" i="527"/>
  <c r="C123" i="528"/>
  <c r="C123" i="529" s="1"/>
  <c r="C123" i="530" s="1"/>
  <c r="C123" i="531" s="1"/>
  <c r="Z123" i="527"/>
  <c r="C108" i="528"/>
  <c r="C108" i="529" s="1"/>
  <c r="C108" i="530" s="1"/>
  <c r="C108" i="531" s="1"/>
  <c r="Z108" i="527"/>
  <c r="C116" i="528"/>
  <c r="C116" i="529" s="1"/>
  <c r="C116" i="530" s="1"/>
  <c r="C116" i="531" s="1"/>
  <c r="Z116" i="527"/>
  <c r="C109" i="528"/>
  <c r="C109" i="529" s="1"/>
  <c r="C109" i="530" s="1"/>
  <c r="C109" i="531" s="1"/>
  <c r="Z109" i="527"/>
  <c r="C117" i="528"/>
  <c r="C117" i="529" s="1"/>
  <c r="C117" i="530" s="1"/>
  <c r="C117" i="531" s="1"/>
  <c r="Z117" i="527"/>
  <c r="C125" i="528"/>
  <c r="C125" i="529" s="1"/>
  <c r="C125" i="530" s="1"/>
  <c r="C125" i="531" s="1"/>
  <c r="Z125" i="527"/>
  <c r="B114" i="476"/>
  <c r="B126" i="476"/>
  <c r="B124" i="476"/>
  <c r="B116" i="476"/>
  <c r="B117" i="476"/>
  <c r="B74" i="476"/>
  <c r="B110" i="476"/>
  <c r="B122" i="476"/>
  <c r="B127" i="476"/>
  <c r="B115" i="476"/>
  <c r="B123" i="476"/>
  <c r="B112" i="476"/>
  <c r="B113" i="476"/>
  <c r="B129" i="476"/>
  <c r="B118" i="476"/>
  <c r="B111" i="476"/>
  <c r="B108" i="476"/>
  <c r="B109" i="476"/>
  <c r="B125" i="476"/>
  <c r="B130" i="476"/>
  <c r="B119" i="476"/>
  <c r="B128" i="476"/>
  <c r="B120" i="476"/>
  <c r="B121" i="476"/>
  <c r="AC74" i="558"/>
  <c r="W74" i="558"/>
  <c r="Y74" i="558"/>
  <c r="B74" i="558"/>
  <c r="Z74" i="558"/>
  <c r="K74" i="370" s="1"/>
  <c r="AB74" i="558"/>
  <c r="AC114" i="558"/>
  <c r="W114" i="558"/>
  <c r="AB114" i="558"/>
  <c r="Y114" i="558"/>
  <c r="B114" i="558"/>
  <c r="Z114" i="558"/>
  <c r="K114" i="370" s="1"/>
  <c r="Z122" i="558"/>
  <c r="K122" i="370" s="1"/>
  <c r="AC122" i="558"/>
  <c r="AB122" i="558"/>
  <c r="W122" i="558"/>
  <c r="Y122" i="558"/>
  <c r="B122" i="558"/>
  <c r="Z130" i="558"/>
  <c r="K130" i="370" s="1"/>
  <c r="AC130" i="558"/>
  <c r="B130" i="558"/>
  <c r="Y130" i="558"/>
  <c r="AB130" i="558"/>
  <c r="W130" i="558"/>
  <c r="Z129" i="558"/>
  <c r="K129" i="370" s="1"/>
  <c r="W129" i="558"/>
  <c r="AC129" i="558"/>
  <c r="Y129" i="558"/>
  <c r="AB129" i="558"/>
  <c r="B129" i="558"/>
  <c r="Z119" i="558"/>
  <c r="K119" i="370" s="1"/>
  <c r="AC119" i="558"/>
  <c r="Y119" i="558"/>
  <c r="AB119" i="558"/>
  <c r="B119" i="558"/>
  <c r="W119" i="558"/>
  <c r="Y108" i="558"/>
  <c r="W108" i="558"/>
  <c r="AC108" i="558"/>
  <c r="Z108" i="558"/>
  <c r="K108" i="370" s="1"/>
  <c r="B108" i="558"/>
  <c r="AB108" i="558"/>
  <c r="Z116" i="558"/>
  <c r="K116" i="370" s="1"/>
  <c r="W116" i="558"/>
  <c r="Y116" i="558"/>
  <c r="AC116" i="558"/>
  <c r="B116" i="558"/>
  <c r="AB116" i="558"/>
  <c r="W109" i="558"/>
  <c r="AB109" i="558"/>
  <c r="Z109" i="558"/>
  <c r="K109" i="370" s="1"/>
  <c r="AC109" i="558"/>
  <c r="Y109" i="558"/>
  <c r="B109" i="558"/>
  <c r="Z117" i="558"/>
  <c r="K117" i="370" s="1"/>
  <c r="Y117" i="558"/>
  <c r="AB117" i="558"/>
  <c r="B117" i="558"/>
  <c r="W117" i="558"/>
  <c r="AC117" i="558"/>
  <c r="Z125" i="558"/>
  <c r="K125" i="370" s="1"/>
  <c r="Y125" i="558"/>
  <c r="AB125" i="558"/>
  <c r="B125" i="558"/>
  <c r="W125" i="558"/>
  <c r="AC125" i="558"/>
  <c r="Z120" i="558"/>
  <c r="K120" i="370" s="1"/>
  <c r="AB120" i="558"/>
  <c r="B120" i="558"/>
  <c r="AC120" i="558"/>
  <c r="W120" i="558"/>
  <c r="Y120" i="558"/>
  <c r="Z111" i="558"/>
  <c r="K111" i="370" s="1"/>
  <c r="W111" i="558"/>
  <c r="B111" i="558"/>
  <c r="AB111" i="558"/>
  <c r="AC111" i="558"/>
  <c r="Y111" i="558"/>
  <c r="Z127" i="558"/>
  <c r="K127" i="370" s="1"/>
  <c r="AC127" i="558"/>
  <c r="Y127" i="558"/>
  <c r="AB127" i="558"/>
  <c r="B127" i="558"/>
  <c r="W127" i="558"/>
  <c r="Y110" i="558"/>
  <c r="AC110" i="558"/>
  <c r="B110" i="558"/>
  <c r="Z110" i="558"/>
  <c r="K110" i="370" s="1"/>
  <c r="W110" i="558"/>
  <c r="AB110" i="558"/>
  <c r="Z118" i="558"/>
  <c r="K118" i="370" s="1"/>
  <c r="Y118" i="558"/>
  <c r="AC118" i="558"/>
  <c r="B118" i="558"/>
  <c r="W118" i="558"/>
  <c r="AB118" i="558"/>
  <c r="Z115" i="558"/>
  <c r="K115" i="370" s="1"/>
  <c r="AB115" i="558"/>
  <c r="B115" i="558"/>
  <c r="W115" i="558"/>
  <c r="AC115" i="558"/>
  <c r="Y115" i="558"/>
  <c r="Z123" i="558"/>
  <c r="K123" i="370" s="1"/>
  <c r="AB123" i="558"/>
  <c r="B123" i="558"/>
  <c r="W123" i="558"/>
  <c r="AC123" i="558"/>
  <c r="Y123" i="558"/>
  <c r="Z124" i="558"/>
  <c r="K124" i="370" s="1"/>
  <c r="W124" i="558"/>
  <c r="AB124" i="558"/>
  <c r="Y124" i="558"/>
  <c r="B124" i="558"/>
  <c r="AC124" i="558"/>
  <c r="AC112" i="558"/>
  <c r="B112" i="558"/>
  <c r="Y112" i="558"/>
  <c r="Z112" i="558"/>
  <c r="K112" i="370" s="1"/>
  <c r="AB112" i="558"/>
  <c r="W112" i="558"/>
  <c r="Z128" i="558"/>
  <c r="K128" i="370" s="1"/>
  <c r="AB128" i="558"/>
  <c r="B128" i="558"/>
  <c r="Y128" i="558"/>
  <c r="W128" i="558"/>
  <c r="AC128" i="558"/>
  <c r="Z113" i="558"/>
  <c r="K113" i="370" s="1"/>
  <c r="AB113" i="558"/>
  <c r="B113" i="558"/>
  <c r="W113" i="558"/>
  <c r="AC113" i="558"/>
  <c r="Y113" i="558"/>
  <c r="Z121" i="558"/>
  <c r="K121" i="370" s="1"/>
  <c r="W121" i="558"/>
  <c r="AC121" i="558"/>
  <c r="Y121" i="558"/>
  <c r="AB121" i="558"/>
  <c r="B121" i="558"/>
  <c r="Z126" i="558"/>
  <c r="K126" i="370" s="1"/>
  <c r="Y126" i="558"/>
  <c r="AB126" i="558"/>
  <c r="AC126" i="558"/>
  <c r="W126" i="558"/>
  <c r="B126" i="558"/>
  <c r="BA30" i="475" l="1"/>
  <c r="BB30" i="475"/>
  <c r="D11" i="1" l="1"/>
  <c r="C11" i="1"/>
  <c r="D14" i="1"/>
  <c r="C14" i="1"/>
  <c r="A41" i="477" l="1"/>
  <c r="C41" i="532" l="1"/>
  <c r="C41" i="535" s="1"/>
  <c r="F23" i="472" l="1"/>
  <c r="F23" i="473"/>
  <c r="F23" i="474"/>
  <c r="F23" i="475"/>
  <c r="F23" i="476"/>
  <c r="F23" i="471"/>
  <c r="F23" i="469"/>
  <c r="B2" i="539" l="1"/>
  <c r="B1" i="539"/>
  <c r="H131" i="539"/>
  <c r="F131" i="539"/>
  <c r="E131" i="539"/>
  <c r="AH130" i="539"/>
  <c r="AH129" i="539"/>
  <c r="AH128" i="539"/>
  <c r="AH127" i="539"/>
  <c r="AH126" i="539"/>
  <c r="AH125" i="539"/>
  <c r="AH124" i="539"/>
  <c r="AH123" i="539"/>
  <c r="AH122" i="539"/>
  <c r="AH121" i="539"/>
  <c r="AH120" i="539"/>
  <c r="AH119" i="539"/>
  <c r="AH118" i="539"/>
  <c r="AH117" i="539"/>
  <c r="AH116" i="539"/>
  <c r="AH115" i="539"/>
  <c r="AH114" i="539"/>
  <c r="AH113" i="539"/>
  <c r="AH112" i="539"/>
  <c r="AH111" i="539"/>
  <c r="AH110" i="539"/>
  <c r="AH109" i="539"/>
  <c r="AH108" i="539"/>
  <c r="AH107" i="539"/>
  <c r="AH106" i="539"/>
  <c r="AH105" i="539"/>
  <c r="AH104" i="539"/>
  <c r="AH103" i="539"/>
  <c r="AH102" i="539"/>
  <c r="AH101" i="539"/>
  <c r="AH100" i="539"/>
  <c r="AH99" i="539"/>
  <c r="AH98" i="539"/>
  <c r="AH97" i="539"/>
  <c r="AH96" i="539"/>
  <c r="AH95" i="539"/>
  <c r="AH94" i="539"/>
  <c r="AH93" i="539"/>
  <c r="AH92" i="539"/>
  <c r="AH91" i="539"/>
  <c r="AH90" i="539"/>
  <c r="AH89" i="539"/>
  <c r="AH88" i="539"/>
  <c r="AH87" i="539"/>
  <c r="AH86" i="539"/>
  <c r="AH85" i="539"/>
  <c r="AH84" i="539"/>
  <c r="AH83" i="539"/>
  <c r="AH82" i="539"/>
  <c r="AH81" i="539"/>
  <c r="AH80" i="539"/>
  <c r="AH79" i="539"/>
  <c r="AH78" i="539"/>
  <c r="AH77" i="539"/>
  <c r="AH76" i="539"/>
  <c r="AH75" i="539"/>
  <c r="AH74" i="539"/>
  <c r="AH73" i="539"/>
  <c r="AH72" i="539"/>
  <c r="AH71" i="539"/>
  <c r="AH70" i="539"/>
  <c r="AH69" i="539"/>
  <c r="AH68" i="539"/>
  <c r="AH67" i="539"/>
  <c r="AH66" i="539"/>
  <c r="AH65" i="539"/>
  <c r="AH64" i="539"/>
  <c r="AH63" i="539"/>
  <c r="AH62" i="539"/>
  <c r="AH61" i="539"/>
  <c r="AH60" i="539"/>
  <c r="AH59" i="539"/>
  <c r="AH58" i="539"/>
  <c r="AH57" i="539"/>
  <c r="AH56" i="539"/>
  <c r="AH55" i="539"/>
  <c r="AH54" i="539"/>
  <c r="AH53" i="539"/>
  <c r="AH52" i="539"/>
  <c r="AH51" i="539"/>
  <c r="AH50" i="539"/>
  <c r="AH49" i="539"/>
  <c r="AH48" i="539"/>
  <c r="AH47" i="539"/>
  <c r="AH46" i="539"/>
  <c r="AH45" i="539"/>
  <c r="AH44" i="539"/>
  <c r="AH43" i="539"/>
  <c r="AH42" i="539"/>
  <c r="AH41" i="539"/>
  <c r="AH40" i="539"/>
  <c r="AH39" i="539"/>
  <c r="AH38" i="539"/>
  <c r="AH37" i="539"/>
  <c r="AH36" i="539"/>
  <c r="AH35" i="539"/>
  <c r="AH34" i="539"/>
  <c r="AH33" i="539"/>
  <c r="AH32" i="539"/>
  <c r="AH31" i="539"/>
  <c r="B28" i="539"/>
  <c r="AH28" i="539" l="1"/>
  <c r="A7" i="537" l="1"/>
  <c r="A8" i="537" s="1"/>
  <c r="A9" i="537" s="1"/>
  <c r="A10" i="537" s="1"/>
  <c r="A11" i="537" s="1"/>
  <c r="A12" i="537" s="1"/>
  <c r="A13" i="537" s="1"/>
  <c r="A14" i="537" s="1"/>
  <c r="A15" i="537" s="1"/>
  <c r="A16" i="537" s="1"/>
  <c r="A17" i="537" s="1"/>
  <c r="A18" i="537" s="1"/>
  <c r="A19" i="537" s="1"/>
  <c r="A20" i="537" s="1"/>
  <c r="U9" i="536"/>
  <c r="H9" i="536"/>
  <c r="G9" i="536"/>
  <c r="F9" i="536"/>
  <c r="U8" i="536"/>
  <c r="H8" i="536"/>
  <c r="G8" i="536"/>
  <c r="F8" i="536"/>
  <c r="U7" i="536"/>
  <c r="H7" i="536"/>
  <c r="G7" i="536"/>
  <c r="F7" i="536"/>
  <c r="AI29" i="536"/>
  <c r="K29" i="536"/>
  <c r="AH29" i="536" s="1"/>
  <c r="J29" i="536"/>
  <c r="AG29" i="536" s="1"/>
  <c r="I29" i="536"/>
  <c r="AF29" i="536" s="1"/>
  <c r="H6" i="536"/>
  <c r="G6" i="536"/>
  <c r="F6" i="536"/>
  <c r="U5" i="536"/>
  <c r="F5" i="536"/>
  <c r="Y3" i="536"/>
  <c r="U3" i="536"/>
  <c r="Y2" i="536"/>
  <c r="U2" i="536"/>
  <c r="Z2" i="536"/>
  <c r="Z3" i="536"/>
  <c r="X131" i="536"/>
  <c r="V131" i="536"/>
  <c r="T131" i="536"/>
  <c r="S131" i="536"/>
  <c r="R131" i="536"/>
  <c r="Q131" i="536"/>
  <c r="P131" i="536"/>
  <c r="N131" i="536"/>
  <c r="M131" i="536"/>
  <c r="L131" i="536"/>
  <c r="AA119" i="536"/>
  <c r="AA117" i="536"/>
  <c r="AA52" i="536"/>
  <c r="AA51" i="536"/>
  <c r="AA47" i="536"/>
  <c r="AA46" i="536"/>
  <c r="AA45" i="536"/>
  <c r="AA44" i="536"/>
  <c r="AA43" i="536"/>
  <c r="AA39" i="536"/>
  <c r="AA38" i="536"/>
  <c r="BJ30" i="536"/>
  <c r="BI30" i="536"/>
  <c r="BH30" i="536"/>
  <c r="BG30" i="536"/>
  <c r="BF30" i="536"/>
  <c r="BE30" i="536"/>
  <c r="BD30" i="536"/>
  <c r="BC30" i="536"/>
  <c r="BB30" i="536"/>
  <c r="BA30" i="536"/>
  <c r="AV30" i="536"/>
  <c r="AU30" i="536"/>
  <c r="AT30" i="536"/>
  <c r="AS30" i="536"/>
  <c r="AR30" i="536"/>
  <c r="AQ30" i="536"/>
  <c r="AP30" i="536"/>
  <c r="AO30" i="536"/>
  <c r="AN30" i="536"/>
  <c r="AM30" i="536"/>
  <c r="AL30" i="536"/>
  <c r="AH30" i="536"/>
  <c r="AG30" i="536"/>
  <c r="AF30" i="536"/>
  <c r="AD30" i="536"/>
  <c r="AV29" i="536"/>
  <c r="AU29" i="536"/>
  <c r="AT29" i="536"/>
  <c r="AS29" i="536"/>
  <c r="AR29" i="536"/>
  <c r="AL29" i="536"/>
  <c r="T29" i="536"/>
  <c r="AQ29" i="536" s="1"/>
  <c r="S29" i="536"/>
  <c r="AP29" i="536" s="1"/>
  <c r="R29" i="536"/>
  <c r="AO29" i="536" s="1"/>
  <c r="Q29" i="536"/>
  <c r="AN29" i="536" s="1"/>
  <c r="P29" i="536"/>
  <c r="AM29" i="536" s="1"/>
  <c r="E29" i="536"/>
  <c r="D29" i="536"/>
  <c r="C29" i="536"/>
  <c r="B1" i="536"/>
  <c r="AD29" i="536" l="1"/>
  <c r="AA53" i="536"/>
  <c r="AA48" i="536"/>
  <c r="AA113" i="536"/>
  <c r="AA115" i="536"/>
  <c r="AA31" i="536"/>
  <c r="AA32" i="536"/>
  <c r="AA33" i="536"/>
  <c r="AA34" i="536"/>
  <c r="AA35" i="536"/>
  <c r="AA36" i="536"/>
  <c r="AA37" i="536"/>
  <c r="AA41" i="536"/>
  <c r="AA42" i="536"/>
  <c r="AA49" i="536"/>
  <c r="AA50" i="536"/>
  <c r="AA40" i="536"/>
  <c r="AA54" i="536"/>
  <c r="AA56" i="536"/>
  <c r="AA58" i="536"/>
  <c r="AA60" i="536"/>
  <c r="AA62" i="536"/>
  <c r="AA64" i="536"/>
  <c r="AA66" i="536"/>
  <c r="AA68" i="536"/>
  <c r="AA70" i="536"/>
  <c r="AA72" i="536"/>
  <c r="AA73" i="536"/>
  <c r="AA74" i="536"/>
  <c r="AA75" i="536"/>
  <c r="AA76" i="536"/>
  <c r="AA77" i="536"/>
  <c r="AA78" i="536"/>
  <c r="AA79" i="536"/>
  <c r="AA80" i="536"/>
  <c r="AA81" i="536"/>
  <c r="AA82" i="536"/>
  <c r="AA83" i="536"/>
  <c r="AA84" i="536"/>
  <c r="AA85" i="536"/>
  <c r="AA86" i="536"/>
  <c r="AA87" i="536"/>
  <c r="AA88" i="536"/>
  <c r="AA89" i="536"/>
  <c r="AA90" i="536"/>
  <c r="AA91" i="536"/>
  <c r="AA92" i="536"/>
  <c r="AA93" i="536"/>
  <c r="AA94" i="536"/>
  <c r="AA95" i="536"/>
  <c r="AA96" i="536"/>
  <c r="AA97" i="536"/>
  <c r="AA98" i="536"/>
  <c r="AA99" i="536"/>
  <c r="AA100" i="536"/>
  <c r="AA101" i="536"/>
  <c r="AA102" i="536"/>
  <c r="AA103" i="536"/>
  <c r="AA109" i="536"/>
  <c r="AA110" i="536"/>
  <c r="AA111" i="536"/>
  <c r="AA112" i="536"/>
  <c r="AA104" i="536"/>
  <c r="AA105" i="536"/>
  <c r="AA106" i="536"/>
  <c r="AA107" i="536"/>
  <c r="AA108" i="536"/>
  <c r="AA121" i="536"/>
  <c r="AA122" i="536"/>
  <c r="AA123" i="536"/>
  <c r="AA124" i="536"/>
  <c r="AA125" i="536"/>
  <c r="AA126" i="536"/>
  <c r="AA127" i="536"/>
  <c r="AA128" i="536"/>
  <c r="AA129" i="536"/>
  <c r="AA130" i="536"/>
  <c r="AA55" i="536"/>
  <c r="AA57" i="536"/>
  <c r="AA59" i="536"/>
  <c r="AA61" i="536"/>
  <c r="AA63" i="536"/>
  <c r="AA65" i="536"/>
  <c r="AA67" i="536"/>
  <c r="AA69" i="536"/>
  <c r="AA71" i="536"/>
  <c r="AA114" i="536"/>
  <c r="AA116" i="536"/>
  <c r="AA118" i="536"/>
  <c r="AA120" i="536"/>
  <c r="AA28" i="536" l="1"/>
  <c r="AG32" i="521" l="1"/>
  <c r="AG33" i="521"/>
  <c r="AG34" i="521"/>
  <c r="AG35" i="521"/>
  <c r="AG36" i="521"/>
  <c r="AG37" i="521"/>
  <c r="AG38" i="521"/>
  <c r="AG39" i="521"/>
  <c r="AG40" i="521"/>
  <c r="AG41" i="521"/>
  <c r="AG42" i="521"/>
  <c r="AG43" i="521"/>
  <c r="AG44" i="521"/>
  <c r="AG45" i="521"/>
  <c r="AG46" i="521"/>
  <c r="AG47" i="521"/>
  <c r="AG48" i="521"/>
  <c r="AG49" i="521"/>
  <c r="AG50" i="521"/>
  <c r="AG51" i="521"/>
  <c r="AG52" i="521"/>
  <c r="AG53" i="521"/>
  <c r="AG54" i="521"/>
  <c r="AG55" i="521"/>
  <c r="AG56" i="521"/>
  <c r="AG57" i="521"/>
  <c r="AG58" i="521"/>
  <c r="AG59" i="521"/>
  <c r="AG60" i="521"/>
  <c r="AG61" i="521"/>
  <c r="AG62" i="521"/>
  <c r="AG63" i="521"/>
  <c r="AG64" i="521"/>
  <c r="AG65" i="521"/>
  <c r="AG66" i="521"/>
  <c r="AG67" i="521"/>
  <c r="AG68" i="521"/>
  <c r="AG69" i="521"/>
  <c r="AG70" i="521"/>
  <c r="AG71" i="521"/>
  <c r="AG72" i="521"/>
  <c r="AG73" i="521"/>
  <c r="AG74" i="521"/>
  <c r="AG75" i="521"/>
  <c r="AG76" i="521"/>
  <c r="AG77" i="521"/>
  <c r="AG78" i="521"/>
  <c r="AG79" i="521"/>
  <c r="AG80" i="521"/>
  <c r="AG81" i="521"/>
  <c r="AG82" i="521"/>
  <c r="AG83" i="521"/>
  <c r="AG84" i="521"/>
  <c r="AG85" i="521"/>
  <c r="AG86" i="521"/>
  <c r="AG87" i="521"/>
  <c r="AG88" i="521"/>
  <c r="AG89" i="521"/>
  <c r="AG91" i="521"/>
  <c r="AG92" i="521"/>
  <c r="AG94" i="521"/>
  <c r="AG95" i="521"/>
  <c r="AG96" i="521"/>
  <c r="AG97" i="521"/>
  <c r="AG98" i="521"/>
  <c r="AG99" i="521"/>
  <c r="AG100" i="521"/>
  <c r="AG101" i="521"/>
  <c r="AG102" i="521"/>
  <c r="AG103" i="521"/>
  <c r="AG104" i="521"/>
  <c r="AG105" i="521"/>
  <c r="AG106" i="521"/>
  <c r="AG107" i="521"/>
  <c r="AG108" i="521"/>
  <c r="AG109" i="521"/>
  <c r="AG110" i="521"/>
  <c r="AG111" i="521"/>
  <c r="AG112" i="521"/>
  <c r="AG113" i="521"/>
  <c r="AG114" i="521"/>
  <c r="AG115" i="521"/>
  <c r="AG116" i="521"/>
  <c r="AG117" i="521"/>
  <c r="AG118" i="521"/>
  <c r="AG119" i="521"/>
  <c r="AG120" i="521"/>
  <c r="AG121" i="521"/>
  <c r="AG122" i="521"/>
  <c r="AG123" i="521"/>
  <c r="AG124" i="521"/>
  <c r="AG125" i="521"/>
  <c r="AG126" i="521"/>
  <c r="AG127" i="521"/>
  <c r="AG128" i="521"/>
  <c r="AG129" i="521"/>
  <c r="AG130" i="521"/>
  <c r="AG31" i="521"/>
  <c r="AR29" i="476" l="1"/>
  <c r="AG32" i="526"/>
  <c r="AG33" i="526"/>
  <c r="AG34" i="526"/>
  <c r="AG35" i="526"/>
  <c r="AG36" i="526"/>
  <c r="AG37" i="526"/>
  <c r="AG38" i="526"/>
  <c r="AG39" i="526"/>
  <c r="AG40" i="526"/>
  <c r="AG41" i="526"/>
  <c r="AG42" i="526"/>
  <c r="AG43" i="526"/>
  <c r="AG44" i="526"/>
  <c r="AG45" i="526"/>
  <c r="AG46" i="526"/>
  <c r="AG47" i="526"/>
  <c r="AG48" i="526"/>
  <c r="AG49" i="526"/>
  <c r="AG50" i="526"/>
  <c r="AG51" i="526"/>
  <c r="AG52" i="526"/>
  <c r="AG53" i="526"/>
  <c r="AG54" i="526"/>
  <c r="AG55" i="526"/>
  <c r="AG56" i="526"/>
  <c r="AG57" i="526"/>
  <c r="AG58" i="526"/>
  <c r="AG59" i="526"/>
  <c r="AG60" i="526"/>
  <c r="AG61" i="526"/>
  <c r="AG62" i="526"/>
  <c r="AG63" i="526"/>
  <c r="AG64" i="526"/>
  <c r="AG65" i="526"/>
  <c r="AG66" i="526"/>
  <c r="AG67" i="526"/>
  <c r="AG68" i="526"/>
  <c r="AG69" i="526"/>
  <c r="AG70" i="526"/>
  <c r="AG71" i="526"/>
  <c r="AG72" i="526"/>
  <c r="AG73" i="526"/>
  <c r="AG74" i="526"/>
  <c r="AG75" i="526"/>
  <c r="AG76" i="526"/>
  <c r="AG77" i="526"/>
  <c r="AG78" i="526"/>
  <c r="AG79" i="526"/>
  <c r="AG80" i="526"/>
  <c r="AG81" i="526"/>
  <c r="AG82" i="526"/>
  <c r="AG83" i="526"/>
  <c r="AG84" i="526"/>
  <c r="AG85" i="526"/>
  <c r="AG86" i="526"/>
  <c r="AG87" i="526"/>
  <c r="AG88" i="526"/>
  <c r="AG89" i="526"/>
  <c r="AG90" i="526"/>
  <c r="AG91" i="526"/>
  <c r="AG92" i="526"/>
  <c r="AG93" i="526"/>
  <c r="AG94" i="526"/>
  <c r="AG95" i="526"/>
  <c r="AG96" i="526"/>
  <c r="AG97" i="526"/>
  <c r="AG98" i="526"/>
  <c r="AG99" i="526"/>
  <c r="AG100" i="526"/>
  <c r="AG101" i="526"/>
  <c r="AG102" i="526"/>
  <c r="AG103" i="526"/>
  <c r="AG104" i="526"/>
  <c r="AG105" i="526"/>
  <c r="AG106" i="526"/>
  <c r="AG107" i="526"/>
  <c r="AG108" i="526"/>
  <c r="AG109" i="526"/>
  <c r="AG110" i="526"/>
  <c r="AG111" i="526"/>
  <c r="AG112" i="526"/>
  <c r="AG113" i="526"/>
  <c r="AG114" i="526"/>
  <c r="AG115" i="526"/>
  <c r="AG116" i="526"/>
  <c r="AG117" i="526"/>
  <c r="AG118" i="526"/>
  <c r="AG119" i="526"/>
  <c r="AG120" i="526"/>
  <c r="AG121" i="526"/>
  <c r="AG122" i="526"/>
  <c r="AG123" i="526"/>
  <c r="AG124" i="526"/>
  <c r="AG125" i="526"/>
  <c r="AG126" i="526"/>
  <c r="AG127" i="526"/>
  <c r="AG128" i="526"/>
  <c r="AG129" i="526"/>
  <c r="AG130" i="526"/>
  <c r="AG31" i="526"/>
  <c r="B2" i="535"/>
  <c r="B1" i="535" l="1"/>
  <c r="C2" i="519" l="1"/>
  <c r="C1" i="519"/>
  <c r="C55" i="519" l="1"/>
  <c r="E6" i="539" s="1"/>
  <c r="G6" i="539" s="1"/>
  <c r="C2" i="539"/>
  <c r="C1" i="539"/>
  <c r="C1" i="535"/>
  <c r="C2" i="535"/>
  <c r="C2" i="532"/>
  <c r="B2" i="532"/>
  <c r="C1" i="532"/>
  <c r="B1" i="532"/>
  <c r="B28" i="531"/>
  <c r="C2" i="531"/>
  <c r="B2" i="531"/>
  <c r="C1" i="531"/>
  <c r="B1" i="531"/>
  <c r="E131" i="530"/>
  <c r="B28" i="530"/>
  <c r="C2" i="530"/>
  <c r="C1" i="530"/>
  <c r="E131" i="529"/>
  <c r="B28" i="529"/>
  <c r="C2" i="529"/>
  <c r="C1" i="529"/>
  <c r="D131" i="528"/>
  <c r="B28" i="528"/>
  <c r="C2" i="528"/>
  <c r="B2" i="528"/>
  <c r="C1" i="528"/>
  <c r="B1" i="528"/>
  <c r="C2" i="527"/>
  <c r="B2" i="527"/>
  <c r="C1" i="527"/>
  <c r="B1" i="527"/>
  <c r="F131" i="526"/>
  <c r="E131" i="526"/>
  <c r="AF130" i="526"/>
  <c r="AF129" i="526"/>
  <c r="AF128" i="526"/>
  <c r="AF127" i="526"/>
  <c r="AF126" i="526"/>
  <c r="AF125" i="526"/>
  <c r="AF124" i="526"/>
  <c r="AF123" i="526"/>
  <c r="AF122" i="526"/>
  <c r="AF121" i="526"/>
  <c r="AF120" i="526"/>
  <c r="AF119" i="526"/>
  <c r="AF118" i="526"/>
  <c r="AF117" i="526"/>
  <c r="AF116" i="526"/>
  <c r="AF115" i="526"/>
  <c r="AF114" i="526"/>
  <c r="AF113" i="526"/>
  <c r="AF112" i="526"/>
  <c r="AF111" i="526"/>
  <c r="AF110" i="526"/>
  <c r="AF109" i="526"/>
  <c r="AF108" i="526"/>
  <c r="AF107" i="526"/>
  <c r="AF106" i="526"/>
  <c r="AF105" i="526"/>
  <c r="AF104" i="526"/>
  <c r="AF103" i="526"/>
  <c r="AF102" i="526"/>
  <c r="AF101" i="526"/>
  <c r="AF100" i="526"/>
  <c r="AF99" i="526"/>
  <c r="AF98" i="526"/>
  <c r="AF97" i="526"/>
  <c r="AF96" i="526"/>
  <c r="AF95" i="526"/>
  <c r="AF94" i="526"/>
  <c r="AF93" i="526"/>
  <c r="AF92" i="526"/>
  <c r="AF91" i="526"/>
  <c r="AF90" i="526"/>
  <c r="AF89" i="526"/>
  <c r="AF88" i="526"/>
  <c r="AF87" i="526"/>
  <c r="AF86" i="526"/>
  <c r="AF85" i="526"/>
  <c r="AF84" i="526"/>
  <c r="AF83" i="526"/>
  <c r="AF82" i="526"/>
  <c r="AF81" i="526"/>
  <c r="AF80" i="526"/>
  <c r="AF79" i="526"/>
  <c r="AF78" i="526"/>
  <c r="AF77" i="526"/>
  <c r="AF76" i="526"/>
  <c r="AF75" i="526"/>
  <c r="AF74" i="526"/>
  <c r="AF73" i="526"/>
  <c r="AF72" i="526"/>
  <c r="AF71" i="526"/>
  <c r="AF70" i="526"/>
  <c r="AF69" i="526"/>
  <c r="AF68" i="526"/>
  <c r="AF67" i="526"/>
  <c r="AF66" i="526"/>
  <c r="AF65" i="526"/>
  <c r="AF64" i="526"/>
  <c r="AF63" i="526"/>
  <c r="AF62" i="526"/>
  <c r="AF61" i="526"/>
  <c r="AF60" i="526"/>
  <c r="AF59" i="526"/>
  <c r="AF58" i="526"/>
  <c r="AF57" i="526"/>
  <c r="AF56" i="526"/>
  <c r="AF55" i="526"/>
  <c r="AF54" i="526"/>
  <c r="AF53" i="526"/>
  <c r="AF52" i="526"/>
  <c r="AF51" i="526"/>
  <c r="AF50" i="526"/>
  <c r="AF49" i="526"/>
  <c r="AF48" i="526"/>
  <c r="AF47" i="526"/>
  <c r="AF46" i="526"/>
  <c r="AF45" i="526"/>
  <c r="AF44" i="526"/>
  <c r="AF43" i="526"/>
  <c r="AF42" i="526"/>
  <c r="AF41" i="526"/>
  <c r="AF40" i="526"/>
  <c r="AF39" i="526"/>
  <c r="AF38" i="526"/>
  <c r="AF37" i="526"/>
  <c r="AF36" i="526"/>
  <c r="AF35" i="526"/>
  <c r="AF34" i="526"/>
  <c r="AF33" i="526"/>
  <c r="AF32" i="526"/>
  <c r="AF31" i="526"/>
  <c r="B28" i="526"/>
  <c r="D6" i="526"/>
  <c r="C6" i="526"/>
  <c r="D5" i="526"/>
  <c r="C5" i="526"/>
  <c r="C4" i="526"/>
  <c r="C2" i="526"/>
  <c r="B2" i="526"/>
  <c r="C1" i="526"/>
  <c r="B1" i="526"/>
  <c r="BE130" i="522"/>
  <c r="BE129" i="522"/>
  <c r="BE128" i="522"/>
  <c r="BE127" i="522"/>
  <c r="BE126" i="522"/>
  <c r="BE125" i="522"/>
  <c r="BE124" i="522"/>
  <c r="BE123" i="522"/>
  <c r="BE122" i="522"/>
  <c r="BE121" i="522"/>
  <c r="BE120" i="522"/>
  <c r="BE119" i="522"/>
  <c r="BE118" i="522"/>
  <c r="BE117" i="522"/>
  <c r="BE116" i="522"/>
  <c r="BE115" i="522"/>
  <c r="BE114" i="522"/>
  <c r="BE113" i="522"/>
  <c r="BE112" i="522"/>
  <c r="BE111" i="522"/>
  <c r="BE110" i="522"/>
  <c r="BE109" i="522"/>
  <c r="BE108" i="522"/>
  <c r="BE104" i="522"/>
  <c r="BE97" i="522"/>
  <c r="BE88" i="522"/>
  <c r="BE86" i="522"/>
  <c r="BE84" i="522"/>
  <c r="BE83" i="522"/>
  <c r="BE81" i="522"/>
  <c r="BE80" i="522"/>
  <c r="BE79" i="522"/>
  <c r="BE77" i="522"/>
  <c r="BE76" i="522"/>
  <c r="BE74" i="522"/>
  <c r="BE72" i="522"/>
  <c r="BE71" i="522"/>
  <c r="BE69" i="522"/>
  <c r="BE68" i="522"/>
  <c r="BE66" i="522"/>
  <c r="BE64" i="522"/>
  <c r="BE63" i="522"/>
  <c r="BE62" i="522"/>
  <c r="BE61" i="522"/>
  <c r="BE60" i="522"/>
  <c r="BE59" i="522"/>
  <c r="BE55" i="522"/>
  <c r="BE50" i="522"/>
  <c r="BE49" i="522"/>
  <c r="BE48" i="522"/>
  <c r="BE44" i="522"/>
  <c r="BE43" i="522"/>
  <c r="BE39" i="522"/>
  <c r="BE35" i="522"/>
  <c r="B28" i="522"/>
  <c r="H6" i="522"/>
  <c r="F6" i="522"/>
  <c r="H5" i="522"/>
  <c r="F5" i="522"/>
  <c r="C2" i="522"/>
  <c r="B2" i="522"/>
  <c r="C1" i="522"/>
  <c r="B1" i="522"/>
  <c r="F131" i="521"/>
  <c r="C2" i="521"/>
  <c r="B2" i="521"/>
  <c r="C1" i="521"/>
  <c r="B1" i="521"/>
  <c r="G107" i="532" l="1"/>
  <c r="G105" i="532"/>
  <c r="G106" i="532"/>
  <c r="G100" i="532"/>
  <c r="G52" i="532"/>
  <c r="G91" i="532"/>
  <c r="G51" i="532"/>
  <c r="G94" i="532"/>
  <c r="G70" i="532"/>
  <c r="G42" i="532"/>
  <c r="G85" i="532"/>
  <c r="G53" i="532"/>
  <c r="G67" i="532"/>
  <c r="G78" i="532"/>
  <c r="G57" i="532"/>
  <c r="G96" i="532"/>
  <c r="G103" i="532"/>
  <c r="G87" i="532"/>
  <c r="G47" i="532"/>
  <c r="G90" i="532"/>
  <c r="G58" i="532"/>
  <c r="G101" i="532"/>
  <c r="G73" i="532"/>
  <c r="G45" i="532"/>
  <c r="G95" i="532"/>
  <c r="G98" i="532"/>
  <c r="G89" i="532"/>
  <c r="G92" i="532"/>
  <c r="G99" i="532"/>
  <c r="G75" i="532"/>
  <c r="G102" i="532"/>
  <c r="G82" i="532"/>
  <c r="G54" i="532"/>
  <c r="G93" i="532"/>
  <c r="G65" i="532"/>
  <c r="G56" i="532"/>
  <c r="G46" i="532"/>
  <c r="G38" i="532"/>
  <c r="G32" i="532"/>
  <c r="G33" i="532"/>
  <c r="G36" i="532"/>
  <c r="G37" i="532"/>
  <c r="G34" i="532"/>
  <c r="G40" i="532"/>
  <c r="G41" i="532"/>
  <c r="E4" i="522"/>
  <c r="E29" i="522"/>
  <c r="E29" i="521"/>
  <c r="E4" i="521"/>
  <c r="G106" i="535" l="1"/>
  <c r="G106" i="522"/>
  <c r="BE106" i="522" s="1"/>
  <c r="G105" i="535"/>
  <c r="G105" i="522"/>
  <c r="BE105" i="522" s="1"/>
  <c r="G107" i="535"/>
  <c r="G107" i="522"/>
  <c r="BE107" i="522" s="1"/>
  <c r="G65" i="535"/>
  <c r="G65" i="522"/>
  <c r="BE65" i="522" s="1"/>
  <c r="G51" i="535"/>
  <c r="G51" i="522"/>
  <c r="BE51" i="522" s="1"/>
  <c r="G32" i="535"/>
  <c r="G32" i="522"/>
  <c r="BE32" i="522" s="1"/>
  <c r="G37" i="535"/>
  <c r="G37" i="522"/>
  <c r="BE37" i="522" s="1"/>
  <c r="G34" i="535"/>
  <c r="G34" i="522"/>
  <c r="BE34" i="522" s="1"/>
  <c r="G38" i="535"/>
  <c r="G38" i="522"/>
  <c r="BE38" i="522" s="1"/>
  <c r="G42" i="535"/>
  <c r="G42" i="522"/>
  <c r="BE42" i="522" s="1"/>
  <c r="G36" i="535"/>
  <c r="G36" i="522"/>
  <c r="BE36" i="522" s="1"/>
  <c r="G67" i="535"/>
  <c r="G67" i="522"/>
  <c r="BE67" i="522" s="1"/>
  <c r="G70" i="535"/>
  <c r="G70" i="522"/>
  <c r="BE70" i="522" s="1"/>
  <c r="G52" i="535"/>
  <c r="G52" i="522"/>
  <c r="BE52" i="522" s="1"/>
  <c r="G47" i="535"/>
  <c r="G47" i="522"/>
  <c r="BE47" i="522" s="1"/>
  <c r="G85" i="535"/>
  <c r="G85" i="522"/>
  <c r="BE85" i="522" s="1"/>
  <c r="G78" i="535"/>
  <c r="G78" i="522"/>
  <c r="BE78" i="522" s="1"/>
  <c r="G41" i="535"/>
  <c r="G41" i="522"/>
  <c r="BE41" i="522" s="1"/>
  <c r="G54" i="535"/>
  <c r="G54" i="522"/>
  <c r="BE54" i="522" s="1"/>
  <c r="G40" i="535"/>
  <c r="G40" i="522"/>
  <c r="BE40" i="522" s="1"/>
  <c r="G33" i="535"/>
  <c r="G33" i="522"/>
  <c r="BE33" i="522" s="1"/>
  <c r="G56" i="535"/>
  <c r="G56" i="522"/>
  <c r="BE56" i="522" s="1"/>
  <c r="G82" i="535"/>
  <c r="G82" i="522"/>
  <c r="BE82" i="522" s="1"/>
  <c r="G45" i="535"/>
  <c r="G45" i="522"/>
  <c r="BE45" i="522" s="1"/>
  <c r="G90" i="535"/>
  <c r="G90" i="522"/>
  <c r="BE90" i="522" s="1"/>
  <c r="G99" i="535"/>
  <c r="G99" i="522"/>
  <c r="BE99" i="522" s="1"/>
  <c r="G100" i="535"/>
  <c r="G100" i="522"/>
  <c r="BE100" i="522" s="1"/>
  <c r="G101" i="535"/>
  <c r="G101" i="522"/>
  <c r="BE101" i="522" s="1"/>
  <c r="G102" i="535"/>
  <c r="G102" i="522"/>
  <c r="BE102" i="522" s="1"/>
  <c r="G103" i="535"/>
  <c r="G103" i="522"/>
  <c r="BE103" i="522" s="1"/>
  <c r="G96" i="535"/>
  <c r="G96" i="522"/>
  <c r="BE96" i="522" s="1"/>
  <c r="G95" i="535"/>
  <c r="G95" i="522"/>
  <c r="BE95" i="522" s="1"/>
  <c r="G57" i="535"/>
  <c r="G57" i="522"/>
  <c r="BE57" i="522" s="1"/>
  <c r="G46" i="535"/>
  <c r="G46" i="522"/>
  <c r="BE46" i="522" s="1"/>
  <c r="G53" i="535"/>
  <c r="G53" i="522"/>
  <c r="BE53" i="522" s="1"/>
  <c r="G94" i="535"/>
  <c r="G94" i="522"/>
  <c r="BE94" i="522" s="1"/>
  <c r="G93" i="535"/>
  <c r="G93" i="522"/>
  <c r="BE93" i="522" s="1"/>
  <c r="G87" i="535"/>
  <c r="G87" i="522"/>
  <c r="BE87" i="522" s="1"/>
  <c r="G98" i="535"/>
  <c r="G98" i="522"/>
  <c r="BE98" i="522" s="1"/>
  <c r="G75" i="535"/>
  <c r="G75" i="522"/>
  <c r="BE75" i="522" s="1"/>
  <c r="G91" i="535"/>
  <c r="G91" i="522"/>
  <c r="BE91" i="522" s="1"/>
  <c r="G92" i="535"/>
  <c r="G92" i="522"/>
  <c r="BE92" i="522" s="1"/>
  <c r="G58" i="535"/>
  <c r="G58" i="522"/>
  <c r="BE58" i="522" s="1"/>
  <c r="G89" i="535"/>
  <c r="G89" i="522"/>
  <c r="BE89" i="522" s="1"/>
  <c r="G73" i="535"/>
  <c r="G73" i="522"/>
  <c r="BE73" i="522" s="1"/>
  <c r="C31" i="532"/>
  <c r="G31" i="532" l="1"/>
  <c r="C31" i="535"/>
  <c r="F127" i="536"/>
  <c r="G127" i="536" s="1"/>
  <c r="F119" i="536"/>
  <c r="G119" i="536" s="1"/>
  <c r="F130" i="536"/>
  <c r="G130" i="536" s="1"/>
  <c r="F126" i="536"/>
  <c r="G126" i="536" s="1"/>
  <c r="F118" i="536"/>
  <c r="G118" i="536" s="1"/>
  <c r="F110" i="536"/>
  <c r="G110" i="536" s="1"/>
  <c r="F129" i="536"/>
  <c r="G129" i="536" s="1"/>
  <c r="F125" i="536"/>
  <c r="G125" i="536" s="1"/>
  <c r="F121" i="536"/>
  <c r="G121" i="536" s="1"/>
  <c r="F117" i="536"/>
  <c r="G117" i="536" s="1"/>
  <c r="F113" i="536"/>
  <c r="G113" i="536" s="1"/>
  <c r="F109" i="536"/>
  <c r="G109" i="536" s="1"/>
  <c r="F128" i="536"/>
  <c r="G128" i="536" s="1"/>
  <c r="F124" i="536"/>
  <c r="G124" i="536" s="1"/>
  <c r="F120" i="536"/>
  <c r="G120" i="536" s="1"/>
  <c r="F116" i="536"/>
  <c r="G116" i="536" s="1"/>
  <c r="F112" i="536"/>
  <c r="G112" i="536" s="1"/>
  <c r="F108" i="536"/>
  <c r="G108" i="536" s="1"/>
  <c r="F115" i="536"/>
  <c r="G115" i="536" s="1"/>
  <c r="F123" i="536"/>
  <c r="G123" i="536" s="1"/>
  <c r="F111" i="536"/>
  <c r="G111" i="536" s="1"/>
  <c r="F122" i="536"/>
  <c r="G122" i="536" s="1"/>
  <c r="F114" i="536"/>
  <c r="G114" i="536" s="1"/>
  <c r="F74" i="536"/>
  <c r="G74" i="536" s="1"/>
  <c r="C130" i="526"/>
  <c r="C130" i="522"/>
  <c r="D130" i="522" s="1"/>
  <c r="C130" i="521"/>
  <c r="C127" i="526"/>
  <c r="C127" i="522"/>
  <c r="D127" i="522" s="1"/>
  <c r="C127" i="521"/>
  <c r="C123" i="526"/>
  <c r="C123" i="522"/>
  <c r="D123" i="522" s="1"/>
  <c r="C123" i="521"/>
  <c r="C119" i="526"/>
  <c r="C119" i="522"/>
  <c r="D119" i="522" s="1"/>
  <c r="C119" i="521"/>
  <c r="C115" i="526"/>
  <c r="C115" i="522"/>
  <c r="D115" i="522" s="1"/>
  <c r="C115" i="521"/>
  <c r="C111" i="526"/>
  <c r="C111" i="522"/>
  <c r="D111" i="522" s="1"/>
  <c r="C111" i="521"/>
  <c r="C126" i="526"/>
  <c r="C126" i="522"/>
  <c r="D126" i="522" s="1"/>
  <c r="C126" i="521"/>
  <c r="C122" i="526"/>
  <c r="C122" i="522"/>
  <c r="D122" i="522" s="1"/>
  <c r="C122" i="521"/>
  <c r="C118" i="526"/>
  <c r="C118" i="522"/>
  <c r="D118" i="522" s="1"/>
  <c r="C118" i="521"/>
  <c r="C114" i="526"/>
  <c r="C114" i="522"/>
  <c r="D114" i="522" s="1"/>
  <c r="C114" i="521"/>
  <c r="C110" i="526"/>
  <c r="C110" i="522"/>
  <c r="D110" i="522" s="1"/>
  <c r="C110" i="521"/>
  <c r="C74" i="526"/>
  <c r="C74" i="522"/>
  <c r="D74" i="522" s="1"/>
  <c r="C74" i="521"/>
  <c r="C129" i="526"/>
  <c r="C129" i="522"/>
  <c r="D129" i="522" s="1"/>
  <c r="C129" i="521"/>
  <c r="C125" i="526"/>
  <c r="C125" i="522"/>
  <c r="D125" i="522" s="1"/>
  <c r="C125" i="521"/>
  <c r="C121" i="526"/>
  <c r="C121" i="522"/>
  <c r="D121" i="522" s="1"/>
  <c r="C121" i="521"/>
  <c r="C117" i="526"/>
  <c r="C117" i="522"/>
  <c r="D117" i="522" s="1"/>
  <c r="C117" i="521"/>
  <c r="C113" i="526"/>
  <c r="C113" i="522"/>
  <c r="D113" i="522" s="1"/>
  <c r="C113" i="521"/>
  <c r="C109" i="526"/>
  <c r="C109" i="522"/>
  <c r="D109" i="522" s="1"/>
  <c r="C109" i="521"/>
  <c r="C128" i="526"/>
  <c r="C128" i="522"/>
  <c r="D128" i="522" s="1"/>
  <c r="C128" i="521"/>
  <c r="C124" i="526"/>
  <c r="C124" i="522"/>
  <c r="D124" i="522" s="1"/>
  <c r="C124" i="521"/>
  <c r="C120" i="526"/>
  <c r="C120" i="522"/>
  <c r="D120" i="522" s="1"/>
  <c r="C120" i="521"/>
  <c r="C116" i="526"/>
  <c r="C116" i="522"/>
  <c r="D116" i="522" s="1"/>
  <c r="C116" i="521"/>
  <c r="C112" i="526"/>
  <c r="C112" i="522"/>
  <c r="D112" i="522" s="1"/>
  <c r="C112" i="521"/>
  <c r="C108" i="526"/>
  <c r="C108" i="522"/>
  <c r="D108" i="522" s="1"/>
  <c r="C108" i="521"/>
  <c r="G31" i="535" l="1"/>
  <c r="G31" i="522"/>
  <c r="H123" i="536"/>
  <c r="U123" i="536"/>
  <c r="Z123" i="536"/>
  <c r="V123" i="471" s="1"/>
  <c r="Z112" i="536"/>
  <c r="V112" i="471" s="1"/>
  <c r="U112" i="536"/>
  <c r="H112" i="536"/>
  <c r="Z128" i="536"/>
  <c r="V128" i="471" s="1"/>
  <c r="U128" i="536"/>
  <c r="H128" i="536"/>
  <c r="U121" i="536"/>
  <c r="Z121" i="536"/>
  <c r="V121" i="471" s="1"/>
  <c r="H121" i="536"/>
  <c r="Z126" i="536"/>
  <c r="V126" i="471" s="1"/>
  <c r="U126" i="536"/>
  <c r="H126" i="536"/>
  <c r="Z114" i="536"/>
  <c r="V114" i="471" s="1"/>
  <c r="U114" i="536"/>
  <c r="H114" i="536"/>
  <c r="Z116" i="536"/>
  <c r="V116" i="471" s="1"/>
  <c r="U116" i="536"/>
  <c r="H116" i="536"/>
  <c r="U109" i="536"/>
  <c r="Z109" i="536"/>
  <c r="V109" i="471" s="1"/>
  <c r="H109" i="536"/>
  <c r="U125" i="536"/>
  <c r="Z125" i="536"/>
  <c r="V125" i="471" s="1"/>
  <c r="H125" i="536"/>
  <c r="Z130" i="536"/>
  <c r="V130" i="471" s="1"/>
  <c r="U130" i="536"/>
  <c r="H130" i="536"/>
  <c r="Z122" i="536"/>
  <c r="V122" i="471" s="1"/>
  <c r="U122" i="536"/>
  <c r="H122" i="536"/>
  <c r="H115" i="536"/>
  <c r="U115" i="536"/>
  <c r="Z115" i="536"/>
  <c r="V115" i="471" s="1"/>
  <c r="Z120" i="536"/>
  <c r="V120" i="471" s="1"/>
  <c r="U120" i="536"/>
  <c r="H120" i="536"/>
  <c r="U113" i="536"/>
  <c r="Z113" i="536"/>
  <c r="V113" i="471" s="1"/>
  <c r="H113" i="536"/>
  <c r="U129" i="536"/>
  <c r="Z129" i="536"/>
  <c r="V129" i="471" s="1"/>
  <c r="H129" i="536"/>
  <c r="Z110" i="536"/>
  <c r="V110" i="471" s="1"/>
  <c r="U110" i="536"/>
  <c r="H110" i="536"/>
  <c r="H119" i="536"/>
  <c r="U119" i="536"/>
  <c r="Z119" i="536"/>
  <c r="V119" i="471" s="1"/>
  <c r="Z74" i="536"/>
  <c r="V74" i="471" s="1"/>
  <c r="U74" i="536"/>
  <c r="H74" i="536"/>
  <c r="H111" i="536"/>
  <c r="U111" i="536"/>
  <c r="Z111" i="536"/>
  <c r="V111" i="471" s="1"/>
  <c r="Z108" i="536"/>
  <c r="V108" i="471" s="1"/>
  <c r="U108" i="536"/>
  <c r="H108" i="536"/>
  <c r="Z124" i="536"/>
  <c r="V124" i="471" s="1"/>
  <c r="U124" i="536"/>
  <c r="H124" i="536"/>
  <c r="U117" i="536"/>
  <c r="Z117" i="536"/>
  <c r="V117" i="471" s="1"/>
  <c r="H117" i="536"/>
  <c r="Z118" i="536"/>
  <c r="V118" i="471" s="1"/>
  <c r="U118" i="536"/>
  <c r="H118" i="536"/>
  <c r="H127" i="536"/>
  <c r="U127" i="536"/>
  <c r="Z127" i="536"/>
  <c r="V127" i="471" s="1"/>
  <c r="H120" i="521"/>
  <c r="G120" i="521"/>
  <c r="H109" i="521"/>
  <c r="G109" i="521"/>
  <c r="H125" i="521"/>
  <c r="G125" i="521"/>
  <c r="H114" i="521"/>
  <c r="G114" i="521"/>
  <c r="H119" i="521"/>
  <c r="G119" i="521"/>
  <c r="H108" i="521"/>
  <c r="G108" i="521"/>
  <c r="H124" i="521"/>
  <c r="G124" i="521"/>
  <c r="H113" i="521"/>
  <c r="G113" i="521"/>
  <c r="H129" i="521"/>
  <c r="G129" i="521"/>
  <c r="H118" i="521"/>
  <c r="G118" i="521"/>
  <c r="H123" i="521"/>
  <c r="G123" i="521"/>
  <c r="H112" i="521"/>
  <c r="G112" i="521"/>
  <c r="H128" i="521"/>
  <c r="G128" i="521"/>
  <c r="H117" i="521"/>
  <c r="G117" i="521"/>
  <c r="H74" i="521"/>
  <c r="G74" i="521"/>
  <c r="H122" i="521"/>
  <c r="G122" i="521"/>
  <c r="H111" i="521"/>
  <c r="G111" i="521"/>
  <c r="H127" i="521"/>
  <c r="G127" i="521"/>
  <c r="H130" i="521"/>
  <c r="G130" i="521"/>
  <c r="H116" i="521"/>
  <c r="G116" i="521"/>
  <c r="H121" i="521"/>
  <c r="G121" i="521"/>
  <c r="H110" i="521"/>
  <c r="G110" i="521"/>
  <c r="H126" i="521"/>
  <c r="G126" i="521"/>
  <c r="H115" i="521"/>
  <c r="G115" i="521"/>
  <c r="F124" i="522"/>
  <c r="D108" i="527"/>
  <c r="E108" i="527"/>
  <c r="D112" i="527"/>
  <c r="E112" i="527"/>
  <c r="D116" i="527"/>
  <c r="E116" i="527"/>
  <c r="D120" i="527"/>
  <c r="E120" i="527"/>
  <c r="D124" i="527"/>
  <c r="E124" i="527"/>
  <c r="D128" i="527"/>
  <c r="E128" i="527"/>
  <c r="F109" i="522"/>
  <c r="F113" i="522"/>
  <c r="F117" i="522"/>
  <c r="F121" i="522"/>
  <c r="F125" i="522"/>
  <c r="F129" i="522"/>
  <c r="F74" i="522"/>
  <c r="F110" i="522"/>
  <c r="F114" i="522"/>
  <c r="F118" i="522"/>
  <c r="F122" i="522"/>
  <c r="F126" i="522"/>
  <c r="F130" i="522"/>
  <c r="AB123" i="536"/>
  <c r="Y123" i="536"/>
  <c r="W123" i="536"/>
  <c r="BA123" i="536"/>
  <c r="B123" i="536"/>
  <c r="BB123" i="536"/>
  <c r="AC123" i="536"/>
  <c r="AC112" i="536"/>
  <c r="B112" i="536"/>
  <c r="W112" i="536"/>
  <c r="Y112" i="536"/>
  <c r="BA112" i="536"/>
  <c r="AB112" i="536"/>
  <c r="BB112" i="536"/>
  <c r="AC128" i="536"/>
  <c r="AB128" i="536"/>
  <c r="BA128" i="536"/>
  <c r="B128" i="536"/>
  <c r="Y128" i="536"/>
  <c r="W128" i="536"/>
  <c r="BB128" i="536"/>
  <c r="AB121" i="536"/>
  <c r="Y121" i="536"/>
  <c r="W121" i="536"/>
  <c r="AC121" i="536"/>
  <c r="BA121" i="536"/>
  <c r="B121" i="536"/>
  <c r="BB121" i="536"/>
  <c r="W126" i="536"/>
  <c r="BA126" i="536"/>
  <c r="AB126" i="536"/>
  <c r="BB126" i="536"/>
  <c r="B126" i="536"/>
  <c r="AC126" i="536"/>
  <c r="Y126" i="536"/>
  <c r="D111" i="527"/>
  <c r="E111" i="527"/>
  <c r="D115" i="527"/>
  <c r="E115" i="527"/>
  <c r="E119" i="527"/>
  <c r="D119" i="527"/>
  <c r="D123" i="527"/>
  <c r="E123" i="527"/>
  <c r="D127" i="527"/>
  <c r="E127" i="527"/>
  <c r="AC74" i="536"/>
  <c r="BB74" i="536"/>
  <c r="BA74" i="536"/>
  <c r="B74" i="536"/>
  <c r="AB74" i="536"/>
  <c r="Y74" i="536"/>
  <c r="W74" i="536"/>
  <c r="Y111" i="536"/>
  <c r="BA111" i="536"/>
  <c r="AB111" i="536"/>
  <c r="BB111" i="536"/>
  <c r="B111" i="536"/>
  <c r="W111" i="536"/>
  <c r="AC111" i="536"/>
  <c r="W108" i="536"/>
  <c r="Y108" i="536"/>
  <c r="AB108" i="536"/>
  <c r="BB108" i="536"/>
  <c r="B108" i="536"/>
  <c r="AC108" i="536"/>
  <c r="BA108" i="536"/>
  <c r="AB124" i="536"/>
  <c r="BB124" i="536"/>
  <c r="AC124" i="536"/>
  <c r="W124" i="536"/>
  <c r="BA124" i="536"/>
  <c r="B124" i="536"/>
  <c r="Y124" i="536"/>
  <c r="BB117" i="536"/>
  <c r="BA117" i="536"/>
  <c r="B117" i="536"/>
  <c r="Y117" i="536"/>
  <c r="W117" i="536"/>
  <c r="AC117" i="536"/>
  <c r="AB117" i="536"/>
  <c r="AB118" i="536"/>
  <c r="AC118" i="536"/>
  <c r="W118" i="536"/>
  <c r="Y118" i="536"/>
  <c r="BA118" i="536"/>
  <c r="B118" i="536"/>
  <c r="BB118" i="536"/>
  <c r="AC127" i="536"/>
  <c r="BA127" i="536"/>
  <c r="AB127" i="536"/>
  <c r="Y127" i="536"/>
  <c r="BB127" i="536"/>
  <c r="W127" i="536"/>
  <c r="B127" i="536"/>
  <c r="F108" i="522"/>
  <c r="F120" i="522"/>
  <c r="D109" i="527"/>
  <c r="E109" i="527"/>
  <c r="D113" i="527"/>
  <c r="E113" i="527"/>
  <c r="E117" i="527"/>
  <c r="D117" i="527"/>
  <c r="D121" i="527"/>
  <c r="E121" i="527"/>
  <c r="D125" i="527"/>
  <c r="E125" i="527"/>
  <c r="E129" i="527"/>
  <c r="D129" i="527"/>
  <c r="E74" i="527"/>
  <c r="D74" i="527"/>
  <c r="E110" i="527"/>
  <c r="D110" i="527"/>
  <c r="E114" i="527"/>
  <c r="D114" i="527"/>
  <c r="E118" i="527"/>
  <c r="D118" i="527"/>
  <c r="E122" i="527"/>
  <c r="D122" i="527"/>
  <c r="E126" i="527"/>
  <c r="D126" i="527"/>
  <c r="F111" i="522"/>
  <c r="F115" i="522"/>
  <c r="E130" i="527"/>
  <c r="D130" i="527"/>
  <c r="BA122" i="536"/>
  <c r="B122" i="536"/>
  <c r="Y122" i="536"/>
  <c r="W122" i="536"/>
  <c r="AC122" i="536"/>
  <c r="AB122" i="536"/>
  <c r="BB122" i="536"/>
  <c r="AB115" i="536"/>
  <c r="W115" i="536"/>
  <c r="BB115" i="536"/>
  <c r="BA115" i="536"/>
  <c r="B115" i="536"/>
  <c r="Y115" i="536"/>
  <c r="AC115" i="536"/>
  <c r="AC120" i="536"/>
  <c r="BB120" i="536"/>
  <c r="BA120" i="536"/>
  <c r="B120" i="536"/>
  <c r="Y120" i="536"/>
  <c r="AB120" i="536"/>
  <c r="W120" i="536"/>
  <c r="BB113" i="536"/>
  <c r="BA113" i="536"/>
  <c r="B113" i="536"/>
  <c r="Y113" i="536"/>
  <c r="AB113" i="536"/>
  <c r="AC113" i="536"/>
  <c r="W113" i="536"/>
  <c r="AC129" i="536"/>
  <c r="B129" i="536"/>
  <c r="AB129" i="536"/>
  <c r="Y129" i="536"/>
  <c r="BB129" i="536"/>
  <c r="W129" i="536"/>
  <c r="BA129" i="536"/>
  <c r="W110" i="536"/>
  <c r="BB110" i="536"/>
  <c r="AB110" i="536"/>
  <c r="AC110" i="536"/>
  <c r="B110" i="536"/>
  <c r="Y110" i="536"/>
  <c r="BA110" i="536"/>
  <c r="AC119" i="536"/>
  <c r="BA119" i="536"/>
  <c r="AB119" i="536"/>
  <c r="W119" i="536"/>
  <c r="B119" i="536"/>
  <c r="BB119" i="536"/>
  <c r="Y119" i="536"/>
  <c r="F112" i="522"/>
  <c r="F116" i="522"/>
  <c r="F128" i="522"/>
  <c r="F119" i="522"/>
  <c r="F123" i="522"/>
  <c r="F127" i="522"/>
  <c r="Y114" i="536"/>
  <c r="AB114" i="536"/>
  <c r="BA114" i="536"/>
  <c r="B114" i="536"/>
  <c r="BB114" i="536"/>
  <c r="W114" i="536"/>
  <c r="AC114" i="536"/>
  <c r="BA116" i="536"/>
  <c r="B116" i="536"/>
  <c r="BB116" i="536"/>
  <c r="W116" i="536"/>
  <c r="Y116" i="536"/>
  <c r="AB116" i="536"/>
  <c r="AC116" i="536"/>
  <c r="AC109" i="536"/>
  <c r="B109" i="536"/>
  <c r="BB109" i="536"/>
  <c r="Y109" i="536"/>
  <c r="BA109" i="536"/>
  <c r="W109" i="536"/>
  <c r="AB109" i="536"/>
  <c r="AB125" i="536"/>
  <c r="Y125" i="536"/>
  <c r="W125" i="536"/>
  <c r="AC125" i="536"/>
  <c r="BA125" i="536"/>
  <c r="B125" i="536"/>
  <c r="BB125" i="536"/>
  <c r="BA130" i="536"/>
  <c r="B130" i="536"/>
  <c r="Y130" i="536"/>
  <c r="W130" i="536"/>
  <c r="AC130" i="536"/>
  <c r="AB130" i="536"/>
  <c r="BB130" i="536"/>
  <c r="AE112" i="521"/>
  <c r="Z112" i="521"/>
  <c r="AD112" i="521"/>
  <c r="Y112" i="521"/>
  <c r="B112" i="521"/>
  <c r="AI112" i="521"/>
  <c r="AD116" i="521"/>
  <c r="AE116" i="521"/>
  <c r="AI116" i="521"/>
  <c r="B116" i="521"/>
  <c r="Y116" i="521"/>
  <c r="Z116" i="521"/>
  <c r="AO116" i="522"/>
  <c r="Y116" i="522"/>
  <c r="I116" i="522"/>
  <c r="AJ116" i="522"/>
  <c r="AM116" i="522" s="1"/>
  <c r="T116" i="522"/>
  <c r="W116" i="522" s="1"/>
  <c r="B116" i="522"/>
  <c r="BB116" i="522"/>
  <c r="AH116" i="522"/>
  <c r="R116" i="522"/>
  <c r="AK116" i="522"/>
  <c r="U116" i="522"/>
  <c r="AV116" i="522"/>
  <c r="D116" i="526" s="1"/>
  <c r="AF116" i="522"/>
  <c r="AI116" i="522" s="1"/>
  <c r="P116" i="522"/>
  <c r="S116" i="522" s="1"/>
  <c r="BC116" i="522"/>
  <c r="AT116" i="522"/>
  <c r="AD116" i="522"/>
  <c r="N116" i="522"/>
  <c r="AW116" i="522"/>
  <c r="AG116" i="522"/>
  <c r="Q116" i="522"/>
  <c r="AR116" i="522"/>
  <c r="AU116" i="522" s="1"/>
  <c r="AB116" i="522"/>
  <c r="AE116" i="522" s="1"/>
  <c r="L116" i="522"/>
  <c r="O116" i="522" s="1"/>
  <c r="AP116" i="522"/>
  <c r="Z116" i="522"/>
  <c r="J116" i="522"/>
  <c r="AS116" i="522"/>
  <c r="AC116" i="522"/>
  <c r="M116" i="522"/>
  <c r="AN116" i="522"/>
  <c r="AQ116" i="522" s="1"/>
  <c r="X116" i="522"/>
  <c r="AA116" i="522" s="1"/>
  <c r="H116" i="522"/>
  <c r="K116" i="522" s="1"/>
  <c r="AL116" i="522"/>
  <c r="V116" i="522"/>
  <c r="Z116" i="526"/>
  <c r="D116" i="539" s="1"/>
  <c r="AH116" i="526"/>
  <c r="B116" i="526"/>
  <c r="G116" i="526"/>
  <c r="Y116" i="526"/>
  <c r="I116" i="526"/>
  <c r="H116" i="526"/>
  <c r="I120" i="527"/>
  <c r="K120" i="527"/>
  <c r="B120" i="527"/>
  <c r="F120" i="527" s="1"/>
  <c r="AJ113" i="522"/>
  <c r="AM113" i="522" s="1"/>
  <c r="T113" i="522"/>
  <c r="W113" i="522" s="1"/>
  <c r="B113" i="522"/>
  <c r="BB113" i="522"/>
  <c r="AH113" i="522"/>
  <c r="R113" i="522"/>
  <c r="AW113" i="522"/>
  <c r="AG113" i="522"/>
  <c r="Q113" i="522"/>
  <c r="AV113" i="522"/>
  <c r="D113" i="526" s="1"/>
  <c r="AF113" i="522"/>
  <c r="AI113" i="522" s="1"/>
  <c r="P113" i="522"/>
  <c r="S113" i="522" s="1"/>
  <c r="AT113" i="522"/>
  <c r="AD113" i="522"/>
  <c r="N113" i="522"/>
  <c r="AS113" i="522"/>
  <c r="AC113" i="522"/>
  <c r="M113" i="522"/>
  <c r="AR113" i="522"/>
  <c r="AU113" i="522" s="1"/>
  <c r="AB113" i="522"/>
  <c r="AE113" i="522" s="1"/>
  <c r="L113" i="522"/>
  <c r="O113" i="522" s="1"/>
  <c r="BC113" i="522"/>
  <c r="AP113" i="522"/>
  <c r="Z113" i="522"/>
  <c r="J113" i="522"/>
  <c r="AO113" i="522"/>
  <c r="Y113" i="522"/>
  <c r="I113" i="522"/>
  <c r="AN113" i="522"/>
  <c r="AQ113" i="522" s="1"/>
  <c r="X113" i="522"/>
  <c r="AA113" i="522" s="1"/>
  <c r="H113" i="522"/>
  <c r="K113" i="522" s="1"/>
  <c r="AL113" i="522"/>
  <c r="V113" i="522"/>
  <c r="AK113" i="522"/>
  <c r="U113" i="522"/>
  <c r="G113" i="526"/>
  <c r="I113" i="526"/>
  <c r="H113" i="526"/>
  <c r="Z113" i="526"/>
  <c r="D113" i="539" s="1"/>
  <c r="Y113" i="526"/>
  <c r="AH113" i="526"/>
  <c r="B113" i="526"/>
  <c r="Y117" i="521"/>
  <c r="AI117" i="521"/>
  <c r="AE117" i="521"/>
  <c r="AD117" i="521"/>
  <c r="Z117" i="521"/>
  <c r="B117" i="521"/>
  <c r="Y121" i="521"/>
  <c r="AI121" i="521"/>
  <c r="AE121" i="521"/>
  <c r="AD121" i="521"/>
  <c r="Z121" i="521"/>
  <c r="B121" i="521"/>
  <c r="I121" i="527"/>
  <c r="K121" i="527"/>
  <c r="B121" i="527"/>
  <c r="F121" i="527" s="1"/>
  <c r="AV129" i="522"/>
  <c r="D129" i="526" s="1"/>
  <c r="AF129" i="522"/>
  <c r="AI129" i="522" s="1"/>
  <c r="P129" i="522"/>
  <c r="S129" i="522" s="1"/>
  <c r="BC129" i="522"/>
  <c r="AP129" i="522"/>
  <c r="Z129" i="522"/>
  <c r="J129" i="522"/>
  <c r="AS129" i="522"/>
  <c r="AC129" i="522"/>
  <c r="M129" i="522"/>
  <c r="AR129" i="522"/>
  <c r="AU129" i="522" s="1"/>
  <c r="AB129" i="522"/>
  <c r="AE129" i="522" s="1"/>
  <c r="L129" i="522"/>
  <c r="O129" i="522" s="1"/>
  <c r="AL129" i="522"/>
  <c r="V129" i="522"/>
  <c r="AO129" i="522"/>
  <c r="Y129" i="522"/>
  <c r="I129" i="522"/>
  <c r="AN129" i="522"/>
  <c r="AQ129" i="522" s="1"/>
  <c r="X129" i="522"/>
  <c r="AA129" i="522" s="1"/>
  <c r="H129" i="522"/>
  <c r="K129" i="522" s="1"/>
  <c r="BB129" i="522"/>
  <c r="AH129" i="522"/>
  <c r="R129" i="522"/>
  <c r="AK129" i="522"/>
  <c r="U129" i="522"/>
  <c r="AJ129" i="522"/>
  <c r="AM129" i="522" s="1"/>
  <c r="T129" i="522"/>
  <c r="W129" i="522" s="1"/>
  <c r="B129" i="522"/>
  <c r="AT129" i="522"/>
  <c r="AD129" i="522"/>
  <c r="N129" i="522"/>
  <c r="AW129" i="522"/>
  <c r="AG129" i="522"/>
  <c r="Q129" i="522"/>
  <c r="Z129" i="526"/>
  <c r="D129" i="539" s="1"/>
  <c r="AH129" i="526"/>
  <c r="B129" i="526"/>
  <c r="I129" i="526"/>
  <c r="Y129" i="526"/>
  <c r="G129" i="526"/>
  <c r="H129" i="526"/>
  <c r="Z74" i="521"/>
  <c r="Y74" i="521"/>
  <c r="AE74" i="521"/>
  <c r="B74" i="521"/>
  <c r="AD74" i="521"/>
  <c r="AI74" i="521"/>
  <c r="Z110" i="521"/>
  <c r="AD110" i="521"/>
  <c r="AI110" i="521"/>
  <c r="Y110" i="521"/>
  <c r="B110" i="521"/>
  <c r="AE110" i="521"/>
  <c r="B110" i="527"/>
  <c r="F110" i="527" s="1"/>
  <c r="K110" i="527"/>
  <c r="I110" i="527"/>
  <c r="AL118" i="522"/>
  <c r="V118" i="522"/>
  <c r="AK118" i="522"/>
  <c r="U118" i="522"/>
  <c r="AV118" i="522"/>
  <c r="D118" i="526" s="1"/>
  <c r="AF118" i="522"/>
  <c r="AI118" i="522" s="1"/>
  <c r="P118" i="522"/>
  <c r="S118" i="522" s="1"/>
  <c r="BB118" i="522"/>
  <c r="AH118" i="522"/>
  <c r="R118" i="522"/>
  <c r="AW118" i="522"/>
  <c r="AG118" i="522"/>
  <c r="Q118" i="522"/>
  <c r="AR118" i="522"/>
  <c r="AU118" i="522" s="1"/>
  <c r="AB118" i="522"/>
  <c r="AE118" i="522" s="1"/>
  <c r="L118" i="522"/>
  <c r="O118" i="522" s="1"/>
  <c r="BC118" i="522"/>
  <c r="AT118" i="522"/>
  <c r="AD118" i="522"/>
  <c r="N118" i="522"/>
  <c r="AS118" i="522"/>
  <c r="AC118" i="522"/>
  <c r="M118" i="522"/>
  <c r="AN118" i="522"/>
  <c r="AQ118" i="522" s="1"/>
  <c r="X118" i="522"/>
  <c r="AA118" i="522" s="1"/>
  <c r="H118" i="522"/>
  <c r="K118" i="522" s="1"/>
  <c r="AP118" i="522"/>
  <c r="Z118" i="522"/>
  <c r="J118" i="522"/>
  <c r="AO118" i="522"/>
  <c r="Y118" i="522"/>
  <c r="I118" i="522"/>
  <c r="AJ118" i="522"/>
  <c r="AM118" i="522" s="1"/>
  <c r="T118" i="522"/>
  <c r="W118" i="522" s="1"/>
  <c r="B118" i="522"/>
  <c r="G118" i="526"/>
  <c r="I118" i="526"/>
  <c r="Y118" i="526"/>
  <c r="H118" i="526"/>
  <c r="Z118" i="526"/>
  <c r="D118" i="539" s="1"/>
  <c r="AH118" i="526"/>
  <c r="B118" i="526"/>
  <c r="Y122" i="521"/>
  <c r="AD122" i="521"/>
  <c r="AI122" i="521"/>
  <c r="AE122" i="521"/>
  <c r="Z122" i="521"/>
  <c r="B122" i="521"/>
  <c r="Y126" i="521"/>
  <c r="AD126" i="521"/>
  <c r="AI126" i="521"/>
  <c r="AE126" i="521"/>
  <c r="Z126" i="521"/>
  <c r="B126" i="521"/>
  <c r="I126" i="527"/>
  <c r="B126" i="527"/>
  <c r="F126" i="527" s="1"/>
  <c r="K126" i="527"/>
  <c r="Y119" i="521"/>
  <c r="AI119" i="521"/>
  <c r="AE119" i="521"/>
  <c r="AD119" i="521"/>
  <c r="B119" i="521"/>
  <c r="Z119" i="521"/>
  <c r="Y119" i="526"/>
  <c r="H119" i="526"/>
  <c r="Z119" i="526"/>
  <c r="D119" i="539" s="1"/>
  <c r="AH119" i="526"/>
  <c r="B119" i="526"/>
  <c r="G119" i="526"/>
  <c r="I119" i="526"/>
  <c r="K123" i="527"/>
  <c r="B123" i="527"/>
  <c r="F123" i="527" s="1"/>
  <c r="I123" i="527"/>
  <c r="K108" i="527"/>
  <c r="B108" i="527"/>
  <c r="F108" i="527" s="1"/>
  <c r="I108" i="527"/>
  <c r="AD120" i="521"/>
  <c r="AE120" i="521"/>
  <c r="AI120" i="521"/>
  <c r="B120" i="521"/>
  <c r="Z120" i="521"/>
  <c r="Y120" i="521"/>
  <c r="AK120" i="522"/>
  <c r="U120" i="522"/>
  <c r="AV120" i="522"/>
  <c r="D120" i="526" s="1"/>
  <c r="AF120" i="522"/>
  <c r="AI120" i="522" s="1"/>
  <c r="P120" i="522"/>
  <c r="S120" i="522" s="1"/>
  <c r="BC120" i="522"/>
  <c r="AP120" i="522"/>
  <c r="Z120" i="522"/>
  <c r="J120" i="522"/>
  <c r="AW120" i="522"/>
  <c r="AG120" i="522"/>
  <c r="Q120" i="522"/>
  <c r="AR120" i="522"/>
  <c r="AU120" i="522" s="1"/>
  <c r="AB120" i="522"/>
  <c r="AE120" i="522" s="1"/>
  <c r="L120" i="522"/>
  <c r="O120" i="522" s="1"/>
  <c r="AL120" i="522"/>
  <c r="V120" i="522"/>
  <c r="AS120" i="522"/>
  <c r="AC120" i="522"/>
  <c r="M120" i="522"/>
  <c r="AN120" i="522"/>
  <c r="AQ120" i="522" s="1"/>
  <c r="X120" i="522"/>
  <c r="AA120" i="522" s="1"/>
  <c r="H120" i="522"/>
  <c r="K120" i="522" s="1"/>
  <c r="BB120" i="522"/>
  <c r="AH120" i="522"/>
  <c r="R120" i="522"/>
  <c r="AO120" i="522"/>
  <c r="Y120" i="522"/>
  <c r="I120" i="522"/>
  <c r="AJ120" i="522"/>
  <c r="AM120" i="522" s="1"/>
  <c r="T120" i="522"/>
  <c r="W120" i="522" s="1"/>
  <c r="B120" i="522"/>
  <c r="AT120" i="522"/>
  <c r="AD120" i="522"/>
  <c r="N120" i="522"/>
  <c r="AH120" i="526"/>
  <c r="B120" i="526"/>
  <c r="G120" i="526"/>
  <c r="Z120" i="526"/>
  <c r="D120" i="539" s="1"/>
  <c r="I120" i="526"/>
  <c r="H120" i="526"/>
  <c r="Y120" i="526"/>
  <c r="K124" i="527"/>
  <c r="B124" i="527"/>
  <c r="F124" i="527" s="1"/>
  <c r="I124" i="527"/>
  <c r="AD128" i="521"/>
  <c r="AE128" i="521"/>
  <c r="AI128" i="521"/>
  <c r="B128" i="521"/>
  <c r="Y128" i="521"/>
  <c r="Z128" i="521"/>
  <c r="Z109" i="521"/>
  <c r="AD109" i="521"/>
  <c r="AE109" i="521"/>
  <c r="B109" i="521"/>
  <c r="AI109" i="521"/>
  <c r="Y109" i="521"/>
  <c r="I109" i="527"/>
  <c r="B109" i="527"/>
  <c r="F109" i="527" s="1"/>
  <c r="K109" i="527"/>
  <c r="AV117" i="522"/>
  <c r="D117" i="526" s="1"/>
  <c r="AF117" i="522"/>
  <c r="AI117" i="522" s="1"/>
  <c r="P117" i="522"/>
  <c r="S117" i="522" s="1"/>
  <c r="BC117" i="522"/>
  <c r="AT117" i="522"/>
  <c r="AD117" i="522"/>
  <c r="N117" i="522"/>
  <c r="AS117" i="522"/>
  <c r="AC117" i="522"/>
  <c r="M117" i="522"/>
  <c r="AR117" i="522"/>
  <c r="AU117" i="522" s="1"/>
  <c r="X117" i="522"/>
  <c r="AA117" i="522" s="1"/>
  <c r="B117" i="522"/>
  <c r="AP117" i="522"/>
  <c r="V117" i="522"/>
  <c r="AW117" i="522"/>
  <c r="Y117" i="522"/>
  <c r="AN117" i="522"/>
  <c r="AQ117" i="522" s="1"/>
  <c r="T117" i="522"/>
  <c r="W117" i="522" s="1"/>
  <c r="AL117" i="522"/>
  <c r="R117" i="522"/>
  <c r="AO117" i="522"/>
  <c r="U117" i="522"/>
  <c r="AJ117" i="522"/>
  <c r="AM117" i="522" s="1"/>
  <c r="L117" i="522"/>
  <c r="O117" i="522" s="1"/>
  <c r="AH117" i="522"/>
  <c r="J117" i="522"/>
  <c r="AK117" i="522"/>
  <c r="Q117" i="522"/>
  <c r="AB117" i="522"/>
  <c r="AE117" i="522" s="1"/>
  <c r="H117" i="522"/>
  <c r="K117" i="522" s="1"/>
  <c r="BB117" i="522"/>
  <c r="Z117" i="522"/>
  <c r="AG117" i="522"/>
  <c r="I117" i="522"/>
  <c r="Z117" i="526"/>
  <c r="D117" i="539" s="1"/>
  <c r="I117" i="526"/>
  <c r="H117" i="526"/>
  <c r="B117" i="526"/>
  <c r="Y117" i="526"/>
  <c r="AH117" i="526"/>
  <c r="G117" i="526"/>
  <c r="Y125" i="521"/>
  <c r="AI125" i="521"/>
  <c r="AE125" i="521"/>
  <c r="AD125" i="521"/>
  <c r="Z125" i="521"/>
  <c r="B125" i="521"/>
  <c r="I125" i="527"/>
  <c r="K125" i="527"/>
  <c r="B125" i="527"/>
  <c r="F125" i="527" s="1"/>
  <c r="AT74" i="522"/>
  <c r="AD74" i="522"/>
  <c r="N74" i="522"/>
  <c r="AW74" i="522"/>
  <c r="AG74" i="522"/>
  <c r="Q74" i="522"/>
  <c r="AR74" i="522"/>
  <c r="AU74" i="522" s="1"/>
  <c r="AB74" i="522"/>
  <c r="AE74" i="522" s="1"/>
  <c r="L74" i="522"/>
  <c r="O74" i="522" s="1"/>
  <c r="BC74" i="522"/>
  <c r="AP74" i="522"/>
  <c r="Z74" i="522"/>
  <c r="J74" i="522"/>
  <c r="AS74" i="522"/>
  <c r="AC74" i="522"/>
  <c r="M74" i="522"/>
  <c r="AN74" i="522"/>
  <c r="AQ74" i="522" s="1"/>
  <c r="X74" i="522"/>
  <c r="AA74" i="522" s="1"/>
  <c r="H74" i="522"/>
  <c r="K74" i="522" s="1"/>
  <c r="AL74" i="522"/>
  <c r="V74" i="522"/>
  <c r="AO74" i="522"/>
  <c r="Y74" i="522"/>
  <c r="I74" i="522"/>
  <c r="AJ74" i="522"/>
  <c r="AM74" i="522" s="1"/>
  <c r="T74" i="522"/>
  <c r="W74" i="522" s="1"/>
  <c r="B74" i="522"/>
  <c r="BB74" i="522"/>
  <c r="AH74" i="522"/>
  <c r="R74" i="522"/>
  <c r="AK74" i="522"/>
  <c r="U74" i="522"/>
  <c r="AV74" i="522"/>
  <c r="D74" i="526" s="1"/>
  <c r="AF74" i="522"/>
  <c r="AI74" i="522" s="1"/>
  <c r="P74" i="522"/>
  <c r="S74" i="522" s="1"/>
  <c r="Y74" i="526"/>
  <c r="H74" i="526"/>
  <c r="Z74" i="526"/>
  <c r="D74" i="539" s="1"/>
  <c r="AH74" i="526"/>
  <c r="B74" i="526"/>
  <c r="G74" i="526"/>
  <c r="I74" i="526"/>
  <c r="I114" i="527"/>
  <c r="B114" i="527"/>
  <c r="F114" i="527" s="1"/>
  <c r="K114" i="527"/>
  <c r="AT122" i="522"/>
  <c r="AD122" i="522"/>
  <c r="N122" i="522"/>
  <c r="AW122" i="522"/>
  <c r="AG122" i="522"/>
  <c r="Q122" i="522"/>
  <c r="AR122" i="522"/>
  <c r="AU122" i="522" s="1"/>
  <c r="AB122" i="522"/>
  <c r="AE122" i="522" s="1"/>
  <c r="L122" i="522"/>
  <c r="O122" i="522" s="1"/>
  <c r="BC122" i="522"/>
  <c r="AP122" i="522"/>
  <c r="Z122" i="522"/>
  <c r="J122" i="522"/>
  <c r="AS122" i="522"/>
  <c r="AC122" i="522"/>
  <c r="M122" i="522"/>
  <c r="AN122" i="522"/>
  <c r="AQ122" i="522" s="1"/>
  <c r="X122" i="522"/>
  <c r="AA122" i="522" s="1"/>
  <c r="H122" i="522"/>
  <c r="K122" i="522" s="1"/>
  <c r="AL122" i="522"/>
  <c r="V122" i="522"/>
  <c r="AO122" i="522"/>
  <c r="Y122" i="522"/>
  <c r="I122" i="522"/>
  <c r="AJ122" i="522"/>
  <c r="AM122" i="522" s="1"/>
  <c r="T122" i="522"/>
  <c r="W122" i="522" s="1"/>
  <c r="B122" i="522"/>
  <c r="BB122" i="522"/>
  <c r="AH122" i="522"/>
  <c r="R122" i="522"/>
  <c r="AK122" i="522"/>
  <c r="U122" i="522"/>
  <c r="AV122" i="522"/>
  <c r="D122" i="526" s="1"/>
  <c r="AF122" i="522"/>
  <c r="AI122" i="522" s="1"/>
  <c r="P122" i="522"/>
  <c r="S122" i="522" s="1"/>
  <c r="I122" i="526"/>
  <c r="H122" i="526"/>
  <c r="B122" i="526"/>
  <c r="AH122" i="526"/>
  <c r="G122" i="526"/>
  <c r="Y122" i="526"/>
  <c r="Z122" i="526"/>
  <c r="D122" i="539" s="1"/>
  <c r="AE111" i="521"/>
  <c r="Z111" i="521"/>
  <c r="Y111" i="521"/>
  <c r="B111" i="521"/>
  <c r="AD111" i="521"/>
  <c r="AI111" i="521"/>
  <c r="I111" i="527"/>
  <c r="B111" i="527"/>
  <c r="F111" i="527" s="1"/>
  <c r="K111" i="527"/>
  <c r="BB119" i="522"/>
  <c r="AH119" i="522"/>
  <c r="R119" i="522"/>
  <c r="AW119" i="522"/>
  <c r="AG119" i="522"/>
  <c r="Q119" i="522"/>
  <c r="AR119" i="522"/>
  <c r="AU119" i="522" s="1"/>
  <c r="AB119" i="522"/>
  <c r="AE119" i="522" s="1"/>
  <c r="L119" i="522"/>
  <c r="O119" i="522" s="1"/>
  <c r="AT119" i="522"/>
  <c r="AD119" i="522"/>
  <c r="N119" i="522"/>
  <c r="AS119" i="522"/>
  <c r="AC119" i="522"/>
  <c r="M119" i="522"/>
  <c r="AN119" i="522"/>
  <c r="AQ119" i="522" s="1"/>
  <c r="X119" i="522"/>
  <c r="AA119" i="522" s="1"/>
  <c r="H119" i="522"/>
  <c r="K119" i="522" s="1"/>
  <c r="AP119" i="522"/>
  <c r="Z119" i="522"/>
  <c r="J119" i="522"/>
  <c r="AO119" i="522"/>
  <c r="Y119" i="522"/>
  <c r="I119" i="522"/>
  <c r="AJ119" i="522"/>
  <c r="AM119" i="522" s="1"/>
  <c r="T119" i="522"/>
  <c r="W119" i="522" s="1"/>
  <c r="B119" i="522"/>
  <c r="AL119" i="522"/>
  <c r="V119" i="522"/>
  <c r="AK119" i="522"/>
  <c r="U119" i="522"/>
  <c r="AV119" i="522"/>
  <c r="D119" i="526" s="1"/>
  <c r="AF119" i="522"/>
  <c r="AI119" i="522" s="1"/>
  <c r="P119" i="522"/>
  <c r="S119" i="522" s="1"/>
  <c r="BC119" i="522"/>
  <c r="Y123" i="521"/>
  <c r="AI123" i="521"/>
  <c r="AE123" i="521"/>
  <c r="AD123" i="521"/>
  <c r="B123" i="521"/>
  <c r="Z123" i="521"/>
  <c r="I123" i="526"/>
  <c r="H123" i="526"/>
  <c r="Y123" i="526"/>
  <c r="AH123" i="526"/>
  <c r="B123" i="526"/>
  <c r="Z123" i="526"/>
  <c r="D123" i="539" s="1"/>
  <c r="G123" i="526"/>
  <c r="K127" i="527"/>
  <c r="I127" i="527"/>
  <c r="B127" i="527"/>
  <c r="F127" i="527" s="1"/>
  <c r="BC130" i="522"/>
  <c r="AP130" i="522"/>
  <c r="Z130" i="522"/>
  <c r="J130" i="522"/>
  <c r="AS130" i="522"/>
  <c r="AC130" i="522"/>
  <c r="M130" i="522"/>
  <c r="AN130" i="522"/>
  <c r="AQ130" i="522" s="1"/>
  <c r="X130" i="522"/>
  <c r="AA130" i="522" s="1"/>
  <c r="H130" i="522"/>
  <c r="K130" i="522" s="1"/>
  <c r="AL130" i="522"/>
  <c r="V130" i="522"/>
  <c r="AO130" i="522"/>
  <c r="Y130" i="522"/>
  <c r="I130" i="522"/>
  <c r="AJ130" i="522"/>
  <c r="AM130" i="522" s="1"/>
  <c r="T130" i="522"/>
  <c r="W130" i="522" s="1"/>
  <c r="B130" i="522"/>
  <c r="BB130" i="522"/>
  <c r="AH130" i="522"/>
  <c r="R130" i="522"/>
  <c r="AK130" i="522"/>
  <c r="U130" i="522"/>
  <c r="AV130" i="522"/>
  <c r="D130" i="526" s="1"/>
  <c r="AF130" i="522"/>
  <c r="AI130" i="522" s="1"/>
  <c r="P130" i="522"/>
  <c r="S130" i="522" s="1"/>
  <c r="AT130" i="522"/>
  <c r="AD130" i="522"/>
  <c r="N130" i="522"/>
  <c r="AW130" i="522"/>
  <c r="AG130" i="522"/>
  <c r="Q130" i="522"/>
  <c r="AR130" i="522"/>
  <c r="AU130" i="522" s="1"/>
  <c r="AB130" i="522"/>
  <c r="AE130" i="522" s="1"/>
  <c r="L130" i="522"/>
  <c r="O130" i="522" s="1"/>
  <c r="H130" i="526"/>
  <c r="AH130" i="526"/>
  <c r="B130" i="526"/>
  <c r="Y130" i="526"/>
  <c r="G130" i="526"/>
  <c r="Z130" i="526"/>
  <c r="D130" i="539" s="1"/>
  <c r="I130" i="526"/>
  <c r="AE108" i="521"/>
  <c r="Y108" i="521"/>
  <c r="Z108" i="521"/>
  <c r="B108" i="521"/>
  <c r="AD108" i="521"/>
  <c r="AI108" i="521"/>
  <c r="AO108" i="522"/>
  <c r="Y108" i="522"/>
  <c r="I108" i="522"/>
  <c r="AN108" i="522"/>
  <c r="AQ108" i="522" s="1"/>
  <c r="X108" i="522"/>
  <c r="AA108" i="522" s="1"/>
  <c r="H108" i="522"/>
  <c r="K108" i="522" s="1"/>
  <c r="BB108" i="522"/>
  <c r="AH108" i="522"/>
  <c r="R108" i="522"/>
  <c r="AW108" i="522"/>
  <c r="AG108" i="522"/>
  <c r="Q108" i="522"/>
  <c r="AV108" i="522"/>
  <c r="D108" i="526" s="1"/>
  <c r="AF108" i="522"/>
  <c r="AI108" i="522" s="1"/>
  <c r="P108" i="522"/>
  <c r="S108" i="522" s="1"/>
  <c r="BC108" i="522"/>
  <c r="AP108" i="522"/>
  <c r="Z108" i="522"/>
  <c r="J108" i="522"/>
  <c r="AS108" i="522"/>
  <c r="AC108" i="522"/>
  <c r="M108" i="522"/>
  <c r="AR108" i="522"/>
  <c r="AU108" i="522" s="1"/>
  <c r="AB108" i="522"/>
  <c r="AE108" i="522" s="1"/>
  <c r="L108" i="522"/>
  <c r="O108" i="522" s="1"/>
  <c r="AL108" i="522"/>
  <c r="V108" i="522"/>
  <c r="U108" i="522"/>
  <c r="B108" i="522"/>
  <c r="AT108" i="522"/>
  <c r="AJ108" i="522"/>
  <c r="AM108" i="522" s="1"/>
  <c r="AD108" i="522"/>
  <c r="AK108" i="522"/>
  <c r="T108" i="522"/>
  <c r="W108" i="522" s="1"/>
  <c r="N108" i="522"/>
  <c r="H108" i="526"/>
  <c r="AH108" i="526"/>
  <c r="B108" i="526"/>
  <c r="G108" i="526"/>
  <c r="Z108" i="526"/>
  <c r="D108" i="539" s="1"/>
  <c r="Y108" i="526"/>
  <c r="I108" i="526"/>
  <c r="K112" i="527"/>
  <c r="B112" i="527"/>
  <c r="F112" i="527" s="1"/>
  <c r="I112" i="527"/>
  <c r="AD124" i="521"/>
  <c r="AE124" i="521"/>
  <c r="AI124" i="521"/>
  <c r="Y124" i="521"/>
  <c r="Z124" i="521"/>
  <c r="B124" i="521"/>
  <c r="AS124" i="522"/>
  <c r="AC124" i="522"/>
  <c r="M124" i="522"/>
  <c r="AN124" i="522"/>
  <c r="AQ124" i="522" s="1"/>
  <c r="X124" i="522"/>
  <c r="AA124" i="522" s="1"/>
  <c r="H124" i="522"/>
  <c r="K124" i="522" s="1"/>
  <c r="BB124" i="522"/>
  <c r="AH124" i="522"/>
  <c r="R124" i="522"/>
  <c r="AO124" i="522"/>
  <c r="Y124" i="522"/>
  <c r="I124" i="522"/>
  <c r="AJ124" i="522"/>
  <c r="AM124" i="522" s="1"/>
  <c r="T124" i="522"/>
  <c r="W124" i="522" s="1"/>
  <c r="B124" i="522"/>
  <c r="AT124" i="522"/>
  <c r="AD124" i="522"/>
  <c r="N124" i="522"/>
  <c r="AK124" i="522"/>
  <c r="U124" i="522"/>
  <c r="AV124" i="522"/>
  <c r="D124" i="526" s="1"/>
  <c r="AF124" i="522"/>
  <c r="AI124" i="522" s="1"/>
  <c r="P124" i="522"/>
  <c r="S124" i="522" s="1"/>
  <c r="BC124" i="522"/>
  <c r="AP124" i="522"/>
  <c r="Z124" i="522"/>
  <c r="J124" i="522"/>
  <c r="AW124" i="522"/>
  <c r="AG124" i="522"/>
  <c r="Q124" i="522"/>
  <c r="AR124" i="522"/>
  <c r="AU124" i="522" s="1"/>
  <c r="AB124" i="522"/>
  <c r="AE124" i="522" s="1"/>
  <c r="L124" i="522"/>
  <c r="O124" i="522" s="1"/>
  <c r="AL124" i="522"/>
  <c r="V124" i="522"/>
  <c r="AH124" i="526"/>
  <c r="B124" i="526"/>
  <c r="H124" i="526"/>
  <c r="G124" i="526"/>
  <c r="Z124" i="526"/>
  <c r="D124" i="539" s="1"/>
  <c r="I124" i="526"/>
  <c r="Y124" i="526"/>
  <c r="I128" i="527"/>
  <c r="B128" i="527"/>
  <c r="F128" i="527" s="1"/>
  <c r="K128" i="527"/>
  <c r="B113" i="527"/>
  <c r="F113" i="527" s="1"/>
  <c r="I113" i="527"/>
  <c r="K113" i="527"/>
  <c r="AV121" i="522"/>
  <c r="D121" i="526" s="1"/>
  <c r="AF121" i="522"/>
  <c r="AI121" i="522" s="1"/>
  <c r="P121" i="522"/>
  <c r="S121" i="522" s="1"/>
  <c r="BC121" i="522"/>
  <c r="AP121" i="522"/>
  <c r="Z121" i="522"/>
  <c r="J121" i="522"/>
  <c r="AS121" i="522"/>
  <c r="AC121" i="522"/>
  <c r="M121" i="522"/>
  <c r="AR121" i="522"/>
  <c r="AU121" i="522" s="1"/>
  <c r="AB121" i="522"/>
  <c r="AE121" i="522" s="1"/>
  <c r="L121" i="522"/>
  <c r="O121" i="522" s="1"/>
  <c r="AL121" i="522"/>
  <c r="V121" i="522"/>
  <c r="AO121" i="522"/>
  <c r="Y121" i="522"/>
  <c r="I121" i="522"/>
  <c r="AN121" i="522"/>
  <c r="AQ121" i="522" s="1"/>
  <c r="X121" i="522"/>
  <c r="AA121" i="522" s="1"/>
  <c r="H121" i="522"/>
  <c r="K121" i="522" s="1"/>
  <c r="BB121" i="522"/>
  <c r="AH121" i="522"/>
  <c r="R121" i="522"/>
  <c r="AK121" i="522"/>
  <c r="U121" i="522"/>
  <c r="AJ121" i="522"/>
  <c r="AM121" i="522" s="1"/>
  <c r="T121" i="522"/>
  <c r="W121" i="522" s="1"/>
  <c r="B121" i="522"/>
  <c r="AT121" i="522"/>
  <c r="AD121" i="522"/>
  <c r="N121" i="522"/>
  <c r="AW121" i="522"/>
  <c r="AG121" i="522"/>
  <c r="Q121" i="522"/>
  <c r="Z121" i="526"/>
  <c r="D121" i="539" s="1"/>
  <c r="H121" i="526"/>
  <c r="Y121" i="526"/>
  <c r="AH121" i="526"/>
  <c r="B121" i="526"/>
  <c r="G121" i="526"/>
  <c r="I121" i="526"/>
  <c r="I129" i="527"/>
  <c r="K129" i="527"/>
  <c r="B129" i="527"/>
  <c r="F129" i="527" s="1"/>
  <c r="AT110" i="522"/>
  <c r="AD110" i="522"/>
  <c r="N110" i="522"/>
  <c r="AS110" i="522"/>
  <c r="AC110" i="522"/>
  <c r="M110" i="522"/>
  <c r="AR110" i="522"/>
  <c r="AU110" i="522" s="1"/>
  <c r="AB110" i="522"/>
  <c r="AE110" i="522" s="1"/>
  <c r="L110" i="522"/>
  <c r="O110" i="522" s="1"/>
  <c r="BC110" i="522"/>
  <c r="AP110" i="522"/>
  <c r="Z110" i="522"/>
  <c r="J110" i="522"/>
  <c r="AO110" i="522"/>
  <c r="Y110" i="522"/>
  <c r="I110" i="522"/>
  <c r="AN110" i="522"/>
  <c r="AQ110" i="522" s="1"/>
  <c r="X110" i="522"/>
  <c r="AA110" i="522" s="1"/>
  <c r="H110" i="522"/>
  <c r="K110" i="522" s="1"/>
  <c r="AL110" i="522"/>
  <c r="BB110" i="522"/>
  <c r="AH110" i="522"/>
  <c r="R110" i="522"/>
  <c r="AW110" i="522"/>
  <c r="AG110" i="522"/>
  <c r="Q110" i="522"/>
  <c r="AV110" i="522"/>
  <c r="D110" i="526" s="1"/>
  <c r="AF110" i="522"/>
  <c r="AI110" i="522" s="1"/>
  <c r="P110" i="522"/>
  <c r="S110" i="522" s="1"/>
  <c r="V110" i="522"/>
  <c r="AJ110" i="522"/>
  <c r="AM110" i="522" s="1"/>
  <c r="AK110" i="522"/>
  <c r="T110" i="522"/>
  <c r="W110" i="522" s="1"/>
  <c r="U110" i="522"/>
  <c r="B110" i="522"/>
  <c r="H110" i="526"/>
  <c r="G110" i="526"/>
  <c r="AH110" i="526"/>
  <c r="B110" i="526"/>
  <c r="Y110" i="526"/>
  <c r="Z110" i="526"/>
  <c r="D110" i="539" s="1"/>
  <c r="I110" i="526"/>
  <c r="Y114" i="521"/>
  <c r="AD114" i="521"/>
  <c r="AI114" i="521"/>
  <c r="AE114" i="521"/>
  <c r="Z114" i="521"/>
  <c r="B114" i="521"/>
  <c r="I118" i="527"/>
  <c r="B118" i="527"/>
  <c r="F118" i="527" s="1"/>
  <c r="K118" i="527"/>
  <c r="BB126" i="522"/>
  <c r="AH126" i="522"/>
  <c r="R126" i="522"/>
  <c r="AW126" i="522"/>
  <c r="AG126" i="522"/>
  <c r="Q126" i="522"/>
  <c r="AR126" i="522"/>
  <c r="AU126" i="522" s="1"/>
  <c r="AB126" i="522"/>
  <c r="AE126" i="522" s="1"/>
  <c r="L126" i="522"/>
  <c r="O126" i="522" s="1"/>
  <c r="AT126" i="522"/>
  <c r="Z126" i="522"/>
  <c r="AC126" i="522"/>
  <c r="I126" i="522"/>
  <c r="AF126" i="522"/>
  <c r="AI126" i="522" s="1"/>
  <c r="H126" i="522"/>
  <c r="K126" i="522" s="1"/>
  <c r="BC126" i="522"/>
  <c r="AL126" i="522"/>
  <c r="N126" i="522"/>
  <c r="AO126" i="522"/>
  <c r="U126" i="522"/>
  <c r="AN126" i="522"/>
  <c r="AQ126" i="522" s="1"/>
  <c r="T126" i="522"/>
  <c r="W126" i="522" s="1"/>
  <c r="AD126" i="522"/>
  <c r="J126" i="522"/>
  <c r="AK126" i="522"/>
  <c r="M126" i="522"/>
  <c r="AJ126" i="522"/>
  <c r="AM126" i="522" s="1"/>
  <c r="P126" i="522"/>
  <c r="S126" i="522" s="1"/>
  <c r="AS126" i="522"/>
  <c r="B126" i="522"/>
  <c r="Y126" i="522"/>
  <c r="AP126" i="522"/>
  <c r="AV126" i="522"/>
  <c r="D126" i="526" s="1"/>
  <c r="V126" i="522"/>
  <c r="X126" i="522"/>
  <c r="AA126" i="522" s="1"/>
  <c r="Y126" i="526"/>
  <c r="AH126" i="526"/>
  <c r="B126" i="526"/>
  <c r="Z126" i="526"/>
  <c r="D126" i="539" s="1"/>
  <c r="G126" i="526"/>
  <c r="I126" i="526"/>
  <c r="H126" i="526"/>
  <c r="AT111" i="522"/>
  <c r="AD111" i="522"/>
  <c r="N111" i="522"/>
  <c r="AS111" i="522"/>
  <c r="AC111" i="522"/>
  <c r="M111" i="522"/>
  <c r="AN111" i="522"/>
  <c r="AQ111" i="522" s="1"/>
  <c r="X111" i="522"/>
  <c r="AA111" i="522" s="1"/>
  <c r="H111" i="522"/>
  <c r="K111" i="522" s="1"/>
  <c r="AP111" i="522"/>
  <c r="Z111" i="522"/>
  <c r="J111" i="522"/>
  <c r="AO111" i="522"/>
  <c r="Y111" i="522"/>
  <c r="I111" i="522"/>
  <c r="AJ111" i="522"/>
  <c r="AM111" i="522" s="1"/>
  <c r="T111" i="522"/>
  <c r="W111" i="522" s="1"/>
  <c r="B111" i="522"/>
  <c r="AL111" i="522"/>
  <c r="V111" i="522"/>
  <c r="AK111" i="522"/>
  <c r="U111" i="522"/>
  <c r="AV111" i="522"/>
  <c r="D111" i="526" s="1"/>
  <c r="AF111" i="522"/>
  <c r="AI111" i="522" s="1"/>
  <c r="P111" i="522"/>
  <c r="S111" i="522" s="1"/>
  <c r="BC111" i="522"/>
  <c r="BB111" i="522"/>
  <c r="AH111" i="522"/>
  <c r="R111" i="522"/>
  <c r="AW111" i="522"/>
  <c r="AG111" i="522"/>
  <c r="Q111" i="522"/>
  <c r="AR111" i="522"/>
  <c r="AU111" i="522" s="1"/>
  <c r="AB111" i="522"/>
  <c r="AE111" i="522" s="1"/>
  <c r="L111" i="522"/>
  <c r="O111" i="522" s="1"/>
  <c r="AH111" i="526"/>
  <c r="B111" i="526"/>
  <c r="G111" i="526"/>
  <c r="Z111" i="526"/>
  <c r="D111" i="539" s="1"/>
  <c r="I111" i="526"/>
  <c r="Y111" i="526"/>
  <c r="H111" i="526"/>
  <c r="Y115" i="521"/>
  <c r="AI115" i="521"/>
  <c r="AE115" i="521"/>
  <c r="AD115" i="521"/>
  <c r="B115" i="521"/>
  <c r="Z115" i="521"/>
  <c r="B115" i="527"/>
  <c r="F115" i="527" s="1"/>
  <c r="I115" i="527"/>
  <c r="K115" i="527"/>
  <c r="AT123" i="522"/>
  <c r="AD123" i="522"/>
  <c r="N123" i="522"/>
  <c r="AS123" i="522"/>
  <c r="AC123" i="522"/>
  <c r="M123" i="522"/>
  <c r="AN123" i="522"/>
  <c r="AQ123" i="522" s="1"/>
  <c r="X123" i="522"/>
  <c r="AA123" i="522" s="1"/>
  <c r="H123" i="522"/>
  <c r="K123" i="522" s="1"/>
  <c r="AH123" i="522"/>
  <c r="J123" i="522"/>
  <c r="AK123" i="522"/>
  <c r="Q123" i="522"/>
  <c r="AJ123" i="522"/>
  <c r="AM123" i="522" s="1"/>
  <c r="P123" i="522"/>
  <c r="S123" i="522" s="1"/>
  <c r="BB123" i="522"/>
  <c r="Z123" i="522"/>
  <c r="AG123" i="522"/>
  <c r="I123" i="522"/>
  <c r="AF123" i="522"/>
  <c r="AI123" i="522" s="1"/>
  <c r="L123" i="522"/>
  <c r="O123" i="522" s="1"/>
  <c r="AP123" i="522"/>
  <c r="V123" i="522"/>
  <c r="AW123" i="522"/>
  <c r="Y123" i="522"/>
  <c r="AV123" i="522"/>
  <c r="D123" i="526" s="1"/>
  <c r="AB123" i="522"/>
  <c r="AE123" i="522" s="1"/>
  <c r="B123" i="522"/>
  <c r="AL123" i="522"/>
  <c r="R123" i="522"/>
  <c r="AO123" i="522"/>
  <c r="U123" i="522"/>
  <c r="AR123" i="522"/>
  <c r="AU123" i="522" s="1"/>
  <c r="T123" i="522"/>
  <c r="W123" i="522" s="1"/>
  <c r="BC123" i="522"/>
  <c r="Y127" i="521"/>
  <c r="AI127" i="521"/>
  <c r="AE127" i="521"/>
  <c r="AD127" i="521"/>
  <c r="Z127" i="521"/>
  <c r="B127" i="521"/>
  <c r="G127" i="526"/>
  <c r="I127" i="526"/>
  <c r="Y127" i="526"/>
  <c r="H127" i="526"/>
  <c r="Z127" i="526"/>
  <c r="D127" i="539" s="1"/>
  <c r="AH127" i="526"/>
  <c r="B127" i="526"/>
  <c r="AS112" i="522"/>
  <c r="AC112" i="522"/>
  <c r="M112" i="522"/>
  <c r="AN112" i="522"/>
  <c r="AQ112" i="522" s="1"/>
  <c r="X112" i="522"/>
  <c r="AA112" i="522" s="1"/>
  <c r="H112" i="522"/>
  <c r="K112" i="522" s="1"/>
  <c r="AL112" i="522"/>
  <c r="V112" i="522"/>
  <c r="AO112" i="522"/>
  <c r="Y112" i="522"/>
  <c r="I112" i="522"/>
  <c r="AJ112" i="522"/>
  <c r="AM112" i="522" s="1"/>
  <c r="T112" i="522"/>
  <c r="W112" i="522" s="1"/>
  <c r="B112" i="522"/>
  <c r="BB112" i="522"/>
  <c r="AH112" i="522"/>
  <c r="R112" i="522"/>
  <c r="AK112" i="522"/>
  <c r="U112" i="522"/>
  <c r="AV112" i="522"/>
  <c r="D112" i="526" s="1"/>
  <c r="AF112" i="522"/>
  <c r="AI112" i="522" s="1"/>
  <c r="P112" i="522"/>
  <c r="S112" i="522" s="1"/>
  <c r="AT112" i="522"/>
  <c r="AD112" i="522"/>
  <c r="N112" i="522"/>
  <c r="AW112" i="522"/>
  <c r="AG112" i="522"/>
  <c r="Q112" i="522"/>
  <c r="AR112" i="522"/>
  <c r="AU112" i="522" s="1"/>
  <c r="AB112" i="522"/>
  <c r="AE112" i="522" s="1"/>
  <c r="L112" i="522"/>
  <c r="O112" i="522" s="1"/>
  <c r="BC112" i="522"/>
  <c r="AP112" i="522"/>
  <c r="Z112" i="522"/>
  <c r="J112" i="522"/>
  <c r="Z112" i="526"/>
  <c r="D112" i="539" s="1"/>
  <c r="AH112" i="526"/>
  <c r="B112" i="526"/>
  <c r="Y112" i="526"/>
  <c r="G112" i="526"/>
  <c r="I112" i="526"/>
  <c r="H112" i="526"/>
  <c r="I116" i="527"/>
  <c r="K116" i="527"/>
  <c r="B116" i="527"/>
  <c r="F116" i="527" s="1"/>
  <c r="AK128" i="522"/>
  <c r="U128" i="522"/>
  <c r="AV128" i="522"/>
  <c r="D128" i="526" s="1"/>
  <c r="AF128" i="522"/>
  <c r="AI128" i="522" s="1"/>
  <c r="P128" i="522"/>
  <c r="S128" i="522" s="1"/>
  <c r="BC128" i="522"/>
  <c r="AP128" i="522"/>
  <c r="Z128" i="522"/>
  <c r="J128" i="522"/>
  <c r="AW128" i="522"/>
  <c r="AG128" i="522"/>
  <c r="Q128" i="522"/>
  <c r="AR128" i="522"/>
  <c r="AU128" i="522" s="1"/>
  <c r="AB128" i="522"/>
  <c r="AE128" i="522" s="1"/>
  <c r="L128" i="522"/>
  <c r="O128" i="522" s="1"/>
  <c r="AL128" i="522"/>
  <c r="V128" i="522"/>
  <c r="AS128" i="522"/>
  <c r="AC128" i="522"/>
  <c r="M128" i="522"/>
  <c r="AN128" i="522"/>
  <c r="AQ128" i="522" s="1"/>
  <c r="X128" i="522"/>
  <c r="AA128" i="522" s="1"/>
  <c r="H128" i="522"/>
  <c r="K128" i="522" s="1"/>
  <c r="BB128" i="522"/>
  <c r="AH128" i="522"/>
  <c r="R128" i="522"/>
  <c r="AO128" i="522"/>
  <c r="Y128" i="522"/>
  <c r="I128" i="522"/>
  <c r="AJ128" i="522"/>
  <c r="AM128" i="522" s="1"/>
  <c r="T128" i="522"/>
  <c r="W128" i="522" s="1"/>
  <c r="B128" i="522"/>
  <c r="AT128" i="522"/>
  <c r="AD128" i="522"/>
  <c r="N128" i="522"/>
  <c r="AH128" i="526"/>
  <c r="B128" i="526"/>
  <c r="H128" i="526"/>
  <c r="G128" i="526"/>
  <c r="Z128" i="526"/>
  <c r="D128" i="539" s="1"/>
  <c r="I128" i="526"/>
  <c r="Y128" i="526"/>
  <c r="AN109" i="522"/>
  <c r="AQ109" i="522" s="1"/>
  <c r="X109" i="522"/>
  <c r="AA109" i="522" s="1"/>
  <c r="H109" i="522"/>
  <c r="K109" i="522" s="1"/>
  <c r="BB109" i="522"/>
  <c r="AH109" i="522"/>
  <c r="R109" i="522"/>
  <c r="AW109" i="522"/>
  <c r="AG109" i="522"/>
  <c r="Q109" i="522"/>
  <c r="AJ109" i="522"/>
  <c r="AM109" i="522" s="1"/>
  <c r="T109" i="522"/>
  <c r="W109" i="522" s="1"/>
  <c r="B109" i="522"/>
  <c r="AT109" i="522"/>
  <c r="AR109" i="522"/>
  <c r="AU109" i="522" s="1"/>
  <c r="L109" i="522"/>
  <c r="O109" i="522" s="1"/>
  <c r="AL109" i="522"/>
  <c r="N109" i="522"/>
  <c r="AO109" i="522"/>
  <c r="U109" i="522"/>
  <c r="AF109" i="522"/>
  <c r="AI109" i="522" s="1"/>
  <c r="BC109" i="522"/>
  <c r="AD109" i="522"/>
  <c r="J109" i="522"/>
  <c r="AK109" i="522"/>
  <c r="M109" i="522"/>
  <c r="AB109" i="522"/>
  <c r="AE109" i="522" s="1"/>
  <c r="Z109" i="522"/>
  <c r="AC109" i="522"/>
  <c r="I109" i="522"/>
  <c r="AV109" i="522"/>
  <c r="D109" i="526" s="1"/>
  <c r="P109" i="522"/>
  <c r="S109" i="522" s="1"/>
  <c r="AP109" i="522"/>
  <c r="V109" i="522"/>
  <c r="AS109" i="522"/>
  <c r="Y109" i="522"/>
  <c r="Z109" i="526"/>
  <c r="D109" i="539" s="1"/>
  <c r="AH109" i="526"/>
  <c r="B109" i="526"/>
  <c r="Y109" i="526"/>
  <c r="G109" i="526"/>
  <c r="I109" i="526"/>
  <c r="H109" i="526"/>
  <c r="Z113" i="521"/>
  <c r="AD113" i="521"/>
  <c r="AE113" i="521"/>
  <c r="AI113" i="521"/>
  <c r="Y113" i="521"/>
  <c r="B113" i="521"/>
  <c r="I117" i="527"/>
  <c r="K117" i="527"/>
  <c r="B117" i="527"/>
  <c r="F117" i="527" s="1"/>
  <c r="AV125" i="522"/>
  <c r="D125" i="526" s="1"/>
  <c r="AF125" i="522"/>
  <c r="AI125" i="522" s="1"/>
  <c r="P125" i="522"/>
  <c r="S125" i="522" s="1"/>
  <c r="AT125" i="522"/>
  <c r="AD125" i="522"/>
  <c r="N125" i="522"/>
  <c r="AS125" i="522"/>
  <c r="AC125" i="522"/>
  <c r="M125" i="522"/>
  <c r="AR125" i="522"/>
  <c r="AU125" i="522" s="1"/>
  <c r="AB125" i="522"/>
  <c r="AE125" i="522" s="1"/>
  <c r="L125" i="522"/>
  <c r="O125" i="522" s="1"/>
  <c r="BC125" i="522"/>
  <c r="AP125" i="522"/>
  <c r="Z125" i="522"/>
  <c r="J125" i="522"/>
  <c r="AO125" i="522"/>
  <c r="Y125" i="522"/>
  <c r="I125" i="522"/>
  <c r="AN125" i="522"/>
  <c r="AQ125" i="522" s="1"/>
  <c r="X125" i="522"/>
  <c r="AA125" i="522" s="1"/>
  <c r="H125" i="522"/>
  <c r="K125" i="522" s="1"/>
  <c r="AL125" i="522"/>
  <c r="V125" i="522"/>
  <c r="AK125" i="522"/>
  <c r="U125" i="522"/>
  <c r="AJ125" i="522"/>
  <c r="AM125" i="522" s="1"/>
  <c r="T125" i="522"/>
  <c r="W125" i="522" s="1"/>
  <c r="B125" i="522"/>
  <c r="BB125" i="522"/>
  <c r="AH125" i="522"/>
  <c r="R125" i="522"/>
  <c r="AW125" i="522"/>
  <c r="AG125" i="522"/>
  <c r="Q125" i="522"/>
  <c r="Z125" i="526"/>
  <c r="D125" i="539" s="1"/>
  <c r="I125" i="526"/>
  <c r="Y125" i="526"/>
  <c r="H125" i="526"/>
  <c r="B125" i="526"/>
  <c r="AH125" i="526"/>
  <c r="G125" i="526"/>
  <c r="Y129" i="521"/>
  <c r="AI129" i="521"/>
  <c r="AE129" i="521"/>
  <c r="AD129" i="521"/>
  <c r="Z129" i="521"/>
  <c r="B129" i="521"/>
  <c r="K74" i="527"/>
  <c r="I74" i="527"/>
  <c r="B74" i="527"/>
  <c r="F74" i="527" s="1"/>
  <c r="BC114" i="522"/>
  <c r="AP114" i="522"/>
  <c r="Z114" i="522"/>
  <c r="J114" i="522"/>
  <c r="AO114" i="522"/>
  <c r="Y114" i="522"/>
  <c r="I114" i="522"/>
  <c r="AJ114" i="522"/>
  <c r="AM114" i="522" s="1"/>
  <c r="T114" i="522"/>
  <c r="W114" i="522" s="1"/>
  <c r="B114" i="522"/>
  <c r="AT114" i="522"/>
  <c r="V114" i="522"/>
  <c r="AW114" i="522"/>
  <c r="AC114" i="522"/>
  <c r="AV114" i="522"/>
  <c r="D114" i="526" s="1"/>
  <c r="AB114" i="522"/>
  <c r="AE114" i="522" s="1"/>
  <c r="H114" i="522"/>
  <c r="K114" i="522" s="1"/>
  <c r="AH114" i="522"/>
  <c r="N114" i="522"/>
  <c r="AK114" i="522"/>
  <c r="Q114" i="522"/>
  <c r="AN114" i="522"/>
  <c r="AQ114" i="522" s="1"/>
  <c r="P114" i="522"/>
  <c r="S114" i="522" s="1"/>
  <c r="BB114" i="522"/>
  <c r="AD114" i="522"/>
  <c r="AG114" i="522"/>
  <c r="M114" i="522"/>
  <c r="AF114" i="522"/>
  <c r="AI114" i="522" s="1"/>
  <c r="L114" i="522"/>
  <c r="O114" i="522" s="1"/>
  <c r="R114" i="522"/>
  <c r="X114" i="522"/>
  <c r="AA114" i="522" s="1"/>
  <c r="AS114" i="522"/>
  <c r="U114" i="522"/>
  <c r="AL114" i="522"/>
  <c r="AR114" i="522"/>
  <c r="AU114" i="522" s="1"/>
  <c r="H114" i="526"/>
  <c r="AH114" i="526"/>
  <c r="B114" i="526"/>
  <c r="Y114" i="526"/>
  <c r="G114" i="526"/>
  <c r="Z114" i="526"/>
  <c r="D114" i="539" s="1"/>
  <c r="I114" i="526"/>
  <c r="Y118" i="521"/>
  <c r="AD118" i="521"/>
  <c r="AI118" i="521"/>
  <c r="AE118" i="521"/>
  <c r="B118" i="521"/>
  <c r="Z118" i="521"/>
  <c r="K122" i="527"/>
  <c r="I122" i="527"/>
  <c r="B122" i="527"/>
  <c r="F122" i="527" s="1"/>
  <c r="AL115" i="522"/>
  <c r="V115" i="522"/>
  <c r="AK115" i="522"/>
  <c r="U115" i="522"/>
  <c r="AV115" i="522"/>
  <c r="D115" i="526" s="1"/>
  <c r="AF115" i="522"/>
  <c r="AI115" i="522" s="1"/>
  <c r="P115" i="522"/>
  <c r="S115" i="522" s="1"/>
  <c r="BC115" i="522"/>
  <c r="BB115" i="522"/>
  <c r="AH115" i="522"/>
  <c r="R115" i="522"/>
  <c r="AW115" i="522"/>
  <c r="AG115" i="522"/>
  <c r="Q115" i="522"/>
  <c r="AR115" i="522"/>
  <c r="AU115" i="522" s="1"/>
  <c r="AB115" i="522"/>
  <c r="AE115" i="522" s="1"/>
  <c r="L115" i="522"/>
  <c r="O115" i="522" s="1"/>
  <c r="AT115" i="522"/>
  <c r="AD115" i="522"/>
  <c r="N115" i="522"/>
  <c r="AS115" i="522"/>
  <c r="AC115" i="522"/>
  <c r="M115" i="522"/>
  <c r="AN115" i="522"/>
  <c r="AQ115" i="522" s="1"/>
  <c r="X115" i="522"/>
  <c r="AA115" i="522" s="1"/>
  <c r="H115" i="522"/>
  <c r="K115" i="522" s="1"/>
  <c r="AP115" i="522"/>
  <c r="Z115" i="522"/>
  <c r="J115" i="522"/>
  <c r="AO115" i="522"/>
  <c r="Y115" i="522"/>
  <c r="I115" i="522"/>
  <c r="AJ115" i="522"/>
  <c r="AM115" i="522" s="1"/>
  <c r="T115" i="522"/>
  <c r="W115" i="522" s="1"/>
  <c r="B115" i="522"/>
  <c r="Z115" i="526"/>
  <c r="D115" i="539" s="1"/>
  <c r="G115" i="526"/>
  <c r="Y115" i="526"/>
  <c r="I115" i="526"/>
  <c r="H115" i="526"/>
  <c r="AH115" i="526"/>
  <c r="B115" i="526"/>
  <c r="I119" i="527"/>
  <c r="B119" i="527"/>
  <c r="F119" i="527" s="1"/>
  <c r="K119" i="527"/>
  <c r="AT127" i="522"/>
  <c r="AD127" i="522"/>
  <c r="N127" i="522"/>
  <c r="AS127" i="522"/>
  <c r="AC127" i="522"/>
  <c r="M127" i="522"/>
  <c r="AN127" i="522"/>
  <c r="AQ127" i="522" s="1"/>
  <c r="X127" i="522"/>
  <c r="AA127" i="522" s="1"/>
  <c r="H127" i="522"/>
  <c r="K127" i="522" s="1"/>
  <c r="AP127" i="522"/>
  <c r="Z127" i="522"/>
  <c r="J127" i="522"/>
  <c r="AO127" i="522"/>
  <c r="Y127" i="522"/>
  <c r="I127" i="522"/>
  <c r="AJ127" i="522"/>
  <c r="AM127" i="522" s="1"/>
  <c r="T127" i="522"/>
  <c r="W127" i="522" s="1"/>
  <c r="B127" i="522"/>
  <c r="AL127" i="522"/>
  <c r="V127" i="522"/>
  <c r="AK127" i="522"/>
  <c r="U127" i="522"/>
  <c r="AV127" i="522"/>
  <c r="D127" i="526" s="1"/>
  <c r="AF127" i="522"/>
  <c r="AI127" i="522" s="1"/>
  <c r="P127" i="522"/>
  <c r="S127" i="522" s="1"/>
  <c r="BC127" i="522"/>
  <c r="BB127" i="522"/>
  <c r="AH127" i="522"/>
  <c r="R127" i="522"/>
  <c r="AW127" i="522"/>
  <c r="AG127" i="522"/>
  <c r="Q127" i="522"/>
  <c r="AR127" i="522"/>
  <c r="AU127" i="522" s="1"/>
  <c r="AB127" i="522"/>
  <c r="AE127" i="522" s="1"/>
  <c r="L127" i="522"/>
  <c r="O127" i="522" s="1"/>
  <c r="Y130" i="521"/>
  <c r="AD130" i="521"/>
  <c r="AI130" i="521"/>
  <c r="AE130" i="521"/>
  <c r="Z130" i="521"/>
  <c r="B130" i="521"/>
  <c r="K130" i="527"/>
  <c r="I130" i="527"/>
  <c r="B130" i="527"/>
  <c r="F130" i="527" s="1"/>
  <c r="V124" i="473" l="1"/>
  <c r="V124" i="469"/>
  <c r="V108" i="473"/>
  <c r="V108" i="469"/>
  <c r="V120" i="473"/>
  <c r="V120" i="469"/>
  <c r="V116" i="473"/>
  <c r="V116" i="469"/>
  <c r="V123" i="473"/>
  <c r="V123" i="469"/>
  <c r="V127" i="473"/>
  <c r="V127" i="469"/>
  <c r="V111" i="473"/>
  <c r="V111" i="469"/>
  <c r="V119" i="473"/>
  <c r="V119" i="469"/>
  <c r="V115" i="473"/>
  <c r="V115" i="469"/>
  <c r="V126" i="473"/>
  <c r="V126" i="469"/>
  <c r="V121" i="469"/>
  <c r="V121" i="473"/>
  <c r="V118" i="473"/>
  <c r="V118" i="469"/>
  <c r="V117" i="469"/>
  <c r="V117" i="473"/>
  <c r="V74" i="469"/>
  <c r="V74" i="473"/>
  <c r="V110" i="473"/>
  <c r="V110" i="469"/>
  <c r="V129" i="469"/>
  <c r="V129" i="473"/>
  <c r="V113" i="469"/>
  <c r="V113" i="473"/>
  <c r="V122" i="473"/>
  <c r="V122" i="469"/>
  <c r="V130" i="473"/>
  <c r="V130" i="469"/>
  <c r="V125" i="469"/>
  <c r="V125" i="473"/>
  <c r="V109" i="469"/>
  <c r="V109" i="473"/>
  <c r="V114" i="473"/>
  <c r="V114" i="469"/>
  <c r="V128" i="473"/>
  <c r="V128" i="469"/>
  <c r="V112" i="473"/>
  <c r="V112" i="469"/>
  <c r="T115" i="528"/>
  <c r="S115" i="528"/>
  <c r="M115" i="528"/>
  <c r="Q115" i="528"/>
  <c r="K115" i="528"/>
  <c r="P115" i="528"/>
  <c r="J115" i="528"/>
  <c r="N115" i="528"/>
  <c r="T118" i="528"/>
  <c r="N118" i="528"/>
  <c r="S118" i="528"/>
  <c r="M118" i="528"/>
  <c r="Q118" i="528"/>
  <c r="K118" i="528"/>
  <c r="P118" i="528"/>
  <c r="J118" i="528"/>
  <c r="S112" i="528"/>
  <c r="M112" i="528"/>
  <c r="Q112" i="528"/>
  <c r="K112" i="528"/>
  <c r="P112" i="528"/>
  <c r="J112" i="528"/>
  <c r="T112" i="528"/>
  <c r="N112" i="528"/>
  <c r="S111" i="528"/>
  <c r="M111" i="528"/>
  <c r="Q111" i="528"/>
  <c r="K111" i="528"/>
  <c r="P111" i="528"/>
  <c r="J111" i="528"/>
  <c r="T111" i="528"/>
  <c r="N111" i="528"/>
  <c r="S109" i="528"/>
  <c r="M109" i="528"/>
  <c r="Q109" i="528"/>
  <c r="K109" i="528"/>
  <c r="P109" i="528"/>
  <c r="J109" i="528"/>
  <c r="T109" i="528"/>
  <c r="N109" i="528"/>
  <c r="S108" i="528"/>
  <c r="M108" i="528"/>
  <c r="Q108" i="528"/>
  <c r="K108" i="528"/>
  <c r="P108" i="528"/>
  <c r="J108" i="528"/>
  <c r="T108" i="528"/>
  <c r="N108" i="528"/>
  <c r="T116" i="528"/>
  <c r="N116" i="528"/>
  <c r="S116" i="528"/>
  <c r="M116" i="528"/>
  <c r="Q116" i="528"/>
  <c r="K116" i="528"/>
  <c r="P116" i="528"/>
  <c r="J116" i="528"/>
  <c r="S113" i="528"/>
  <c r="M113" i="528"/>
  <c r="Q113" i="528"/>
  <c r="K113" i="528"/>
  <c r="P113" i="528"/>
  <c r="J113" i="528"/>
  <c r="T113" i="528"/>
  <c r="N113" i="528"/>
  <c r="T127" i="528"/>
  <c r="N127" i="528"/>
  <c r="S127" i="528"/>
  <c r="M127" i="528"/>
  <c r="Q127" i="528"/>
  <c r="K127" i="528"/>
  <c r="P127" i="528"/>
  <c r="J127" i="528"/>
  <c r="T125" i="528"/>
  <c r="N125" i="528"/>
  <c r="S125" i="528"/>
  <c r="M125" i="528"/>
  <c r="Q125" i="528"/>
  <c r="K125" i="528"/>
  <c r="P125" i="528"/>
  <c r="J125" i="528"/>
  <c r="T126" i="528"/>
  <c r="N126" i="528"/>
  <c r="S126" i="528"/>
  <c r="M126" i="528"/>
  <c r="Q126" i="528"/>
  <c r="K126" i="528"/>
  <c r="P126" i="528"/>
  <c r="J126" i="528"/>
  <c r="T130" i="528"/>
  <c r="N130" i="528"/>
  <c r="S130" i="528"/>
  <c r="M130" i="528"/>
  <c r="Q130" i="528"/>
  <c r="K130" i="528"/>
  <c r="P130" i="528"/>
  <c r="J130" i="528"/>
  <c r="T119" i="528"/>
  <c r="N119" i="528"/>
  <c r="S119" i="528"/>
  <c r="M119" i="528"/>
  <c r="Q119" i="528"/>
  <c r="K119" i="528"/>
  <c r="P119" i="528"/>
  <c r="J119" i="528"/>
  <c r="T122" i="528"/>
  <c r="N122" i="528"/>
  <c r="S122" i="528"/>
  <c r="M122" i="528"/>
  <c r="Q122" i="528"/>
  <c r="K122" i="528"/>
  <c r="P122" i="528"/>
  <c r="J122" i="528"/>
  <c r="P74" i="528"/>
  <c r="J74" i="528"/>
  <c r="T74" i="528"/>
  <c r="N74" i="528"/>
  <c r="M74" i="528"/>
  <c r="Q74" i="528"/>
  <c r="K74" i="528"/>
  <c r="S74" i="528"/>
  <c r="S114" i="528"/>
  <c r="M114" i="528"/>
  <c r="Q114" i="528"/>
  <c r="K114" i="528"/>
  <c r="P114" i="528"/>
  <c r="J114" i="528"/>
  <c r="T114" i="528"/>
  <c r="N114" i="528"/>
  <c r="S110" i="528"/>
  <c r="M110" i="528"/>
  <c r="Q110" i="528"/>
  <c r="K110" i="528"/>
  <c r="P110" i="528"/>
  <c r="J110" i="528"/>
  <c r="T110" i="528"/>
  <c r="N110" i="528"/>
  <c r="T120" i="528"/>
  <c r="N120" i="528"/>
  <c r="S120" i="528"/>
  <c r="M120" i="528"/>
  <c r="Q120" i="528"/>
  <c r="K120" i="528"/>
  <c r="P120" i="528"/>
  <c r="J120" i="528"/>
  <c r="T117" i="528"/>
  <c r="N117" i="528"/>
  <c r="S117" i="528"/>
  <c r="M117" i="528"/>
  <c r="Q117" i="528"/>
  <c r="K117" i="528"/>
  <c r="P117" i="528"/>
  <c r="J117" i="528"/>
  <c r="T129" i="528"/>
  <c r="N129" i="528"/>
  <c r="S129" i="528"/>
  <c r="M129" i="528"/>
  <c r="Q129" i="528"/>
  <c r="K129" i="528"/>
  <c r="P129" i="528"/>
  <c r="J129" i="528"/>
  <c r="T128" i="528"/>
  <c r="N128" i="528"/>
  <c r="S128" i="528"/>
  <c r="M128" i="528"/>
  <c r="Q128" i="528"/>
  <c r="K128" i="528"/>
  <c r="P128" i="528"/>
  <c r="J128" i="528"/>
  <c r="T124" i="528"/>
  <c r="N124" i="528"/>
  <c r="S124" i="528"/>
  <c r="M124" i="528"/>
  <c r="Q124" i="528"/>
  <c r="K124" i="528"/>
  <c r="P124" i="528"/>
  <c r="J124" i="528"/>
  <c r="T123" i="528"/>
  <c r="N123" i="528"/>
  <c r="S123" i="528"/>
  <c r="M123" i="528"/>
  <c r="Q123" i="528"/>
  <c r="K123" i="528"/>
  <c r="P123" i="528"/>
  <c r="J123" i="528"/>
  <c r="T121" i="528"/>
  <c r="N121" i="528"/>
  <c r="S121" i="528"/>
  <c r="M121" i="528"/>
  <c r="Q121" i="528"/>
  <c r="K121" i="528"/>
  <c r="P121" i="528"/>
  <c r="J121" i="528"/>
  <c r="Z128" i="528"/>
  <c r="AC128" i="528"/>
  <c r="U128" i="528"/>
  <c r="Z127" i="528"/>
  <c r="U127" i="528"/>
  <c r="AC127" i="528"/>
  <c r="Z125" i="528"/>
  <c r="U125" i="528"/>
  <c r="AC125" i="528"/>
  <c r="Z120" i="528"/>
  <c r="AC120" i="528"/>
  <c r="U120" i="528"/>
  <c r="Z109" i="528"/>
  <c r="AC109" i="528"/>
  <c r="U109" i="528"/>
  <c r="Z108" i="528"/>
  <c r="AC108" i="528"/>
  <c r="U108" i="528"/>
  <c r="Z123" i="528"/>
  <c r="AC123" i="528"/>
  <c r="U123" i="528"/>
  <c r="Z126" i="528"/>
  <c r="U126" i="528"/>
  <c r="AC126" i="528"/>
  <c r="Z110" i="528"/>
  <c r="U110" i="528"/>
  <c r="AC110" i="528"/>
  <c r="Z121" i="528"/>
  <c r="AC121" i="528"/>
  <c r="U121" i="528"/>
  <c r="Z130" i="528"/>
  <c r="U130" i="528"/>
  <c r="AC130" i="528"/>
  <c r="Z74" i="528"/>
  <c r="U74" i="528"/>
  <c r="AC74" i="528"/>
  <c r="Z117" i="528"/>
  <c r="AC117" i="528"/>
  <c r="U117" i="528"/>
  <c r="Z114" i="528"/>
  <c r="U114" i="528"/>
  <c r="AC114" i="528"/>
  <c r="Z124" i="528"/>
  <c r="AC124" i="528"/>
  <c r="U124" i="528"/>
  <c r="Z119" i="528"/>
  <c r="U119" i="528"/>
  <c r="AC119" i="528"/>
  <c r="Z122" i="528"/>
  <c r="U122" i="528"/>
  <c r="AC122" i="528"/>
  <c r="Z116" i="528"/>
  <c r="AC116" i="528"/>
  <c r="U116" i="528"/>
  <c r="Z115" i="528"/>
  <c r="AC115" i="528"/>
  <c r="U115" i="528"/>
  <c r="Z118" i="528"/>
  <c r="U118" i="528"/>
  <c r="AC118" i="528"/>
  <c r="Z129" i="528"/>
  <c r="AC129" i="528"/>
  <c r="U129" i="528"/>
  <c r="Z113" i="528"/>
  <c r="AC113" i="528"/>
  <c r="U113" i="528"/>
  <c r="Z112" i="528"/>
  <c r="AC112" i="528"/>
  <c r="U112" i="528"/>
  <c r="Z111" i="528"/>
  <c r="U111" i="528"/>
  <c r="AC111" i="528"/>
  <c r="B130" i="528"/>
  <c r="F130" i="528"/>
  <c r="H130" i="528"/>
  <c r="G130" i="528"/>
  <c r="F119" i="528"/>
  <c r="G119" i="528"/>
  <c r="H119" i="528"/>
  <c r="B119" i="528"/>
  <c r="E74" i="528"/>
  <c r="E117" i="528"/>
  <c r="E112" i="528"/>
  <c r="E111" i="528"/>
  <c r="E114" i="528"/>
  <c r="E125" i="528"/>
  <c r="E124" i="528"/>
  <c r="G108" i="528"/>
  <c r="H108" i="528"/>
  <c r="B108" i="528"/>
  <c r="F108" i="528"/>
  <c r="E119" i="528"/>
  <c r="E122" i="528"/>
  <c r="G116" i="528"/>
  <c r="H116" i="528"/>
  <c r="B116" i="528"/>
  <c r="F116" i="528"/>
  <c r="G129" i="528"/>
  <c r="H129" i="528"/>
  <c r="B129" i="528"/>
  <c r="F129" i="528"/>
  <c r="E129" i="528"/>
  <c r="E113" i="528"/>
  <c r="E127" i="528"/>
  <c r="E109" i="528"/>
  <c r="G124" i="528"/>
  <c r="H124" i="528"/>
  <c r="B124" i="528"/>
  <c r="F124" i="528"/>
  <c r="E126" i="528"/>
  <c r="B126" i="528"/>
  <c r="F126" i="528"/>
  <c r="H126" i="528"/>
  <c r="G126" i="528"/>
  <c r="G110" i="528"/>
  <c r="H110" i="528"/>
  <c r="B110" i="528"/>
  <c r="F110" i="528"/>
  <c r="E121" i="528"/>
  <c r="G120" i="528"/>
  <c r="H120" i="528"/>
  <c r="B120" i="528"/>
  <c r="F120" i="528"/>
  <c r="G74" i="528"/>
  <c r="F74" i="528"/>
  <c r="B74" i="528"/>
  <c r="H74" i="528"/>
  <c r="H117" i="528"/>
  <c r="B117" i="528"/>
  <c r="F117" i="528"/>
  <c r="G117" i="528"/>
  <c r="E116" i="528"/>
  <c r="E115" i="528"/>
  <c r="E118" i="528"/>
  <c r="G118" i="528"/>
  <c r="B118" i="528"/>
  <c r="F118" i="528"/>
  <c r="H118" i="528"/>
  <c r="E128" i="528"/>
  <c r="G128" i="528"/>
  <c r="H128" i="528"/>
  <c r="B128" i="528"/>
  <c r="F128" i="528"/>
  <c r="H112" i="528"/>
  <c r="F112" i="528"/>
  <c r="G112" i="528"/>
  <c r="B112" i="528"/>
  <c r="F127" i="528"/>
  <c r="G127" i="528"/>
  <c r="H127" i="528"/>
  <c r="B127" i="528"/>
  <c r="F111" i="528"/>
  <c r="G111" i="528"/>
  <c r="H111" i="528"/>
  <c r="B111" i="528"/>
  <c r="G125" i="528"/>
  <c r="H125" i="528"/>
  <c r="B125" i="528"/>
  <c r="F125" i="528"/>
  <c r="E108" i="528"/>
  <c r="E123" i="528"/>
  <c r="E120" i="528"/>
  <c r="E130" i="528"/>
  <c r="G122" i="528"/>
  <c r="B122" i="528"/>
  <c r="F122" i="528"/>
  <c r="H122" i="528"/>
  <c r="F115" i="528"/>
  <c r="G115" i="528"/>
  <c r="H115" i="528"/>
  <c r="B115" i="528"/>
  <c r="G113" i="528"/>
  <c r="H113" i="528"/>
  <c r="B113" i="528"/>
  <c r="F113" i="528"/>
  <c r="G114" i="528"/>
  <c r="B114" i="528"/>
  <c r="F114" i="528"/>
  <c r="H114" i="528"/>
  <c r="G109" i="528"/>
  <c r="H109" i="528"/>
  <c r="B109" i="528"/>
  <c r="F109" i="528"/>
  <c r="G123" i="528"/>
  <c r="F123" i="528"/>
  <c r="H123" i="528"/>
  <c r="B123" i="528"/>
  <c r="E110" i="528"/>
  <c r="G121" i="528"/>
  <c r="H121" i="528"/>
  <c r="B121" i="528"/>
  <c r="F121" i="528"/>
  <c r="AJ31" i="477"/>
  <c r="BW29" i="477"/>
  <c r="AJ32" i="477"/>
  <c r="AJ33" i="477"/>
  <c r="AJ34" i="477"/>
  <c r="AJ35" i="477"/>
  <c r="AJ36" i="477"/>
  <c r="AJ37" i="477"/>
  <c r="AJ38" i="477"/>
  <c r="AJ39" i="477"/>
  <c r="AJ40" i="477"/>
  <c r="AJ41" i="477"/>
  <c r="AJ42" i="477"/>
  <c r="AJ43" i="477"/>
  <c r="AJ44" i="477"/>
  <c r="AJ45" i="477"/>
  <c r="AJ46" i="477"/>
  <c r="AJ47" i="477"/>
  <c r="AJ48" i="477"/>
  <c r="AJ49" i="477"/>
  <c r="AJ50" i="477"/>
  <c r="AJ51" i="477"/>
  <c r="AJ52" i="477"/>
  <c r="AJ53" i="477"/>
  <c r="AJ54" i="477"/>
  <c r="AJ55" i="477"/>
  <c r="AJ56" i="477"/>
  <c r="AJ57" i="477"/>
  <c r="AJ58" i="477"/>
  <c r="AJ59" i="477"/>
  <c r="AJ60" i="477"/>
  <c r="AJ61" i="477"/>
  <c r="AJ62" i="477"/>
  <c r="AJ63" i="477"/>
  <c r="AJ64" i="477"/>
  <c r="AJ65" i="477"/>
  <c r="AJ66" i="477"/>
  <c r="AJ67" i="477"/>
  <c r="AJ68" i="477"/>
  <c r="AJ69" i="477"/>
  <c r="AJ70" i="477"/>
  <c r="AJ71" i="477"/>
  <c r="AJ72" i="477"/>
  <c r="AJ73" i="477"/>
  <c r="AJ74" i="477"/>
  <c r="AJ75" i="477"/>
  <c r="AJ76" i="477"/>
  <c r="AJ77" i="477"/>
  <c r="AJ78" i="477"/>
  <c r="AJ79" i="477"/>
  <c r="AJ80" i="477"/>
  <c r="AJ81" i="477"/>
  <c r="AJ82" i="477"/>
  <c r="AJ83" i="477"/>
  <c r="AJ84" i="477"/>
  <c r="AJ85" i="477"/>
  <c r="AJ86" i="477"/>
  <c r="AJ87" i="477"/>
  <c r="AJ88" i="477"/>
  <c r="AJ89" i="477"/>
  <c r="AJ90" i="477"/>
  <c r="AJ91" i="477"/>
  <c r="AJ92" i="477"/>
  <c r="AJ93" i="477"/>
  <c r="AJ94" i="477"/>
  <c r="AJ95" i="477"/>
  <c r="AJ96" i="477"/>
  <c r="AJ97" i="477"/>
  <c r="AJ98" i="477"/>
  <c r="AJ99" i="477"/>
  <c r="AJ100" i="477"/>
  <c r="AJ101" i="477"/>
  <c r="AJ102" i="477"/>
  <c r="AJ103" i="477"/>
  <c r="AJ104" i="477"/>
  <c r="AJ105" i="477"/>
  <c r="AJ106" i="477"/>
  <c r="AJ107" i="477"/>
  <c r="AJ108" i="477"/>
  <c r="AJ109" i="477"/>
  <c r="AJ110" i="477"/>
  <c r="AJ111" i="477"/>
  <c r="AJ112" i="477"/>
  <c r="AJ113" i="477"/>
  <c r="AJ114" i="477"/>
  <c r="AJ115" i="477"/>
  <c r="AJ116" i="477"/>
  <c r="AJ117" i="477"/>
  <c r="AJ118" i="477"/>
  <c r="AJ119" i="477"/>
  <c r="AJ120" i="477"/>
  <c r="AJ121" i="477"/>
  <c r="AJ122" i="477"/>
  <c r="AJ123" i="477"/>
  <c r="AJ124" i="477"/>
  <c r="AJ125" i="477"/>
  <c r="AJ126" i="477"/>
  <c r="AJ127" i="477"/>
  <c r="AJ128" i="477"/>
  <c r="AJ129" i="477"/>
  <c r="AJ130" i="477"/>
  <c r="I123" i="528" l="1"/>
  <c r="L123" i="528" s="1"/>
  <c r="O123" i="528" s="1"/>
  <c r="R123" i="528" s="1"/>
  <c r="I118" i="528"/>
  <c r="L118" i="528" s="1"/>
  <c r="O118" i="528" s="1"/>
  <c r="R118" i="528" s="1"/>
  <c r="I110" i="528"/>
  <c r="L110" i="528" s="1"/>
  <c r="O110" i="528" s="1"/>
  <c r="R110" i="528" s="1"/>
  <c r="I121" i="528"/>
  <c r="L121" i="528" s="1"/>
  <c r="O121" i="528" s="1"/>
  <c r="R121" i="528" s="1"/>
  <c r="I109" i="528"/>
  <c r="L109" i="528" s="1"/>
  <c r="I113" i="528"/>
  <c r="L113" i="528" s="1"/>
  <c r="O113" i="528" s="1"/>
  <c r="R113" i="528" s="1"/>
  <c r="I115" i="528"/>
  <c r="L115" i="528" s="1"/>
  <c r="I125" i="528"/>
  <c r="L125" i="528" s="1"/>
  <c r="O125" i="528" s="1"/>
  <c r="R125" i="528" s="1"/>
  <c r="I112" i="528"/>
  <c r="L112" i="528" s="1"/>
  <c r="O112" i="528" s="1"/>
  <c r="R112" i="528" s="1"/>
  <c r="I128" i="528"/>
  <c r="L128" i="528" s="1"/>
  <c r="I108" i="528"/>
  <c r="L108" i="528" s="1"/>
  <c r="I119" i="528"/>
  <c r="L119" i="528" s="1"/>
  <c r="O119" i="528" s="1"/>
  <c r="I130" i="528"/>
  <c r="L130" i="528" s="1"/>
  <c r="O130" i="528" s="1"/>
  <c r="R130" i="528" s="1"/>
  <c r="I111" i="528"/>
  <c r="L111" i="528" s="1"/>
  <c r="I117" i="528"/>
  <c r="L117" i="528" s="1"/>
  <c r="O117" i="528" s="1"/>
  <c r="I126" i="528"/>
  <c r="L126" i="528" s="1"/>
  <c r="O126" i="528" s="1"/>
  <c r="R126" i="528" s="1"/>
  <c r="I124" i="528"/>
  <c r="L124" i="528" s="1"/>
  <c r="I116" i="528"/>
  <c r="L116" i="528" s="1"/>
  <c r="O116" i="528" s="1"/>
  <c r="I114" i="528"/>
  <c r="L114" i="528" s="1"/>
  <c r="I122" i="528"/>
  <c r="L122" i="528" s="1"/>
  <c r="O122" i="528" s="1"/>
  <c r="R122" i="528" s="1"/>
  <c r="I74" i="528"/>
  <c r="L74" i="528" s="1"/>
  <c r="O74" i="528" s="1"/>
  <c r="R74" i="528" s="1"/>
  <c r="I129" i="528"/>
  <c r="L129" i="528" s="1"/>
  <c r="O129" i="528" s="1"/>
  <c r="R129" i="528" s="1"/>
  <c r="I127" i="528"/>
  <c r="L127" i="528" s="1"/>
  <c r="I120" i="528"/>
  <c r="J111" i="529"/>
  <c r="H111" i="529"/>
  <c r="D111" i="530" s="1"/>
  <c r="G111" i="529"/>
  <c r="M111" i="529"/>
  <c r="L111" i="529"/>
  <c r="K111" i="529"/>
  <c r="F111" i="529"/>
  <c r="T111" i="532" s="1"/>
  <c r="H109" i="529"/>
  <c r="D109" i="530" s="1"/>
  <c r="J109" i="529"/>
  <c r="G109" i="529"/>
  <c r="K109" i="529"/>
  <c r="M109" i="529"/>
  <c r="F109" i="529"/>
  <c r="T109" i="532" s="1"/>
  <c r="L109" i="529"/>
  <c r="H114" i="529"/>
  <c r="D114" i="530" s="1"/>
  <c r="J114" i="529"/>
  <c r="L114" i="529"/>
  <c r="F114" i="529"/>
  <c r="T114" i="532" s="1"/>
  <c r="K114" i="529"/>
  <c r="G114" i="529"/>
  <c r="M114" i="529"/>
  <c r="J115" i="529"/>
  <c r="H115" i="529"/>
  <c r="D115" i="530" s="1"/>
  <c r="G115" i="529"/>
  <c r="M115" i="529"/>
  <c r="L115" i="529"/>
  <c r="K115" i="529"/>
  <c r="F115" i="529"/>
  <c r="T115" i="532" s="1"/>
  <c r="H125" i="529"/>
  <c r="D125" i="530" s="1"/>
  <c r="J125" i="529"/>
  <c r="G125" i="529"/>
  <c r="K125" i="529"/>
  <c r="M125" i="529"/>
  <c r="F125" i="529"/>
  <c r="T125" i="532" s="1"/>
  <c r="L125" i="529"/>
  <c r="J112" i="529"/>
  <c r="H112" i="529"/>
  <c r="D112" i="530" s="1"/>
  <c r="F112" i="529"/>
  <c r="T112" i="532" s="1"/>
  <c r="M112" i="529"/>
  <c r="G112" i="529"/>
  <c r="L112" i="529"/>
  <c r="K112" i="529"/>
  <c r="J128" i="529"/>
  <c r="H128" i="529"/>
  <c r="D128" i="530" s="1"/>
  <c r="F128" i="529"/>
  <c r="T128" i="532" s="1"/>
  <c r="M128" i="529"/>
  <c r="G128" i="529"/>
  <c r="L128" i="529"/>
  <c r="K128" i="529"/>
  <c r="H117" i="529"/>
  <c r="D117" i="530" s="1"/>
  <c r="J117" i="529"/>
  <c r="G117" i="529"/>
  <c r="K117" i="529"/>
  <c r="M117" i="529"/>
  <c r="F117" i="529"/>
  <c r="T117" i="532" s="1"/>
  <c r="L117" i="529"/>
  <c r="J124" i="529"/>
  <c r="H124" i="529"/>
  <c r="D124" i="530" s="1"/>
  <c r="F124" i="529"/>
  <c r="T124" i="532" s="1"/>
  <c r="M124" i="529"/>
  <c r="G124" i="529"/>
  <c r="L124" i="529"/>
  <c r="K124" i="529"/>
  <c r="J116" i="529"/>
  <c r="H116" i="529"/>
  <c r="D116" i="530" s="1"/>
  <c r="F116" i="529"/>
  <c r="T116" i="532" s="1"/>
  <c r="M116" i="529"/>
  <c r="G116" i="529"/>
  <c r="L116" i="529"/>
  <c r="K116" i="529"/>
  <c r="H121" i="529"/>
  <c r="D121" i="530" s="1"/>
  <c r="J121" i="529"/>
  <c r="G121" i="529"/>
  <c r="K121" i="529"/>
  <c r="M121" i="529"/>
  <c r="F121" i="529"/>
  <c r="T121" i="532" s="1"/>
  <c r="L121" i="529"/>
  <c r="J123" i="529"/>
  <c r="H123" i="529"/>
  <c r="D123" i="530" s="1"/>
  <c r="G123" i="529"/>
  <c r="M123" i="529"/>
  <c r="L123" i="529"/>
  <c r="K123" i="529"/>
  <c r="F123" i="529"/>
  <c r="T123" i="532" s="1"/>
  <c r="H113" i="529"/>
  <c r="D113" i="530" s="1"/>
  <c r="J113" i="529"/>
  <c r="G113" i="529"/>
  <c r="K113" i="529"/>
  <c r="M113" i="529"/>
  <c r="F113" i="529"/>
  <c r="T113" i="532" s="1"/>
  <c r="L113" i="529"/>
  <c r="H122" i="529"/>
  <c r="D122" i="530" s="1"/>
  <c r="J122" i="529"/>
  <c r="L122" i="529"/>
  <c r="F122" i="529"/>
  <c r="T122" i="532" s="1"/>
  <c r="K122" i="529"/>
  <c r="G122" i="529"/>
  <c r="M122" i="529"/>
  <c r="J127" i="529"/>
  <c r="H127" i="529"/>
  <c r="D127" i="530" s="1"/>
  <c r="G127" i="529"/>
  <c r="M127" i="529"/>
  <c r="L127" i="529"/>
  <c r="K127" i="529"/>
  <c r="F127" i="529"/>
  <c r="T127" i="532" s="1"/>
  <c r="H118" i="529"/>
  <c r="D118" i="530" s="1"/>
  <c r="J118" i="529"/>
  <c r="L118" i="529"/>
  <c r="F118" i="529"/>
  <c r="T118" i="532" s="1"/>
  <c r="K118" i="529"/>
  <c r="G118" i="529"/>
  <c r="M118" i="529"/>
  <c r="H74" i="529"/>
  <c r="D74" i="530" s="1"/>
  <c r="J74" i="529"/>
  <c r="L74" i="529"/>
  <c r="F74" i="529"/>
  <c r="T74" i="532" s="1"/>
  <c r="G74" i="529"/>
  <c r="M74" i="529"/>
  <c r="K74" i="529"/>
  <c r="H110" i="529"/>
  <c r="D110" i="530" s="1"/>
  <c r="J110" i="529"/>
  <c r="L110" i="529"/>
  <c r="F110" i="529"/>
  <c r="T110" i="532" s="1"/>
  <c r="K110" i="529"/>
  <c r="G110" i="529"/>
  <c r="M110" i="529"/>
  <c r="J108" i="529"/>
  <c r="H108" i="529"/>
  <c r="D108" i="530" s="1"/>
  <c r="F108" i="529"/>
  <c r="T108" i="532" s="1"/>
  <c r="M108" i="529"/>
  <c r="G108" i="529"/>
  <c r="L108" i="529"/>
  <c r="K108" i="529"/>
  <c r="H130" i="529"/>
  <c r="D130" i="530" s="1"/>
  <c r="J130" i="529"/>
  <c r="L130" i="529"/>
  <c r="F130" i="529"/>
  <c r="T130" i="532" s="1"/>
  <c r="K130" i="529"/>
  <c r="G130" i="529"/>
  <c r="M130" i="529"/>
  <c r="J120" i="529"/>
  <c r="H120" i="529"/>
  <c r="D120" i="530" s="1"/>
  <c r="F120" i="529"/>
  <c r="T120" i="532" s="1"/>
  <c r="M120" i="529"/>
  <c r="G120" i="529"/>
  <c r="L120" i="529"/>
  <c r="K120" i="529"/>
  <c r="H126" i="529"/>
  <c r="D126" i="530" s="1"/>
  <c r="J126" i="529"/>
  <c r="L126" i="529"/>
  <c r="F126" i="529"/>
  <c r="T126" i="532" s="1"/>
  <c r="K126" i="529"/>
  <c r="G126" i="529"/>
  <c r="M126" i="529"/>
  <c r="H129" i="529"/>
  <c r="D129" i="530" s="1"/>
  <c r="J129" i="529"/>
  <c r="G129" i="529"/>
  <c r="K129" i="529"/>
  <c r="M129" i="529"/>
  <c r="F129" i="529"/>
  <c r="T129" i="532" s="1"/>
  <c r="L129" i="529"/>
  <c r="J119" i="529"/>
  <c r="H119" i="529"/>
  <c r="D119" i="530" s="1"/>
  <c r="G119" i="529"/>
  <c r="M119" i="529"/>
  <c r="L119" i="529"/>
  <c r="K119" i="529"/>
  <c r="F119" i="529"/>
  <c r="T119" i="532" s="1"/>
  <c r="D123" i="529"/>
  <c r="D109" i="529"/>
  <c r="D114" i="529"/>
  <c r="D122" i="529"/>
  <c r="D116" i="529"/>
  <c r="D119" i="529"/>
  <c r="D121" i="529"/>
  <c r="D125" i="529"/>
  <c r="D111" i="529"/>
  <c r="D126" i="529"/>
  <c r="D124" i="529"/>
  <c r="D130" i="529"/>
  <c r="D128" i="529"/>
  <c r="D117" i="529"/>
  <c r="D74" i="529"/>
  <c r="D120" i="529"/>
  <c r="D110" i="529"/>
  <c r="D108" i="529"/>
  <c r="D113" i="529"/>
  <c r="D115" i="529"/>
  <c r="D127" i="529"/>
  <c r="D112" i="529"/>
  <c r="D118" i="529"/>
  <c r="D129" i="529"/>
  <c r="J74" i="539"/>
  <c r="G74" i="539"/>
  <c r="AE74" i="539"/>
  <c r="Z74" i="539"/>
  <c r="L74" i="539"/>
  <c r="AF74" i="539"/>
  <c r="K74" i="539"/>
  <c r="I74" i="539"/>
  <c r="B74" i="539"/>
  <c r="Y74" i="539"/>
  <c r="I120" i="539"/>
  <c r="AE120" i="539"/>
  <c r="Z120" i="539"/>
  <c r="Y120" i="539"/>
  <c r="K120" i="539"/>
  <c r="B120" i="539"/>
  <c r="G120" i="539"/>
  <c r="J120" i="539"/>
  <c r="L120" i="539"/>
  <c r="AF120" i="539"/>
  <c r="L118" i="539"/>
  <c r="Z118" i="539"/>
  <c r="AF118" i="539"/>
  <c r="K118" i="539"/>
  <c r="B118" i="539"/>
  <c r="AE118" i="539"/>
  <c r="I118" i="539"/>
  <c r="Y118" i="539"/>
  <c r="G118" i="539"/>
  <c r="J118" i="539"/>
  <c r="AF122" i="539"/>
  <c r="K122" i="539"/>
  <c r="B122" i="539"/>
  <c r="AE122" i="539"/>
  <c r="I122" i="539"/>
  <c r="Z122" i="539"/>
  <c r="Y122" i="539"/>
  <c r="L122" i="539"/>
  <c r="G122" i="539"/>
  <c r="J122" i="539"/>
  <c r="Y130" i="539"/>
  <c r="G130" i="539"/>
  <c r="L130" i="539"/>
  <c r="Z130" i="539"/>
  <c r="I130" i="539"/>
  <c r="AE130" i="539"/>
  <c r="AF130" i="539"/>
  <c r="B130" i="539"/>
  <c r="K130" i="539"/>
  <c r="J130" i="539"/>
  <c r="I112" i="539"/>
  <c r="AE112" i="539"/>
  <c r="Z112" i="539"/>
  <c r="Y112" i="539"/>
  <c r="K112" i="539"/>
  <c r="B112" i="539"/>
  <c r="J112" i="539"/>
  <c r="G112" i="539"/>
  <c r="AF112" i="539"/>
  <c r="L112" i="539"/>
  <c r="K108" i="539"/>
  <c r="I108" i="539"/>
  <c r="AF108" i="539"/>
  <c r="J108" i="539"/>
  <c r="L108" i="539"/>
  <c r="Y108" i="539"/>
  <c r="B108" i="539"/>
  <c r="G108" i="539"/>
  <c r="Z108" i="539"/>
  <c r="AE108" i="539"/>
  <c r="L117" i="539"/>
  <c r="B117" i="539"/>
  <c r="J117" i="539"/>
  <c r="AE117" i="539"/>
  <c r="I117" i="539"/>
  <c r="K117" i="539"/>
  <c r="AF117" i="539"/>
  <c r="Y117" i="539"/>
  <c r="Z117" i="539"/>
  <c r="G117" i="539"/>
  <c r="I116" i="539"/>
  <c r="AE116" i="539"/>
  <c r="Z116" i="539"/>
  <c r="K116" i="539"/>
  <c r="B116" i="539"/>
  <c r="Y116" i="539"/>
  <c r="AF116" i="539"/>
  <c r="G116" i="539"/>
  <c r="J116" i="539"/>
  <c r="L116" i="539"/>
  <c r="J109" i="539"/>
  <c r="G109" i="539"/>
  <c r="L109" i="539"/>
  <c r="Y109" i="539"/>
  <c r="B109" i="539"/>
  <c r="AF109" i="539"/>
  <c r="Z109" i="539"/>
  <c r="K109" i="539"/>
  <c r="AE109" i="539"/>
  <c r="I109" i="539"/>
  <c r="G127" i="539"/>
  <c r="AE127" i="539"/>
  <c r="AF127" i="539"/>
  <c r="L127" i="539"/>
  <c r="I127" i="539"/>
  <c r="Y127" i="539"/>
  <c r="B127" i="539"/>
  <c r="Z127" i="539"/>
  <c r="J127" i="539"/>
  <c r="K127" i="539"/>
  <c r="AE124" i="539"/>
  <c r="Z124" i="539"/>
  <c r="Y124" i="539"/>
  <c r="B124" i="539"/>
  <c r="I124" i="539"/>
  <c r="K124" i="539"/>
  <c r="L124" i="539"/>
  <c r="G124" i="539"/>
  <c r="AF124" i="539"/>
  <c r="J124" i="539"/>
  <c r="L115" i="539"/>
  <c r="G115" i="539"/>
  <c r="Y115" i="539"/>
  <c r="J115" i="539"/>
  <c r="AE115" i="539"/>
  <c r="Z115" i="539"/>
  <c r="K115" i="539"/>
  <c r="AF115" i="539"/>
  <c r="I115" i="539"/>
  <c r="B115" i="539"/>
  <c r="Z129" i="539"/>
  <c r="J129" i="539"/>
  <c r="AF129" i="539"/>
  <c r="K129" i="539"/>
  <c r="Y129" i="539"/>
  <c r="L129" i="539"/>
  <c r="B129" i="539"/>
  <c r="I129" i="539"/>
  <c r="G129" i="539"/>
  <c r="AE129" i="539"/>
  <c r="AE114" i="539"/>
  <c r="I114" i="539"/>
  <c r="Y114" i="539"/>
  <c r="G114" i="539"/>
  <c r="AF114" i="539"/>
  <c r="B114" i="539"/>
  <c r="L114" i="539"/>
  <c r="K114" i="539"/>
  <c r="Z114" i="539"/>
  <c r="J114" i="539"/>
  <c r="Z121" i="539"/>
  <c r="J121" i="539"/>
  <c r="AF121" i="539"/>
  <c r="K121" i="539"/>
  <c r="AE121" i="539"/>
  <c r="Y121" i="539"/>
  <c r="L121" i="539"/>
  <c r="I121" i="539"/>
  <c r="G121" i="539"/>
  <c r="B121" i="539"/>
  <c r="Z111" i="539"/>
  <c r="J111" i="539"/>
  <c r="AF111" i="539"/>
  <c r="I111" i="539"/>
  <c r="G111" i="539"/>
  <c r="AE111" i="539"/>
  <c r="B111" i="539"/>
  <c r="Y111" i="539"/>
  <c r="K111" i="539"/>
  <c r="L111" i="539"/>
  <c r="L123" i="539"/>
  <c r="G123" i="539"/>
  <c r="AF123" i="539"/>
  <c r="AE123" i="539"/>
  <c r="B123" i="539"/>
  <c r="J123" i="539"/>
  <c r="K123" i="539"/>
  <c r="I123" i="539"/>
  <c r="Z123" i="539"/>
  <c r="Y123" i="539"/>
  <c r="Y128" i="539"/>
  <c r="B128" i="539"/>
  <c r="K128" i="539"/>
  <c r="AE128" i="539"/>
  <c r="Z128" i="539"/>
  <c r="I128" i="539"/>
  <c r="AF128" i="539"/>
  <c r="G128" i="539"/>
  <c r="L128" i="539"/>
  <c r="J128" i="539"/>
  <c r="AE126" i="539"/>
  <c r="I126" i="539"/>
  <c r="Y126" i="539"/>
  <c r="G126" i="539"/>
  <c r="L126" i="539"/>
  <c r="Z126" i="539"/>
  <c r="K126" i="539"/>
  <c r="B126" i="539"/>
  <c r="AF126" i="539"/>
  <c r="J126" i="539"/>
  <c r="Z113" i="539"/>
  <c r="J113" i="539"/>
  <c r="AF113" i="539"/>
  <c r="G113" i="539"/>
  <c r="I113" i="539"/>
  <c r="L113" i="539"/>
  <c r="Y113" i="539"/>
  <c r="B113" i="539"/>
  <c r="K113" i="539"/>
  <c r="AE113" i="539"/>
  <c r="AF110" i="539"/>
  <c r="K110" i="539"/>
  <c r="B110" i="539"/>
  <c r="AE110" i="539"/>
  <c r="I110" i="539"/>
  <c r="L110" i="539"/>
  <c r="G110" i="539"/>
  <c r="Z110" i="539"/>
  <c r="Y110" i="539"/>
  <c r="J110" i="539"/>
  <c r="AF119" i="539"/>
  <c r="L119" i="539"/>
  <c r="G119" i="539"/>
  <c r="AE119" i="539"/>
  <c r="Z119" i="539"/>
  <c r="B119" i="539"/>
  <c r="I119" i="539"/>
  <c r="J119" i="539"/>
  <c r="K119" i="539"/>
  <c r="Y119" i="539"/>
  <c r="Z125" i="539"/>
  <c r="J125" i="539"/>
  <c r="AF125" i="539"/>
  <c r="K125" i="539"/>
  <c r="AE125" i="539"/>
  <c r="Y125" i="539"/>
  <c r="L125" i="539"/>
  <c r="I125" i="539"/>
  <c r="G125" i="539"/>
  <c r="B125" i="539"/>
  <c r="B123" i="529"/>
  <c r="B113" i="529"/>
  <c r="B128" i="529"/>
  <c r="B74" i="529"/>
  <c r="B124" i="529"/>
  <c r="B121" i="529"/>
  <c r="B114" i="529"/>
  <c r="B122" i="529"/>
  <c r="B126" i="529"/>
  <c r="B129" i="529"/>
  <c r="B108" i="529"/>
  <c r="B109" i="529"/>
  <c r="B115" i="529"/>
  <c r="B125" i="529"/>
  <c r="B127" i="529"/>
  <c r="B120" i="529"/>
  <c r="B111" i="529"/>
  <c r="B112" i="529"/>
  <c r="B118" i="529"/>
  <c r="B117" i="529"/>
  <c r="B110" i="529"/>
  <c r="B116" i="529"/>
  <c r="B119" i="529"/>
  <c r="B130" i="529"/>
  <c r="O124" i="528" l="1"/>
  <c r="R124" i="528" s="1"/>
  <c r="O114" i="528"/>
  <c r="R114" i="528" s="1"/>
  <c r="O109" i="528"/>
  <c r="R109" i="528" s="1"/>
  <c r="R119" i="528"/>
  <c r="O108" i="528"/>
  <c r="R108" i="528" s="1"/>
  <c r="O115" i="528"/>
  <c r="R115" i="528" s="1"/>
  <c r="O111" i="528"/>
  <c r="R111" i="528" s="1"/>
  <c r="R116" i="528"/>
  <c r="R117" i="528"/>
  <c r="O128" i="528"/>
  <c r="R128" i="528" s="1"/>
  <c r="L120" i="528"/>
  <c r="O120" i="528" s="1"/>
  <c r="O127" i="528"/>
  <c r="R127" i="528" s="1"/>
  <c r="J117" i="530"/>
  <c r="G117" i="530"/>
  <c r="F117" i="530"/>
  <c r="K117" i="530"/>
  <c r="I117" i="530"/>
  <c r="L117" i="530"/>
  <c r="J130" i="530"/>
  <c r="G130" i="530"/>
  <c r="F130" i="530"/>
  <c r="I130" i="530"/>
  <c r="L130" i="530"/>
  <c r="K130" i="530"/>
  <c r="J116" i="530"/>
  <c r="G116" i="530"/>
  <c r="F116" i="530"/>
  <c r="L116" i="530"/>
  <c r="K116" i="530"/>
  <c r="I116" i="530"/>
  <c r="J118" i="530"/>
  <c r="G118" i="530"/>
  <c r="F118" i="530"/>
  <c r="I118" i="530"/>
  <c r="L118" i="530"/>
  <c r="K118" i="530"/>
  <c r="G111" i="530"/>
  <c r="J111" i="530"/>
  <c r="F111" i="530"/>
  <c r="K111" i="530"/>
  <c r="L111" i="530"/>
  <c r="I111" i="530"/>
  <c r="J125" i="530"/>
  <c r="F125" i="530"/>
  <c r="G125" i="530"/>
  <c r="I125" i="530"/>
  <c r="L125" i="530"/>
  <c r="K125" i="530"/>
  <c r="J108" i="530"/>
  <c r="F108" i="530"/>
  <c r="G108" i="530"/>
  <c r="L108" i="530"/>
  <c r="K108" i="530"/>
  <c r="I108" i="530"/>
  <c r="J129" i="530"/>
  <c r="G129" i="530"/>
  <c r="F129" i="530"/>
  <c r="L129" i="530"/>
  <c r="K129" i="530"/>
  <c r="I129" i="530"/>
  <c r="J121" i="530"/>
  <c r="F121" i="530"/>
  <c r="G121" i="530"/>
  <c r="I121" i="530"/>
  <c r="L121" i="530"/>
  <c r="K121" i="530"/>
  <c r="J128" i="530"/>
  <c r="G128" i="530"/>
  <c r="F128" i="530"/>
  <c r="L128" i="530"/>
  <c r="I128" i="530"/>
  <c r="K128" i="530"/>
  <c r="G119" i="530"/>
  <c r="J119" i="530"/>
  <c r="F119" i="530"/>
  <c r="K119" i="530"/>
  <c r="I119" i="530"/>
  <c r="L119" i="530"/>
  <c r="J127" i="530"/>
  <c r="G127" i="530"/>
  <c r="F127" i="530"/>
  <c r="K127" i="530"/>
  <c r="L127" i="530"/>
  <c r="I127" i="530"/>
  <c r="G115" i="530"/>
  <c r="J115" i="530"/>
  <c r="F115" i="530"/>
  <c r="K115" i="530"/>
  <c r="L115" i="530"/>
  <c r="I115" i="530"/>
  <c r="J109" i="530"/>
  <c r="G109" i="530"/>
  <c r="F109" i="530"/>
  <c r="L109" i="530"/>
  <c r="I109" i="530"/>
  <c r="K109" i="530"/>
  <c r="J126" i="530"/>
  <c r="G126" i="530"/>
  <c r="F126" i="530"/>
  <c r="I126" i="530"/>
  <c r="K126" i="530"/>
  <c r="L126" i="530"/>
  <c r="J122" i="530"/>
  <c r="G122" i="530"/>
  <c r="F122" i="530"/>
  <c r="I122" i="530"/>
  <c r="L122" i="530"/>
  <c r="K122" i="530"/>
  <c r="J124" i="530"/>
  <c r="F124" i="530"/>
  <c r="G124" i="530"/>
  <c r="L124" i="530"/>
  <c r="K124" i="530"/>
  <c r="I124" i="530"/>
  <c r="J74" i="530"/>
  <c r="G74" i="530"/>
  <c r="F74" i="530"/>
  <c r="L74" i="530"/>
  <c r="K74" i="530"/>
  <c r="I74" i="530"/>
  <c r="J123" i="530"/>
  <c r="G123" i="530"/>
  <c r="F123" i="530"/>
  <c r="K123" i="530"/>
  <c r="L123" i="530"/>
  <c r="I123" i="530"/>
  <c r="J110" i="530"/>
  <c r="G110" i="530"/>
  <c r="F110" i="530"/>
  <c r="I110" i="530"/>
  <c r="K110" i="530"/>
  <c r="L110" i="530"/>
  <c r="J112" i="530"/>
  <c r="F112" i="530"/>
  <c r="G112" i="530"/>
  <c r="L112" i="530"/>
  <c r="I112" i="530"/>
  <c r="K112" i="530"/>
  <c r="J114" i="530"/>
  <c r="G114" i="530"/>
  <c r="F114" i="530"/>
  <c r="I114" i="530"/>
  <c r="L114" i="530"/>
  <c r="K114" i="530"/>
  <c r="J120" i="530"/>
  <c r="F120" i="530"/>
  <c r="G120" i="530"/>
  <c r="L120" i="530"/>
  <c r="K120" i="530"/>
  <c r="I120" i="530"/>
  <c r="J113" i="530"/>
  <c r="F113" i="530"/>
  <c r="G113" i="530"/>
  <c r="L113" i="530"/>
  <c r="K113" i="530"/>
  <c r="I113" i="530"/>
  <c r="B118" i="530"/>
  <c r="B112" i="530"/>
  <c r="B127" i="530"/>
  <c r="B109" i="530"/>
  <c r="B108" i="530"/>
  <c r="B124" i="530"/>
  <c r="B129" i="530"/>
  <c r="B116" i="530"/>
  <c r="B111" i="530"/>
  <c r="B120" i="530"/>
  <c r="B125" i="530"/>
  <c r="B114" i="530"/>
  <c r="B74" i="530"/>
  <c r="B113" i="530"/>
  <c r="B130" i="530"/>
  <c r="B119" i="530"/>
  <c r="B110" i="530"/>
  <c r="B117" i="530"/>
  <c r="B115" i="530"/>
  <c r="B126" i="530"/>
  <c r="B122" i="530"/>
  <c r="B121" i="530"/>
  <c r="B128" i="530"/>
  <c r="B123" i="530"/>
  <c r="B220" i="1"/>
  <c r="B200" i="1"/>
  <c r="R120" i="528" l="1"/>
  <c r="F128" i="531"/>
  <c r="X128" i="531" s="1"/>
  <c r="P128" i="531"/>
  <c r="D128" i="531"/>
  <c r="R128" i="531"/>
  <c r="U128" i="531"/>
  <c r="S128" i="531"/>
  <c r="J128" i="531"/>
  <c r="E128" i="531"/>
  <c r="M128" i="531"/>
  <c r="B128" i="531"/>
  <c r="O128" i="531"/>
  <c r="H128" i="531"/>
  <c r="V128" i="531"/>
  <c r="W128" i="531" s="1"/>
  <c r="P128" i="532" s="1"/>
  <c r="L128" i="531"/>
  <c r="I128" i="531"/>
  <c r="D126" i="531"/>
  <c r="E126" i="531"/>
  <c r="M126" i="531"/>
  <c r="P126" i="531"/>
  <c r="U126" i="531"/>
  <c r="S126" i="531"/>
  <c r="B126" i="531"/>
  <c r="L126" i="531"/>
  <c r="O126" i="531"/>
  <c r="I126" i="531"/>
  <c r="V126" i="531"/>
  <c r="W126" i="531" s="1"/>
  <c r="P126" i="532" s="1"/>
  <c r="H126" i="531"/>
  <c r="J126" i="531"/>
  <c r="R126" i="531"/>
  <c r="F126" i="531"/>
  <c r="X126" i="531" s="1"/>
  <c r="U115" i="531"/>
  <c r="O115" i="531"/>
  <c r="H115" i="531"/>
  <c r="V115" i="531"/>
  <c r="W115" i="531" s="1"/>
  <c r="P115" i="532" s="1"/>
  <c r="M115" i="531"/>
  <c r="J115" i="531"/>
  <c r="R115" i="531"/>
  <c r="P115" i="531"/>
  <c r="I115" i="531"/>
  <c r="D115" i="531"/>
  <c r="L115" i="531"/>
  <c r="F115" i="531"/>
  <c r="X115" i="531" s="1"/>
  <c r="E115" i="531"/>
  <c r="S115" i="531"/>
  <c r="B115" i="531"/>
  <c r="G123" i="531"/>
  <c r="G110" i="531"/>
  <c r="G119" i="531"/>
  <c r="G108" i="531"/>
  <c r="G112" i="531"/>
  <c r="F112" i="531"/>
  <c r="X112" i="531" s="1"/>
  <c r="D112" i="531"/>
  <c r="L112" i="531"/>
  <c r="V112" i="531"/>
  <c r="W112" i="531" s="1"/>
  <c r="P112" i="532" s="1"/>
  <c r="B112" i="531"/>
  <c r="S112" i="531"/>
  <c r="U112" i="531"/>
  <c r="R112" i="531"/>
  <c r="O112" i="531"/>
  <c r="M112" i="531"/>
  <c r="P112" i="531"/>
  <c r="J112" i="531"/>
  <c r="I112" i="531"/>
  <c r="H112" i="531"/>
  <c r="E112" i="531"/>
  <c r="P118" i="531"/>
  <c r="V118" i="531"/>
  <c r="W118" i="531" s="1"/>
  <c r="P118" i="532" s="1"/>
  <c r="E118" i="531"/>
  <c r="I118" i="531"/>
  <c r="L118" i="531"/>
  <c r="F118" i="531"/>
  <c r="X118" i="531" s="1"/>
  <c r="R118" i="531"/>
  <c r="S118" i="531"/>
  <c r="H118" i="531"/>
  <c r="U118" i="531"/>
  <c r="J118" i="531"/>
  <c r="O118" i="531"/>
  <c r="D118" i="531"/>
  <c r="M118" i="531"/>
  <c r="B118" i="531"/>
  <c r="G118" i="531"/>
  <c r="G128" i="531"/>
  <c r="G122" i="531"/>
  <c r="U122" i="531"/>
  <c r="P122" i="531"/>
  <c r="J122" i="531"/>
  <c r="B122" i="531"/>
  <c r="M122" i="531"/>
  <c r="L122" i="531"/>
  <c r="V122" i="531"/>
  <c r="W122" i="531" s="1"/>
  <c r="P122" i="532" s="1"/>
  <c r="S122" i="531"/>
  <c r="I122" i="531"/>
  <c r="H122" i="531"/>
  <c r="F122" i="531"/>
  <c r="X122" i="531" s="1"/>
  <c r="O122" i="531"/>
  <c r="E122" i="531"/>
  <c r="D122" i="531"/>
  <c r="R122" i="531"/>
  <c r="P119" i="531"/>
  <c r="V119" i="531"/>
  <c r="W119" i="531" s="1"/>
  <c r="P119" i="532" s="1"/>
  <c r="I119" i="531"/>
  <c r="S119" i="531"/>
  <c r="L119" i="531"/>
  <c r="R119" i="531"/>
  <c r="E119" i="531"/>
  <c r="J119" i="531"/>
  <c r="H119" i="531"/>
  <c r="U119" i="531"/>
  <c r="O119" i="531"/>
  <c r="B119" i="531"/>
  <c r="D119" i="531"/>
  <c r="M119" i="531"/>
  <c r="F119" i="531"/>
  <c r="X119" i="531" s="1"/>
  <c r="G113" i="531"/>
  <c r="G125" i="531"/>
  <c r="V125" i="531"/>
  <c r="W125" i="531" s="1"/>
  <c r="P125" i="532" s="1"/>
  <c r="P125" i="531"/>
  <c r="D125" i="531"/>
  <c r="B125" i="531"/>
  <c r="L125" i="531"/>
  <c r="J125" i="531"/>
  <c r="R125" i="531"/>
  <c r="S125" i="531"/>
  <c r="F125" i="531"/>
  <c r="X125" i="531" s="1"/>
  <c r="E125" i="531"/>
  <c r="M125" i="531"/>
  <c r="O125" i="531"/>
  <c r="U125" i="531"/>
  <c r="I125" i="531"/>
  <c r="H125" i="531"/>
  <c r="G116" i="531"/>
  <c r="F108" i="531"/>
  <c r="X108" i="531" s="1"/>
  <c r="E108" i="531"/>
  <c r="S108" i="531"/>
  <c r="V108" i="531"/>
  <c r="W108" i="531" s="1"/>
  <c r="P108" i="532" s="1"/>
  <c r="B108" i="531"/>
  <c r="O108" i="531"/>
  <c r="M108" i="531"/>
  <c r="R108" i="531"/>
  <c r="U108" i="531"/>
  <c r="I108" i="531"/>
  <c r="H108" i="531"/>
  <c r="J108" i="531"/>
  <c r="P108" i="531"/>
  <c r="D108" i="531"/>
  <c r="L108" i="531"/>
  <c r="G126" i="531"/>
  <c r="G115" i="531"/>
  <c r="P123" i="531"/>
  <c r="R123" i="531"/>
  <c r="V123" i="531"/>
  <c r="W123" i="531" s="1"/>
  <c r="P123" i="532" s="1"/>
  <c r="S123" i="531"/>
  <c r="L123" i="531"/>
  <c r="J123" i="531"/>
  <c r="M123" i="531"/>
  <c r="O123" i="531"/>
  <c r="H123" i="531"/>
  <c r="F123" i="531"/>
  <c r="X123" i="531" s="1"/>
  <c r="I123" i="531"/>
  <c r="U123" i="531"/>
  <c r="D123" i="531"/>
  <c r="B123" i="531"/>
  <c r="E123" i="531"/>
  <c r="G121" i="531"/>
  <c r="F121" i="531"/>
  <c r="X121" i="531" s="1"/>
  <c r="H121" i="531"/>
  <c r="M121" i="531"/>
  <c r="V121" i="531"/>
  <c r="W121" i="531" s="1"/>
  <c r="P121" i="532" s="1"/>
  <c r="B121" i="531"/>
  <c r="D121" i="531"/>
  <c r="I121" i="531"/>
  <c r="R121" i="531"/>
  <c r="P121" i="531"/>
  <c r="S121" i="531"/>
  <c r="U121" i="531"/>
  <c r="J121" i="531"/>
  <c r="L121" i="531"/>
  <c r="O121" i="531"/>
  <c r="E121" i="531"/>
  <c r="L130" i="531"/>
  <c r="I130" i="531"/>
  <c r="V130" i="531"/>
  <c r="W130" i="531" s="1"/>
  <c r="P130" i="532" s="1"/>
  <c r="J130" i="531"/>
  <c r="H130" i="531"/>
  <c r="R130" i="531"/>
  <c r="F130" i="531"/>
  <c r="X130" i="531" s="1"/>
  <c r="E130" i="531"/>
  <c r="D130" i="531"/>
  <c r="M130" i="531"/>
  <c r="U130" i="531"/>
  <c r="P130" i="531"/>
  <c r="S130" i="531"/>
  <c r="B130" i="531"/>
  <c r="O130" i="531"/>
  <c r="G130" i="531"/>
  <c r="O113" i="531"/>
  <c r="B113" i="531"/>
  <c r="U113" i="531"/>
  <c r="I113" i="531"/>
  <c r="R113" i="531"/>
  <c r="V113" i="531"/>
  <c r="W113" i="531" s="1"/>
  <c r="P113" i="532" s="1"/>
  <c r="P113" i="531"/>
  <c r="D113" i="531"/>
  <c r="M113" i="531"/>
  <c r="L113" i="531"/>
  <c r="J113" i="531"/>
  <c r="S113" i="531"/>
  <c r="H113" i="531"/>
  <c r="F113" i="531"/>
  <c r="X113" i="531" s="1"/>
  <c r="E113" i="531"/>
  <c r="J74" i="531"/>
  <c r="M74" i="531"/>
  <c r="O74" i="531"/>
  <c r="L74" i="531"/>
  <c r="F74" i="531"/>
  <c r="X74" i="531" s="1"/>
  <c r="I74" i="531"/>
  <c r="H74" i="531"/>
  <c r="V74" i="531"/>
  <c r="W74" i="531" s="1"/>
  <c r="P74" i="532" s="1"/>
  <c r="B74" i="531"/>
  <c r="E74" i="531"/>
  <c r="D74" i="531"/>
  <c r="R74" i="531"/>
  <c r="U74" i="531"/>
  <c r="S74" i="531"/>
  <c r="P74" i="531"/>
  <c r="G74" i="531"/>
  <c r="G114" i="531"/>
  <c r="D114" i="531"/>
  <c r="O114" i="531"/>
  <c r="I114" i="531"/>
  <c r="P114" i="531"/>
  <c r="V114" i="531"/>
  <c r="W114" i="531" s="1"/>
  <c r="P114" i="532" s="1"/>
  <c r="J114" i="531"/>
  <c r="R114" i="531"/>
  <c r="L114" i="531"/>
  <c r="F114" i="531"/>
  <c r="X114" i="531" s="1"/>
  <c r="E114" i="531"/>
  <c r="M114" i="531"/>
  <c r="H114" i="531"/>
  <c r="U114" i="531"/>
  <c r="S114" i="531"/>
  <c r="B114" i="531"/>
  <c r="G120" i="531"/>
  <c r="V116" i="531"/>
  <c r="W116" i="531" s="1"/>
  <c r="P116" i="532" s="1"/>
  <c r="B116" i="531"/>
  <c r="L116" i="531"/>
  <c r="O116" i="531"/>
  <c r="F116" i="531"/>
  <c r="X116" i="531" s="1"/>
  <c r="U116" i="531"/>
  <c r="D116" i="531"/>
  <c r="S116" i="531"/>
  <c r="P116" i="531"/>
  <c r="R116" i="531"/>
  <c r="M116" i="531"/>
  <c r="E116" i="531"/>
  <c r="J116" i="531"/>
  <c r="H116" i="531"/>
  <c r="I116" i="531"/>
  <c r="P129" i="531"/>
  <c r="D129" i="531"/>
  <c r="B129" i="531"/>
  <c r="S129" i="531"/>
  <c r="J129" i="531"/>
  <c r="R129" i="531"/>
  <c r="V129" i="531"/>
  <c r="W129" i="531" s="1"/>
  <c r="P129" i="532" s="1"/>
  <c r="O129" i="531"/>
  <c r="E129" i="531"/>
  <c r="M129" i="531"/>
  <c r="L129" i="531"/>
  <c r="U129" i="531"/>
  <c r="I129" i="531"/>
  <c r="H129" i="531"/>
  <c r="F129" i="531"/>
  <c r="X129" i="531" s="1"/>
  <c r="J124" i="531"/>
  <c r="M124" i="531"/>
  <c r="P124" i="531"/>
  <c r="D124" i="531"/>
  <c r="B124" i="531"/>
  <c r="U124" i="531"/>
  <c r="V124" i="531"/>
  <c r="W124" i="531" s="1"/>
  <c r="P124" i="532" s="1"/>
  <c r="S124" i="531"/>
  <c r="E124" i="531"/>
  <c r="R124" i="531"/>
  <c r="H124" i="531"/>
  <c r="O124" i="531"/>
  <c r="F124" i="531"/>
  <c r="X124" i="531" s="1"/>
  <c r="L124" i="531"/>
  <c r="I124" i="531"/>
  <c r="G109" i="531"/>
  <c r="D109" i="531"/>
  <c r="B109" i="531"/>
  <c r="U109" i="531"/>
  <c r="S109" i="531"/>
  <c r="R109" i="531"/>
  <c r="V109" i="531"/>
  <c r="W109" i="531" s="1"/>
  <c r="P109" i="532" s="1"/>
  <c r="P109" i="531"/>
  <c r="O109" i="531"/>
  <c r="M109" i="531"/>
  <c r="L109" i="531"/>
  <c r="J109" i="531"/>
  <c r="I109" i="531"/>
  <c r="H109" i="531"/>
  <c r="F109" i="531"/>
  <c r="X109" i="531" s="1"/>
  <c r="E109" i="531"/>
  <c r="G127" i="531"/>
  <c r="G117" i="531"/>
  <c r="V117" i="531"/>
  <c r="W117" i="531" s="1"/>
  <c r="P117" i="532" s="1"/>
  <c r="P117" i="531"/>
  <c r="D117" i="531"/>
  <c r="B117" i="531"/>
  <c r="L117" i="531"/>
  <c r="J117" i="531"/>
  <c r="R117" i="531"/>
  <c r="S117" i="531"/>
  <c r="F117" i="531"/>
  <c r="X117" i="531" s="1"/>
  <c r="E117" i="531"/>
  <c r="M117" i="531"/>
  <c r="O117" i="531"/>
  <c r="U117" i="531"/>
  <c r="I117" i="531"/>
  <c r="H117" i="531"/>
  <c r="L110" i="531"/>
  <c r="M110" i="531"/>
  <c r="U110" i="531"/>
  <c r="S110" i="531"/>
  <c r="H110" i="531"/>
  <c r="B110" i="531"/>
  <c r="O110" i="531"/>
  <c r="I110" i="531"/>
  <c r="D110" i="531"/>
  <c r="V110" i="531"/>
  <c r="W110" i="531" s="1"/>
  <c r="P110" i="532" s="1"/>
  <c r="J110" i="531"/>
  <c r="P110" i="531"/>
  <c r="R110" i="531"/>
  <c r="F110" i="531"/>
  <c r="X110" i="531" s="1"/>
  <c r="E110" i="531"/>
  <c r="M120" i="531"/>
  <c r="O120" i="531"/>
  <c r="F120" i="531"/>
  <c r="X120" i="531" s="1"/>
  <c r="P120" i="531"/>
  <c r="I120" i="531"/>
  <c r="V120" i="531"/>
  <c r="W120" i="531" s="1"/>
  <c r="P120" i="532" s="1"/>
  <c r="B120" i="531"/>
  <c r="L120" i="531"/>
  <c r="E120" i="531"/>
  <c r="R120" i="531"/>
  <c r="H120" i="531"/>
  <c r="U120" i="531"/>
  <c r="S120" i="531"/>
  <c r="J120" i="531"/>
  <c r="D120" i="531"/>
  <c r="G111" i="531"/>
  <c r="I111" i="531"/>
  <c r="F111" i="531"/>
  <c r="X111" i="531" s="1"/>
  <c r="S111" i="531"/>
  <c r="B111" i="531"/>
  <c r="E111" i="531"/>
  <c r="O111" i="531"/>
  <c r="H111" i="531"/>
  <c r="U111" i="531"/>
  <c r="V111" i="531"/>
  <c r="W111" i="531" s="1"/>
  <c r="P111" i="532" s="1"/>
  <c r="J111" i="531"/>
  <c r="R111" i="531"/>
  <c r="M111" i="531"/>
  <c r="P111" i="531"/>
  <c r="D111" i="531"/>
  <c r="L111" i="531"/>
  <c r="G129" i="531"/>
  <c r="G124" i="531"/>
  <c r="I127" i="531"/>
  <c r="R127" i="531"/>
  <c r="P127" i="531"/>
  <c r="D127" i="531"/>
  <c r="E127" i="531"/>
  <c r="L127" i="531"/>
  <c r="F127" i="531"/>
  <c r="X127" i="531" s="1"/>
  <c r="U127" i="531"/>
  <c r="S127" i="531"/>
  <c r="B127" i="531"/>
  <c r="O127" i="531"/>
  <c r="M127" i="531"/>
  <c r="H127" i="531"/>
  <c r="V127" i="531"/>
  <c r="W127" i="531" s="1"/>
  <c r="P127" i="532" s="1"/>
  <c r="J127" i="531"/>
  <c r="AV32" i="370"/>
  <c r="AW32" i="370"/>
  <c r="AX32" i="370"/>
  <c r="AY32" i="370"/>
  <c r="AZ32" i="370"/>
  <c r="BA32" i="370"/>
  <c r="BB32" i="370"/>
  <c r="BC32" i="370"/>
  <c r="BD32" i="370"/>
  <c r="BE32" i="370"/>
  <c r="BF32" i="370"/>
  <c r="BG32" i="370"/>
  <c r="AQ33" i="370"/>
  <c r="AR33" i="370"/>
  <c r="AS33" i="370"/>
  <c r="AT33" i="370"/>
  <c r="AU33" i="370"/>
  <c r="AV33" i="370"/>
  <c r="AW33" i="370"/>
  <c r="AX33" i="370"/>
  <c r="AY33" i="370"/>
  <c r="AZ33" i="370"/>
  <c r="BA33" i="370"/>
  <c r="BB33" i="370"/>
  <c r="BC33" i="370"/>
  <c r="BD33" i="370"/>
  <c r="BE33" i="370"/>
  <c r="BF33" i="370"/>
  <c r="BG33" i="370"/>
  <c r="AQ34" i="370"/>
  <c r="AR34" i="370"/>
  <c r="AS34" i="370"/>
  <c r="AT34" i="370"/>
  <c r="AU34" i="370"/>
  <c r="AV34" i="370"/>
  <c r="AW34" i="370"/>
  <c r="AX34" i="370"/>
  <c r="AY34" i="370"/>
  <c r="AZ34" i="370"/>
  <c r="BA34" i="370"/>
  <c r="BB34" i="370"/>
  <c r="BC34" i="370"/>
  <c r="BD34" i="370"/>
  <c r="BE34" i="370"/>
  <c r="BF34" i="370"/>
  <c r="BG34" i="370"/>
  <c r="AQ35" i="370"/>
  <c r="AR35" i="370"/>
  <c r="AS35" i="370"/>
  <c r="AT35" i="370"/>
  <c r="AU35" i="370"/>
  <c r="AV35" i="370"/>
  <c r="AW35" i="370"/>
  <c r="AX35" i="370"/>
  <c r="AY35" i="370"/>
  <c r="AZ35" i="370"/>
  <c r="BA35" i="370"/>
  <c r="BB35" i="370"/>
  <c r="BC35" i="370"/>
  <c r="BD35" i="370"/>
  <c r="BE35" i="370"/>
  <c r="BF35" i="370"/>
  <c r="BG35" i="370"/>
  <c r="AQ36" i="370"/>
  <c r="AR36" i="370"/>
  <c r="AS36" i="370"/>
  <c r="AT36" i="370"/>
  <c r="AU36" i="370"/>
  <c r="AV36" i="370"/>
  <c r="AW36" i="370"/>
  <c r="AX36" i="370"/>
  <c r="AY36" i="370"/>
  <c r="AZ36" i="370"/>
  <c r="BA36" i="370"/>
  <c r="BB36" i="370"/>
  <c r="BC36" i="370"/>
  <c r="BD36" i="370"/>
  <c r="BE36" i="370"/>
  <c r="BF36" i="370"/>
  <c r="BG36" i="370"/>
  <c r="AQ37" i="370"/>
  <c r="AR37" i="370"/>
  <c r="AS37" i="370"/>
  <c r="AT37" i="370"/>
  <c r="AU37" i="370"/>
  <c r="AV37" i="370"/>
  <c r="AW37" i="370"/>
  <c r="AX37" i="370"/>
  <c r="AY37" i="370"/>
  <c r="AZ37" i="370"/>
  <c r="BA37" i="370"/>
  <c r="BB37" i="370"/>
  <c r="BC37" i="370"/>
  <c r="BD37" i="370"/>
  <c r="BE37" i="370"/>
  <c r="BF37" i="370"/>
  <c r="BG37" i="370"/>
  <c r="AQ38" i="370"/>
  <c r="AR38" i="370"/>
  <c r="AS38" i="370"/>
  <c r="AT38" i="370"/>
  <c r="AU38" i="370"/>
  <c r="AV38" i="370"/>
  <c r="AW38" i="370"/>
  <c r="AX38" i="370"/>
  <c r="AY38" i="370"/>
  <c r="AZ38" i="370"/>
  <c r="BA38" i="370"/>
  <c r="BB38" i="370"/>
  <c r="BC38" i="370"/>
  <c r="BD38" i="370"/>
  <c r="BE38" i="370"/>
  <c r="BF38" i="370"/>
  <c r="BG38" i="370"/>
  <c r="AQ39" i="370"/>
  <c r="AR39" i="370"/>
  <c r="AS39" i="370"/>
  <c r="AT39" i="370"/>
  <c r="AU39" i="370"/>
  <c r="AV39" i="370"/>
  <c r="AW39" i="370"/>
  <c r="AX39" i="370"/>
  <c r="AY39" i="370"/>
  <c r="AZ39" i="370"/>
  <c r="BA39" i="370"/>
  <c r="BB39" i="370"/>
  <c r="BC39" i="370"/>
  <c r="BD39" i="370"/>
  <c r="BE39" i="370"/>
  <c r="BF39" i="370"/>
  <c r="BG39" i="370"/>
  <c r="AQ40" i="370"/>
  <c r="AR40" i="370"/>
  <c r="AS40" i="370"/>
  <c r="AT40" i="370"/>
  <c r="AU40" i="370"/>
  <c r="AV40" i="370"/>
  <c r="AW40" i="370"/>
  <c r="AX40" i="370"/>
  <c r="AY40" i="370"/>
  <c r="AZ40" i="370"/>
  <c r="BA40" i="370"/>
  <c r="BB40" i="370"/>
  <c r="BC40" i="370"/>
  <c r="BD40" i="370"/>
  <c r="BE40" i="370"/>
  <c r="BF40" i="370"/>
  <c r="BG40" i="370"/>
  <c r="AV41" i="370"/>
  <c r="AW41" i="370"/>
  <c r="AX41" i="370"/>
  <c r="AY41" i="370"/>
  <c r="AZ41" i="370"/>
  <c r="BA41" i="370"/>
  <c r="BB41" i="370"/>
  <c r="BC41" i="370"/>
  <c r="BD41" i="370"/>
  <c r="BE41" i="370"/>
  <c r="BF41" i="370"/>
  <c r="BG41" i="370"/>
  <c r="AQ42" i="370"/>
  <c r="AR42" i="370"/>
  <c r="AS42" i="370"/>
  <c r="AT42" i="370"/>
  <c r="AU42" i="370"/>
  <c r="AV42" i="370"/>
  <c r="AW42" i="370"/>
  <c r="AX42" i="370"/>
  <c r="AY42" i="370"/>
  <c r="AZ42" i="370"/>
  <c r="BA42" i="370"/>
  <c r="BB42" i="370"/>
  <c r="BC42" i="370"/>
  <c r="BD42" i="370"/>
  <c r="BE42" i="370"/>
  <c r="BF42" i="370"/>
  <c r="BG42" i="370"/>
  <c r="AQ43" i="370"/>
  <c r="AR43" i="370"/>
  <c r="AS43" i="370"/>
  <c r="AT43" i="370"/>
  <c r="AU43" i="370"/>
  <c r="AV43" i="370"/>
  <c r="AW43" i="370"/>
  <c r="AX43" i="370"/>
  <c r="AY43" i="370"/>
  <c r="AZ43" i="370"/>
  <c r="BA43" i="370"/>
  <c r="BB43" i="370"/>
  <c r="BC43" i="370"/>
  <c r="BD43" i="370"/>
  <c r="BE43" i="370"/>
  <c r="BF43" i="370"/>
  <c r="BG43" i="370"/>
  <c r="AQ44" i="370"/>
  <c r="AR44" i="370"/>
  <c r="AS44" i="370"/>
  <c r="AT44" i="370"/>
  <c r="AU44" i="370"/>
  <c r="AV44" i="370"/>
  <c r="AW44" i="370"/>
  <c r="AX44" i="370"/>
  <c r="AY44" i="370"/>
  <c r="AZ44" i="370"/>
  <c r="BA44" i="370"/>
  <c r="BB44" i="370"/>
  <c r="BC44" i="370"/>
  <c r="BD44" i="370"/>
  <c r="BE44" i="370"/>
  <c r="BF44" i="370"/>
  <c r="BG44" i="370"/>
  <c r="AQ45" i="370"/>
  <c r="AR45" i="370"/>
  <c r="AS45" i="370"/>
  <c r="AT45" i="370"/>
  <c r="AU45" i="370"/>
  <c r="AV45" i="370"/>
  <c r="AW45" i="370"/>
  <c r="AX45" i="370"/>
  <c r="AY45" i="370"/>
  <c r="AZ45" i="370"/>
  <c r="BA45" i="370"/>
  <c r="BB45" i="370"/>
  <c r="BC45" i="370"/>
  <c r="BD45" i="370"/>
  <c r="BE45" i="370"/>
  <c r="BF45" i="370"/>
  <c r="BG45" i="370"/>
  <c r="AQ46" i="370"/>
  <c r="AR46" i="370"/>
  <c r="AS46" i="370"/>
  <c r="AT46" i="370"/>
  <c r="AU46" i="370"/>
  <c r="AV46" i="370"/>
  <c r="AW46" i="370"/>
  <c r="AX46" i="370"/>
  <c r="AY46" i="370"/>
  <c r="AZ46" i="370"/>
  <c r="BA46" i="370"/>
  <c r="BB46" i="370"/>
  <c r="BC46" i="370"/>
  <c r="BD46" i="370"/>
  <c r="BE46" i="370"/>
  <c r="BF46" i="370"/>
  <c r="BG46" i="370"/>
  <c r="AQ47" i="370"/>
  <c r="AR47" i="370"/>
  <c r="AS47" i="370"/>
  <c r="AT47" i="370"/>
  <c r="AU47" i="370"/>
  <c r="AV47" i="370"/>
  <c r="AW47" i="370"/>
  <c r="AX47" i="370"/>
  <c r="AY47" i="370"/>
  <c r="AZ47" i="370"/>
  <c r="BA47" i="370"/>
  <c r="BB47" i="370"/>
  <c r="BC47" i="370"/>
  <c r="BD47" i="370"/>
  <c r="BE47" i="370"/>
  <c r="BF47" i="370"/>
  <c r="BG47" i="370"/>
  <c r="AQ48" i="370"/>
  <c r="AR48" i="370"/>
  <c r="AS48" i="370"/>
  <c r="AT48" i="370"/>
  <c r="AU48" i="370"/>
  <c r="AV48" i="370"/>
  <c r="AW48" i="370"/>
  <c r="AX48" i="370"/>
  <c r="AY48" i="370"/>
  <c r="AZ48" i="370"/>
  <c r="BA48" i="370"/>
  <c r="BB48" i="370"/>
  <c r="BC48" i="370"/>
  <c r="BD48" i="370"/>
  <c r="BE48" i="370"/>
  <c r="BF48" i="370"/>
  <c r="BG48" i="370"/>
  <c r="AQ49" i="370"/>
  <c r="AR49" i="370"/>
  <c r="AS49" i="370"/>
  <c r="AT49" i="370"/>
  <c r="AU49" i="370"/>
  <c r="AV49" i="370"/>
  <c r="AW49" i="370"/>
  <c r="AX49" i="370"/>
  <c r="AY49" i="370"/>
  <c r="AZ49" i="370"/>
  <c r="BA49" i="370"/>
  <c r="BB49" i="370"/>
  <c r="BC49" i="370"/>
  <c r="BD49" i="370"/>
  <c r="BE49" i="370"/>
  <c r="BF49" i="370"/>
  <c r="BG49" i="370"/>
  <c r="AQ50" i="370"/>
  <c r="AR50" i="370"/>
  <c r="AS50" i="370"/>
  <c r="AT50" i="370"/>
  <c r="AU50" i="370"/>
  <c r="AV50" i="370"/>
  <c r="AW50" i="370"/>
  <c r="AX50" i="370"/>
  <c r="AY50" i="370"/>
  <c r="AZ50" i="370"/>
  <c r="BA50" i="370"/>
  <c r="BB50" i="370"/>
  <c r="BC50" i="370"/>
  <c r="BD50" i="370"/>
  <c r="BE50" i="370"/>
  <c r="BF50" i="370"/>
  <c r="BG50" i="370"/>
  <c r="AQ51" i="370"/>
  <c r="AR51" i="370"/>
  <c r="AS51" i="370"/>
  <c r="AT51" i="370"/>
  <c r="AU51" i="370"/>
  <c r="AV51" i="370"/>
  <c r="AW51" i="370"/>
  <c r="AX51" i="370"/>
  <c r="AY51" i="370"/>
  <c r="AZ51" i="370"/>
  <c r="BA51" i="370"/>
  <c r="BB51" i="370"/>
  <c r="BC51" i="370"/>
  <c r="BD51" i="370"/>
  <c r="BE51" i="370"/>
  <c r="BF51" i="370"/>
  <c r="BG51" i="370"/>
  <c r="AQ52" i="370"/>
  <c r="AR52" i="370"/>
  <c r="AS52" i="370"/>
  <c r="AT52" i="370"/>
  <c r="AU52" i="370"/>
  <c r="AV52" i="370"/>
  <c r="AW52" i="370"/>
  <c r="AX52" i="370"/>
  <c r="AY52" i="370"/>
  <c r="AZ52" i="370"/>
  <c r="BA52" i="370"/>
  <c r="BB52" i="370"/>
  <c r="BC52" i="370"/>
  <c r="BD52" i="370"/>
  <c r="BE52" i="370"/>
  <c r="BF52" i="370"/>
  <c r="BG52" i="370"/>
  <c r="AQ53" i="370"/>
  <c r="AR53" i="370"/>
  <c r="AS53" i="370"/>
  <c r="AT53" i="370"/>
  <c r="AU53" i="370"/>
  <c r="AV53" i="370"/>
  <c r="AW53" i="370"/>
  <c r="AX53" i="370"/>
  <c r="AY53" i="370"/>
  <c r="AZ53" i="370"/>
  <c r="BA53" i="370"/>
  <c r="BB53" i="370"/>
  <c r="BC53" i="370"/>
  <c r="BD53" i="370"/>
  <c r="BE53" i="370"/>
  <c r="BF53" i="370"/>
  <c r="BG53" i="370"/>
  <c r="AQ54" i="370"/>
  <c r="AR54" i="370"/>
  <c r="AS54" i="370"/>
  <c r="AT54" i="370"/>
  <c r="AU54" i="370"/>
  <c r="AV54" i="370"/>
  <c r="AW54" i="370"/>
  <c r="AX54" i="370"/>
  <c r="AY54" i="370"/>
  <c r="AZ54" i="370"/>
  <c r="BA54" i="370"/>
  <c r="BB54" i="370"/>
  <c r="BC54" i="370"/>
  <c r="BD54" i="370"/>
  <c r="BE54" i="370"/>
  <c r="BF54" i="370"/>
  <c r="BG54" i="370"/>
  <c r="AQ55" i="370"/>
  <c r="AR55" i="370"/>
  <c r="AS55" i="370"/>
  <c r="AT55" i="370"/>
  <c r="AU55" i="370"/>
  <c r="AV55" i="370"/>
  <c r="AW55" i="370"/>
  <c r="AX55" i="370"/>
  <c r="AY55" i="370"/>
  <c r="AZ55" i="370"/>
  <c r="BA55" i="370"/>
  <c r="BB55" i="370"/>
  <c r="BC55" i="370"/>
  <c r="BD55" i="370"/>
  <c r="BE55" i="370"/>
  <c r="BF55" i="370"/>
  <c r="BG55" i="370"/>
  <c r="AQ56" i="370"/>
  <c r="AR56" i="370"/>
  <c r="AS56" i="370"/>
  <c r="AT56" i="370"/>
  <c r="AU56" i="370"/>
  <c r="AV56" i="370"/>
  <c r="AW56" i="370"/>
  <c r="AX56" i="370"/>
  <c r="AY56" i="370"/>
  <c r="AZ56" i="370"/>
  <c r="BA56" i="370"/>
  <c r="BB56" i="370"/>
  <c r="BC56" i="370"/>
  <c r="BD56" i="370"/>
  <c r="BE56" i="370"/>
  <c r="BF56" i="370"/>
  <c r="BG56" i="370"/>
  <c r="AQ57" i="370"/>
  <c r="AR57" i="370"/>
  <c r="AS57" i="370"/>
  <c r="AT57" i="370"/>
  <c r="AU57" i="370"/>
  <c r="AV57" i="370"/>
  <c r="AW57" i="370"/>
  <c r="AX57" i="370"/>
  <c r="AY57" i="370"/>
  <c r="AZ57" i="370"/>
  <c r="BA57" i="370"/>
  <c r="BB57" i="370"/>
  <c r="BC57" i="370"/>
  <c r="BD57" i="370"/>
  <c r="BE57" i="370"/>
  <c r="BF57" i="370"/>
  <c r="BG57" i="370"/>
  <c r="AQ58" i="370"/>
  <c r="AR58" i="370"/>
  <c r="AS58" i="370"/>
  <c r="AT58" i="370"/>
  <c r="AU58" i="370"/>
  <c r="AV58" i="370"/>
  <c r="AW58" i="370"/>
  <c r="AX58" i="370"/>
  <c r="AY58" i="370"/>
  <c r="AZ58" i="370"/>
  <c r="BA58" i="370"/>
  <c r="BB58" i="370"/>
  <c r="BC58" i="370"/>
  <c r="BD58" i="370"/>
  <c r="BE58" i="370"/>
  <c r="BF58" i="370"/>
  <c r="BG58" i="370"/>
  <c r="AQ59" i="370"/>
  <c r="AR59" i="370"/>
  <c r="AS59" i="370"/>
  <c r="AT59" i="370"/>
  <c r="AU59" i="370"/>
  <c r="AV59" i="370"/>
  <c r="AW59" i="370"/>
  <c r="AX59" i="370"/>
  <c r="AY59" i="370"/>
  <c r="AZ59" i="370"/>
  <c r="BA59" i="370"/>
  <c r="BB59" i="370"/>
  <c r="BC59" i="370"/>
  <c r="BD59" i="370"/>
  <c r="BE59" i="370"/>
  <c r="BF59" i="370"/>
  <c r="BG59" i="370"/>
  <c r="AQ60" i="370"/>
  <c r="AR60" i="370"/>
  <c r="AS60" i="370"/>
  <c r="AT60" i="370"/>
  <c r="AU60" i="370"/>
  <c r="AV60" i="370"/>
  <c r="AW60" i="370"/>
  <c r="AX60" i="370"/>
  <c r="AY60" i="370"/>
  <c r="AZ60" i="370"/>
  <c r="BA60" i="370"/>
  <c r="BB60" i="370"/>
  <c r="BC60" i="370"/>
  <c r="BD60" i="370"/>
  <c r="BE60" i="370"/>
  <c r="BF60" i="370"/>
  <c r="BG60" i="370"/>
  <c r="AQ61" i="370"/>
  <c r="AR61" i="370"/>
  <c r="AS61" i="370"/>
  <c r="AT61" i="370"/>
  <c r="AU61" i="370"/>
  <c r="AV61" i="370"/>
  <c r="AW61" i="370"/>
  <c r="AX61" i="370"/>
  <c r="AY61" i="370"/>
  <c r="AZ61" i="370"/>
  <c r="BA61" i="370"/>
  <c r="BB61" i="370"/>
  <c r="BC61" i="370"/>
  <c r="BD61" i="370"/>
  <c r="BE61" i="370"/>
  <c r="BF61" i="370"/>
  <c r="BG61" i="370"/>
  <c r="AQ62" i="370"/>
  <c r="AR62" i="370"/>
  <c r="AS62" i="370"/>
  <c r="AT62" i="370"/>
  <c r="AU62" i="370"/>
  <c r="AV62" i="370"/>
  <c r="AW62" i="370"/>
  <c r="AX62" i="370"/>
  <c r="AY62" i="370"/>
  <c r="AZ62" i="370"/>
  <c r="BA62" i="370"/>
  <c r="BB62" i="370"/>
  <c r="BC62" i="370"/>
  <c r="BD62" i="370"/>
  <c r="BE62" i="370"/>
  <c r="BF62" i="370"/>
  <c r="BG62" i="370"/>
  <c r="AQ63" i="370"/>
  <c r="AR63" i="370"/>
  <c r="AS63" i="370"/>
  <c r="AT63" i="370"/>
  <c r="AU63" i="370"/>
  <c r="AV63" i="370"/>
  <c r="AW63" i="370"/>
  <c r="AX63" i="370"/>
  <c r="AY63" i="370"/>
  <c r="AZ63" i="370"/>
  <c r="BA63" i="370"/>
  <c r="BB63" i="370"/>
  <c r="BC63" i="370"/>
  <c r="BD63" i="370"/>
  <c r="BE63" i="370"/>
  <c r="BF63" i="370"/>
  <c r="BG63" i="370"/>
  <c r="AQ64" i="370"/>
  <c r="AR64" i="370"/>
  <c r="AS64" i="370"/>
  <c r="AT64" i="370"/>
  <c r="AU64" i="370"/>
  <c r="AV64" i="370"/>
  <c r="AW64" i="370"/>
  <c r="AX64" i="370"/>
  <c r="AY64" i="370"/>
  <c r="AZ64" i="370"/>
  <c r="BA64" i="370"/>
  <c r="BB64" i="370"/>
  <c r="BC64" i="370"/>
  <c r="BD64" i="370"/>
  <c r="BE64" i="370"/>
  <c r="BF64" i="370"/>
  <c r="BG64" i="370"/>
  <c r="AQ65" i="370"/>
  <c r="AR65" i="370"/>
  <c r="AS65" i="370"/>
  <c r="AT65" i="370"/>
  <c r="AU65" i="370"/>
  <c r="AV65" i="370"/>
  <c r="AW65" i="370"/>
  <c r="AX65" i="370"/>
  <c r="AY65" i="370"/>
  <c r="AZ65" i="370"/>
  <c r="BA65" i="370"/>
  <c r="BB65" i="370"/>
  <c r="BC65" i="370"/>
  <c r="BD65" i="370"/>
  <c r="BE65" i="370"/>
  <c r="BF65" i="370"/>
  <c r="BG65" i="370"/>
  <c r="AQ66" i="370"/>
  <c r="AR66" i="370"/>
  <c r="AS66" i="370"/>
  <c r="AT66" i="370"/>
  <c r="AU66" i="370"/>
  <c r="AV66" i="370"/>
  <c r="AW66" i="370"/>
  <c r="AX66" i="370"/>
  <c r="AY66" i="370"/>
  <c r="AZ66" i="370"/>
  <c r="BA66" i="370"/>
  <c r="BB66" i="370"/>
  <c r="BC66" i="370"/>
  <c r="BD66" i="370"/>
  <c r="BE66" i="370"/>
  <c r="BF66" i="370"/>
  <c r="BG66" i="370"/>
  <c r="AQ67" i="370"/>
  <c r="AR67" i="370"/>
  <c r="AS67" i="370"/>
  <c r="AT67" i="370"/>
  <c r="AU67" i="370"/>
  <c r="AV67" i="370"/>
  <c r="AW67" i="370"/>
  <c r="AX67" i="370"/>
  <c r="AY67" i="370"/>
  <c r="AZ67" i="370"/>
  <c r="BA67" i="370"/>
  <c r="BB67" i="370"/>
  <c r="BC67" i="370"/>
  <c r="BD67" i="370"/>
  <c r="BE67" i="370"/>
  <c r="BF67" i="370"/>
  <c r="BG67" i="370"/>
  <c r="AQ68" i="370"/>
  <c r="AR68" i="370"/>
  <c r="AS68" i="370"/>
  <c r="AT68" i="370"/>
  <c r="AU68" i="370"/>
  <c r="AV68" i="370"/>
  <c r="AW68" i="370"/>
  <c r="AX68" i="370"/>
  <c r="AY68" i="370"/>
  <c r="AZ68" i="370"/>
  <c r="BA68" i="370"/>
  <c r="BB68" i="370"/>
  <c r="BC68" i="370"/>
  <c r="BD68" i="370"/>
  <c r="BE68" i="370"/>
  <c r="BF68" i="370"/>
  <c r="BG68" i="370"/>
  <c r="AQ69" i="370"/>
  <c r="AR69" i="370"/>
  <c r="AS69" i="370"/>
  <c r="AT69" i="370"/>
  <c r="AU69" i="370"/>
  <c r="AV69" i="370"/>
  <c r="AW69" i="370"/>
  <c r="AX69" i="370"/>
  <c r="AY69" i="370"/>
  <c r="AZ69" i="370"/>
  <c r="BA69" i="370"/>
  <c r="BB69" i="370"/>
  <c r="BC69" i="370"/>
  <c r="BD69" i="370"/>
  <c r="BE69" i="370"/>
  <c r="BF69" i="370"/>
  <c r="BG69" i="370"/>
  <c r="AQ70" i="370"/>
  <c r="AR70" i="370"/>
  <c r="AS70" i="370"/>
  <c r="AT70" i="370"/>
  <c r="AU70" i="370"/>
  <c r="AV70" i="370"/>
  <c r="AW70" i="370"/>
  <c r="AX70" i="370"/>
  <c r="AY70" i="370"/>
  <c r="AZ70" i="370"/>
  <c r="BA70" i="370"/>
  <c r="BB70" i="370"/>
  <c r="BC70" i="370"/>
  <c r="BD70" i="370"/>
  <c r="BE70" i="370"/>
  <c r="BF70" i="370"/>
  <c r="BG70" i="370"/>
  <c r="AQ71" i="370"/>
  <c r="AR71" i="370"/>
  <c r="AS71" i="370"/>
  <c r="AT71" i="370"/>
  <c r="AU71" i="370"/>
  <c r="AV71" i="370"/>
  <c r="AW71" i="370"/>
  <c r="AX71" i="370"/>
  <c r="AY71" i="370"/>
  <c r="AZ71" i="370"/>
  <c r="BA71" i="370"/>
  <c r="BB71" i="370"/>
  <c r="BC71" i="370"/>
  <c r="BD71" i="370"/>
  <c r="BE71" i="370"/>
  <c r="BF71" i="370"/>
  <c r="BG71" i="370"/>
  <c r="AQ72" i="370"/>
  <c r="AR72" i="370"/>
  <c r="AS72" i="370"/>
  <c r="AT72" i="370"/>
  <c r="AU72" i="370"/>
  <c r="AV72" i="370"/>
  <c r="AW72" i="370"/>
  <c r="AX72" i="370"/>
  <c r="AY72" i="370"/>
  <c r="AZ72" i="370"/>
  <c r="BA72" i="370"/>
  <c r="BB72" i="370"/>
  <c r="BC72" i="370"/>
  <c r="BD72" i="370"/>
  <c r="BE72" i="370"/>
  <c r="BF72" i="370"/>
  <c r="BG72" i="370"/>
  <c r="AQ73" i="370"/>
  <c r="AR73" i="370"/>
  <c r="AS73" i="370"/>
  <c r="AT73" i="370"/>
  <c r="AU73" i="370"/>
  <c r="AV73" i="370"/>
  <c r="AW73" i="370"/>
  <c r="AX73" i="370"/>
  <c r="AY73" i="370"/>
  <c r="AZ73" i="370"/>
  <c r="BA73" i="370"/>
  <c r="BB73" i="370"/>
  <c r="BC73" i="370"/>
  <c r="BD73" i="370"/>
  <c r="BE73" i="370"/>
  <c r="BF73" i="370"/>
  <c r="BG73" i="370"/>
  <c r="AQ74" i="370"/>
  <c r="AR74" i="370"/>
  <c r="AS74" i="370"/>
  <c r="AT74" i="370"/>
  <c r="AU74" i="370"/>
  <c r="AV74" i="370"/>
  <c r="AW74" i="370"/>
  <c r="AX74" i="370"/>
  <c r="AY74" i="370"/>
  <c r="AZ74" i="370"/>
  <c r="BA74" i="370"/>
  <c r="BB74" i="370"/>
  <c r="BC74" i="370"/>
  <c r="BD74" i="370"/>
  <c r="BE74" i="370"/>
  <c r="BF74" i="370"/>
  <c r="BG74" i="370"/>
  <c r="AQ75" i="370"/>
  <c r="AR75" i="370"/>
  <c r="AS75" i="370"/>
  <c r="AT75" i="370"/>
  <c r="AU75" i="370"/>
  <c r="AV75" i="370"/>
  <c r="AW75" i="370"/>
  <c r="AX75" i="370"/>
  <c r="AY75" i="370"/>
  <c r="AZ75" i="370"/>
  <c r="BA75" i="370"/>
  <c r="BB75" i="370"/>
  <c r="BC75" i="370"/>
  <c r="BD75" i="370"/>
  <c r="BE75" i="370"/>
  <c r="BF75" i="370"/>
  <c r="BG75" i="370"/>
  <c r="AQ76" i="370"/>
  <c r="AR76" i="370"/>
  <c r="AS76" i="370"/>
  <c r="AT76" i="370"/>
  <c r="AU76" i="370"/>
  <c r="AV76" i="370"/>
  <c r="AW76" i="370"/>
  <c r="AX76" i="370"/>
  <c r="AY76" i="370"/>
  <c r="AZ76" i="370"/>
  <c r="BA76" i="370"/>
  <c r="BB76" i="370"/>
  <c r="BC76" i="370"/>
  <c r="BD76" i="370"/>
  <c r="BE76" i="370"/>
  <c r="BF76" i="370"/>
  <c r="BG76" i="370"/>
  <c r="AQ77" i="370"/>
  <c r="AR77" i="370"/>
  <c r="AS77" i="370"/>
  <c r="AT77" i="370"/>
  <c r="AU77" i="370"/>
  <c r="AV77" i="370"/>
  <c r="AW77" i="370"/>
  <c r="AX77" i="370"/>
  <c r="AY77" i="370"/>
  <c r="AZ77" i="370"/>
  <c r="BA77" i="370"/>
  <c r="BB77" i="370"/>
  <c r="BC77" i="370"/>
  <c r="BD77" i="370"/>
  <c r="BE77" i="370"/>
  <c r="BF77" i="370"/>
  <c r="BG77" i="370"/>
  <c r="AQ78" i="370"/>
  <c r="AR78" i="370"/>
  <c r="AS78" i="370"/>
  <c r="AT78" i="370"/>
  <c r="AU78" i="370"/>
  <c r="AV78" i="370"/>
  <c r="AW78" i="370"/>
  <c r="AX78" i="370"/>
  <c r="AY78" i="370"/>
  <c r="AZ78" i="370"/>
  <c r="BA78" i="370"/>
  <c r="BB78" i="370"/>
  <c r="BC78" i="370"/>
  <c r="BD78" i="370"/>
  <c r="BE78" i="370"/>
  <c r="BF78" i="370"/>
  <c r="BG78" i="370"/>
  <c r="AQ79" i="370"/>
  <c r="AR79" i="370"/>
  <c r="AS79" i="370"/>
  <c r="AT79" i="370"/>
  <c r="AU79" i="370"/>
  <c r="AV79" i="370"/>
  <c r="AW79" i="370"/>
  <c r="AX79" i="370"/>
  <c r="AY79" i="370"/>
  <c r="AZ79" i="370"/>
  <c r="BA79" i="370"/>
  <c r="BB79" i="370"/>
  <c r="BC79" i="370"/>
  <c r="BD79" i="370"/>
  <c r="BE79" i="370"/>
  <c r="BF79" i="370"/>
  <c r="BG79" i="370"/>
  <c r="AQ80" i="370"/>
  <c r="AR80" i="370"/>
  <c r="AS80" i="370"/>
  <c r="AT80" i="370"/>
  <c r="AU80" i="370"/>
  <c r="AV80" i="370"/>
  <c r="AW80" i="370"/>
  <c r="AX80" i="370"/>
  <c r="AY80" i="370"/>
  <c r="AZ80" i="370"/>
  <c r="BA80" i="370"/>
  <c r="BB80" i="370"/>
  <c r="BC80" i="370"/>
  <c r="BD80" i="370"/>
  <c r="BE80" i="370"/>
  <c r="BF80" i="370"/>
  <c r="BG80" i="370"/>
  <c r="AQ81" i="370"/>
  <c r="AR81" i="370"/>
  <c r="AS81" i="370"/>
  <c r="AT81" i="370"/>
  <c r="AU81" i="370"/>
  <c r="AV81" i="370"/>
  <c r="AW81" i="370"/>
  <c r="AX81" i="370"/>
  <c r="AY81" i="370"/>
  <c r="AZ81" i="370"/>
  <c r="BA81" i="370"/>
  <c r="BB81" i="370"/>
  <c r="BC81" i="370"/>
  <c r="BD81" i="370"/>
  <c r="BE81" i="370"/>
  <c r="BF81" i="370"/>
  <c r="BG81" i="370"/>
  <c r="AQ82" i="370"/>
  <c r="AR82" i="370"/>
  <c r="AS82" i="370"/>
  <c r="AT82" i="370"/>
  <c r="AU82" i="370"/>
  <c r="AV82" i="370"/>
  <c r="AW82" i="370"/>
  <c r="AX82" i="370"/>
  <c r="AY82" i="370"/>
  <c r="AZ82" i="370"/>
  <c r="BA82" i="370"/>
  <c r="BB82" i="370"/>
  <c r="BC82" i="370"/>
  <c r="BD82" i="370"/>
  <c r="BE82" i="370"/>
  <c r="BF82" i="370"/>
  <c r="BG82" i="370"/>
  <c r="AQ83" i="370"/>
  <c r="AR83" i="370"/>
  <c r="AS83" i="370"/>
  <c r="AT83" i="370"/>
  <c r="AU83" i="370"/>
  <c r="AV83" i="370"/>
  <c r="AW83" i="370"/>
  <c r="AX83" i="370"/>
  <c r="AY83" i="370"/>
  <c r="AZ83" i="370"/>
  <c r="BA83" i="370"/>
  <c r="BB83" i="370"/>
  <c r="BC83" i="370"/>
  <c r="BD83" i="370"/>
  <c r="BE83" i="370"/>
  <c r="BF83" i="370"/>
  <c r="BG83" i="370"/>
  <c r="AQ84" i="370"/>
  <c r="AR84" i="370"/>
  <c r="AS84" i="370"/>
  <c r="AT84" i="370"/>
  <c r="AU84" i="370"/>
  <c r="AV84" i="370"/>
  <c r="AW84" i="370"/>
  <c r="AX84" i="370"/>
  <c r="AY84" i="370"/>
  <c r="AZ84" i="370"/>
  <c r="BA84" i="370"/>
  <c r="BB84" i="370"/>
  <c r="BC84" i="370"/>
  <c r="BD84" i="370"/>
  <c r="BE84" i="370"/>
  <c r="BF84" i="370"/>
  <c r="BG84" i="370"/>
  <c r="AQ85" i="370"/>
  <c r="AR85" i="370"/>
  <c r="AS85" i="370"/>
  <c r="AT85" i="370"/>
  <c r="AU85" i="370"/>
  <c r="AV85" i="370"/>
  <c r="AW85" i="370"/>
  <c r="AX85" i="370"/>
  <c r="AY85" i="370"/>
  <c r="AZ85" i="370"/>
  <c r="BA85" i="370"/>
  <c r="BB85" i="370"/>
  <c r="BC85" i="370"/>
  <c r="BD85" i="370"/>
  <c r="BE85" i="370"/>
  <c r="BF85" i="370"/>
  <c r="BG85" i="370"/>
  <c r="AQ86" i="370"/>
  <c r="AR86" i="370"/>
  <c r="AS86" i="370"/>
  <c r="AT86" i="370"/>
  <c r="AU86" i="370"/>
  <c r="AV86" i="370"/>
  <c r="AW86" i="370"/>
  <c r="AX86" i="370"/>
  <c r="AY86" i="370"/>
  <c r="AZ86" i="370"/>
  <c r="BA86" i="370"/>
  <c r="BB86" i="370"/>
  <c r="BC86" i="370"/>
  <c r="BD86" i="370"/>
  <c r="BE86" i="370"/>
  <c r="BF86" i="370"/>
  <c r="BG86" i="370"/>
  <c r="AQ87" i="370"/>
  <c r="AR87" i="370"/>
  <c r="AS87" i="370"/>
  <c r="AT87" i="370"/>
  <c r="AU87" i="370"/>
  <c r="AV87" i="370"/>
  <c r="AW87" i="370"/>
  <c r="AX87" i="370"/>
  <c r="AY87" i="370"/>
  <c r="AZ87" i="370"/>
  <c r="BA87" i="370"/>
  <c r="BB87" i="370"/>
  <c r="BC87" i="370"/>
  <c r="BD87" i="370"/>
  <c r="BE87" i="370"/>
  <c r="BF87" i="370"/>
  <c r="BG87" i="370"/>
  <c r="AQ88" i="370"/>
  <c r="AR88" i="370"/>
  <c r="AS88" i="370"/>
  <c r="AT88" i="370"/>
  <c r="AU88" i="370"/>
  <c r="AV88" i="370"/>
  <c r="AW88" i="370"/>
  <c r="AX88" i="370"/>
  <c r="AY88" i="370"/>
  <c r="AZ88" i="370"/>
  <c r="BA88" i="370"/>
  <c r="BB88" i="370"/>
  <c r="BC88" i="370"/>
  <c r="BD88" i="370"/>
  <c r="BE88" i="370"/>
  <c r="BF88" i="370"/>
  <c r="BG88" i="370"/>
  <c r="AQ89" i="370"/>
  <c r="AR89" i="370"/>
  <c r="AS89" i="370"/>
  <c r="AT89" i="370"/>
  <c r="AU89" i="370"/>
  <c r="AV89" i="370"/>
  <c r="AW89" i="370"/>
  <c r="AX89" i="370"/>
  <c r="AY89" i="370"/>
  <c r="AZ89" i="370"/>
  <c r="BA89" i="370"/>
  <c r="BB89" i="370"/>
  <c r="BC89" i="370"/>
  <c r="BD89" i="370"/>
  <c r="BE89" i="370"/>
  <c r="BF89" i="370"/>
  <c r="BG89" i="370"/>
  <c r="AQ90" i="370"/>
  <c r="AR90" i="370"/>
  <c r="AS90" i="370"/>
  <c r="AT90" i="370"/>
  <c r="AU90" i="370"/>
  <c r="AV90" i="370"/>
  <c r="AW90" i="370"/>
  <c r="AX90" i="370"/>
  <c r="AY90" i="370"/>
  <c r="AZ90" i="370"/>
  <c r="BA90" i="370"/>
  <c r="BB90" i="370"/>
  <c r="BC90" i="370"/>
  <c r="BD90" i="370"/>
  <c r="BE90" i="370"/>
  <c r="BF90" i="370"/>
  <c r="BG90" i="370"/>
  <c r="AQ91" i="370"/>
  <c r="AR91" i="370"/>
  <c r="AS91" i="370"/>
  <c r="AT91" i="370"/>
  <c r="AU91" i="370"/>
  <c r="AV91" i="370"/>
  <c r="AW91" i="370"/>
  <c r="AX91" i="370"/>
  <c r="AY91" i="370"/>
  <c r="AZ91" i="370"/>
  <c r="BA91" i="370"/>
  <c r="BB91" i="370"/>
  <c r="BC91" i="370"/>
  <c r="BD91" i="370"/>
  <c r="BE91" i="370"/>
  <c r="BF91" i="370"/>
  <c r="BG91" i="370"/>
  <c r="AQ92" i="370"/>
  <c r="AR92" i="370"/>
  <c r="AS92" i="370"/>
  <c r="AT92" i="370"/>
  <c r="AU92" i="370"/>
  <c r="AV92" i="370"/>
  <c r="AW92" i="370"/>
  <c r="AX92" i="370"/>
  <c r="AY92" i="370"/>
  <c r="AZ92" i="370"/>
  <c r="BA92" i="370"/>
  <c r="BB92" i="370"/>
  <c r="BC92" i="370"/>
  <c r="BD92" i="370"/>
  <c r="BE92" i="370"/>
  <c r="BF92" i="370"/>
  <c r="BG92" i="370"/>
  <c r="AQ93" i="370"/>
  <c r="AR93" i="370"/>
  <c r="AS93" i="370"/>
  <c r="AT93" i="370"/>
  <c r="AU93" i="370"/>
  <c r="AV93" i="370"/>
  <c r="AW93" i="370"/>
  <c r="AX93" i="370"/>
  <c r="AY93" i="370"/>
  <c r="AZ93" i="370"/>
  <c r="BA93" i="370"/>
  <c r="BB93" i="370"/>
  <c r="BC93" i="370"/>
  <c r="BD93" i="370"/>
  <c r="BE93" i="370"/>
  <c r="BF93" i="370"/>
  <c r="BG93" i="370"/>
  <c r="AQ94" i="370"/>
  <c r="AR94" i="370"/>
  <c r="AS94" i="370"/>
  <c r="AT94" i="370"/>
  <c r="AU94" i="370"/>
  <c r="AV94" i="370"/>
  <c r="AW94" i="370"/>
  <c r="AX94" i="370"/>
  <c r="AY94" i="370"/>
  <c r="AZ94" i="370"/>
  <c r="BA94" i="370"/>
  <c r="BB94" i="370"/>
  <c r="BC94" i="370"/>
  <c r="BD94" i="370"/>
  <c r="BE94" i="370"/>
  <c r="BF94" i="370"/>
  <c r="BG94" i="370"/>
  <c r="AQ95" i="370"/>
  <c r="AR95" i="370"/>
  <c r="AS95" i="370"/>
  <c r="AT95" i="370"/>
  <c r="AU95" i="370"/>
  <c r="AV95" i="370"/>
  <c r="AW95" i="370"/>
  <c r="AX95" i="370"/>
  <c r="AY95" i="370"/>
  <c r="AZ95" i="370"/>
  <c r="BA95" i="370"/>
  <c r="BB95" i="370"/>
  <c r="BC95" i="370"/>
  <c r="BD95" i="370"/>
  <c r="BE95" i="370"/>
  <c r="BF95" i="370"/>
  <c r="BG95" i="370"/>
  <c r="AQ96" i="370"/>
  <c r="AR96" i="370"/>
  <c r="AS96" i="370"/>
  <c r="AT96" i="370"/>
  <c r="AU96" i="370"/>
  <c r="AV96" i="370"/>
  <c r="AW96" i="370"/>
  <c r="AX96" i="370"/>
  <c r="AY96" i="370"/>
  <c r="AZ96" i="370"/>
  <c r="BA96" i="370"/>
  <c r="BB96" i="370"/>
  <c r="BC96" i="370"/>
  <c r="BD96" i="370"/>
  <c r="BE96" i="370"/>
  <c r="BF96" i="370"/>
  <c r="BG96" i="370"/>
  <c r="AQ97" i="370"/>
  <c r="AR97" i="370"/>
  <c r="AS97" i="370"/>
  <c r="AT97" i="370"/>
  <c r="AU97" i="370"/>
  <c r="AV97" i="370"/>
  <c r="AW97" i="370"/>
  <c r="AX97" i="370"/>
  <c r="AY97" i="370"/>
  <c r="AZ97" i="370"/>
  <c r="BA97" i="370"/>
  <c r="BB97" i="370"/>
  <c r="BC97" i="370"/>
  <c r="BD97" i="370"/>
  <c r="BE97" i="370"/>
  <c r="BF97" i="370"/>
  <c r="BG97" i="370"/>
  <c r="AQ98" i="370"/>
  <c r="AR98" i="370"/>
  <c r="AS98" i="370"/>
  <c r="AT98" i="370"/>
  <c r="AU98" i="370"/>
  <c r="AV98" i="370"/>
  <c r="AW98" i="370"/>
  <c r="AX98" i="370"/>
  <c r="AY98" i="370"/>
  <c r="AZ98" i="370"/>
  <c r="BA98" i="370"/>
  <c r="BB98" i="370"/>
  <c r="BC98" i="370"/>
  <c r="BD98" i="370"/>
  <c r="BE98" i="370"/>
  <c r="BF98" i="370"/>
  <c r="BG98" i="370"/>
  <c r="AQ99" i="370"/>
  <c r="AR99" i="370"/>
  <c r="AS99" i="370"/>
  <c r="AT99" i="370"/>
  <c r="AU99" i="370"/>
  <c r="AV99" i="370"/>
  <c r="AW99" i="370"/>
  <c r="AX99" i="370"/>
  <c r="AY99" i="370"/>
  <c r="AZ99" i="370"/>
  <c r="BA99" i="370"/>
  <c r="BB99" i="370"/>
  <c r="BC99" i="370"/>
  <c r="BD99" i="370"/>
  <c r="BE99" i="370"/>
  <c r="BF99" i="370"/>
  <c r="BG99" i="370"/>
  <c r="AQ100" i="370"/>
  <c r="AR100" i="370"/>
  <c r="AS100" i="370"/>
  <c r="AT100" i="370"/>
  <c r="AU100" i="370"/>
  <c r="AV100" i="370"/>
  <c r="AW100" i="370"/>
  <c r="AX100" i="370"/>
  <c r="AY100" i="370"/>
  <c r="AZ100" i="370"/>
  <c r="BA100" i="370"/>
  <c r="BB100" i="370"/>
  <c r="BC100" i="370"/>
  <c r="BD100" i="370"/>
  <c r="BE100" i="370"/>
  <c r="BF100" i="370"/>
  <c r="BG100" i="370"/>
  <c r="AQ101" i="370"/>
  <c r="AR101" i="370"/>
  <c r="AS101" i="370"/>
  <c r="AT101" i="370"/>
  <c r="AU101" i="370"/>
  <c r="AV101" i="370"/>
  <c r="AW101" i="370"/>
  <c r="AX101" i="370"/>
  <c r="AY101" i="370"/>
  <c r="AZ101" i="370"/>
  <c r="BA101" i="370"/>
  <c r="BB101" i="370"/>
  <c r="BC101" i="370"/>
  <c r="BD101" i="370"/>
  <c r="BE101" i="370"/>
  <c r="BF101" i="370"/>
  <c r="BG101" i="370"/>
  <c r="AQ102" i="370"/>
  <c r="AR102" i="370"/>
  <c r="AS102" i="370"/>
  <c r="AT102" i="370"/>
  <c r="AU102" i="370"/>
  <c r="AV102" i="370"/>
  <c r="AW102" i="370"/>
  <c r="AX102" i="370"/>
  <c r="AY102" i="370"/>
  <c r="AZ102" i="370"/>
  <c r="BA102" i="370"/>
  <c r="BB102" i="370"/>
  <c r="BC102" i="370"/>
  <c r="BD102" i="370"/>
  <c r="BE102" i="370"/>
  <c r="BF102" i="370"/>
  <c r="BG102" i="370"/>
  <c r="AQ103" i="370"/>
  <c r="AR103" i="370"/>
  <c r="AS103" i="370"/>
  <c r="AT103" i="370"/>
  <c r="AU103" i="370"/>
  <c r="AV103" i="370"/>
  <c r="AW103" i="370"/>
  <c r="AX103" i="370"/>
  <c r="AY103" i="370"/>
  <c r="AZ103" i="370"/>
  <c r="BA103" i="370"/>
  <c r="BB103" i="370"/>
  <c r="BC103" i="370"/>
  <c r="BD103" i="370"/>
  <c r="BE103" i="370"/>
  <c r="BF103" i="370"/>
  <c r="BG103" i="370"/>
  <c r="AQ104" i="370"/>
  <c r="AR104" i="370"/>
  <c r="AS104" i="370"/>
  <c r="AT104" i="370"/>
  <c r="AU104" i="370"/>
  <c r="AV104" i="370"/>
  <c r="AW104" i="370"/>
  <c r="AX104" i="370"/>
  <c r="AY104" i="370"/>
  <c r="AZ104" i="370"/>
  <c r="BA104" i="370"/>
  <c r="BB104" i="370"/>
  <c r="BC104" i="370"/>
  <c r="BD104" i="370"/>
  <c r="BE104" i="370"/>
  <c r="BF104" i="370"/>
  <c r="BG104" i="370"/>
  <c r="AQ105" i="370"/>
  <c r="AR105" i="370"/>
  <c r="AS105" i="370"/>
  <c r="AT105" i="370"/>
  <c r="AU105" i="370"/>
  <c r="AV105" i="370"/>
  <c r="AW105" i="370"/>
  <c r="AX105" i="370"/>
  <c r="AY105" i="370"/>
  <c r="AZ105" i="370"/>
  <c r="BA105" i="370"/>
  <c r="BB105" i="370"/>
  <c r="BC105" i="370"/>
  <c r="BD105" i="370"/>
  <c r="BE105" i="370"/>
  <c r="BF105" i="370"/>
  <c r="BG105" i="370"/>
  <c r="AQ106" i="370"/>
  <c r="AR106" i="370"/>
  <c r="AS106" i="370"/>
  <c r="AT106" i="370"/>
  <c r="AU106" i="370"/>
  <c r="AV106" i="370"/>
  <c r="AW106" i="370"/>
  <c r="AX106" i="370"/>
  <c r="AY106" i="370"/>
  <c r="AZ106" i="370"/>
  <c r="BA106" i="370"/>
  <c r="BB106" i="370"/>
  <c r="BC106" i="370"/>
  <c r="BD106" i="370"/>
  <c r="BE106" i="370"/>
  <c r="BF106" i="370"/>
  <c r="BG106" i="370"/>
  <c r="AQ107" i="370"/>
  <c r="AR107" i="370"/>
  <c r="AS107" i="370"/>
  <c r="AT107" i="370"/>
  <c r="AU107" i="370"/>
  <c r="AV107" i="370"/>
  <c r="AW107" i="370"/>
  <c r="AX107" i="370"/>
  <c r="AY107" i="370"/>
  <c r="AZ107" i="370"/>
  <c r="BA107" i="370"/>
  <c r="BB107" i="370"/>
  <c r="BC107" i="370"/>
  <c r="BD107" i="370"/>
  <c r="BE107" i="370"/>
  <c r="BF107" i="370"/>
  <c r="BG107" i="370"/>
  <c r="AQ108" i="370"/>
  <c r="AR108" i="370"/>
  <c r="AS108" i="370"/>
  <c r="AT108" i="370"/>
  <c r="AU108" i="370"/>
  <c r="AV108" i="370"/>
  <c r="AW108" i="370"/>
  <c r="AX108" i="370"/>
  <c r="AY108" i="370"/>
  <c r="AZ108" i="370"/>
  <c r="BA108" i="370"/>
  <c r="BB108" i="370"/>
  <c r="BC108" i="370"/>
  <c r="BD108" i="370"/>
  <c r="BE108" i="370"/>
  <c r="BF108" i="370"/>
  <c r="BG108" i="370"/>
  <c r="AQ109" i="370"/>
  <c r="AR109" i="370"/>
  <c r="AS109" i="370"/>
  <c r="AT109" i="370"/>
  <c r="AU109" i="370"/>
  <c r="AV109" i="370"/>
  <c r="AW109" i="370"/>
  <c r="AX109" i="370"/>
  <c r="AY109" i="370"/>
  <c r="AZ109" i="370"/>
  <c r="BA109" i="370"/>
  <c r="BB109" i="370"/>
  <c r="BC109" i="370"/>
  <c r="BD109" i="370"/>
  <c r="BE109" i="370"/>
  <c r="BF109" i="370"/>
  <c r="BG109" i="370"/>
  <c r="AQ110" i="370"/>
  <c r="AR110" i="370"/>
  <c r="AS110" i="370"/>
  <c r="AT110" i="370"/>
  <c r="AU110" i="370"/>
  <c r="AV110" i="370"/>
  <c r="AW110" i="370"/>
  <c r="AX110" i="370"/>
  <c r="AY110" i="370"/>
  <c r="AZ110" i="370"/>
  <c r="BA110" i="370"/>
  <c r="BB110" i="370"/>
  <c r="BC110" i="370"/>
  <c r="BD110" i="370"/>
  <c r="BE110" i="370"/>
  <c r="BF110" i="370"/>
  <c r="BG110" i="370"/>
  <c r="AQ111" i="370"/>
  <c r="AR111" i="370"/>
  <c r="AS111" i="370"/>
  <c r="AT111" i="370"/>
  <c r="AU111" i="370"/>
  <c r="AV111" i="370"/>
  <c r="AW111" i="370"/>
  <c r="AX111" i="370"/>
  <c r="AY111" i="370"/>
  <c r="AZ111" i="370"/>
  <c r="BA111" i="370"/>
  <c r="BB111" i="370"/>
  <c r="BC111" i="370"/>
  <c r="BD111" i="370"/>
  <c r="BE111" i="370"/>
  <c r="BF111" i="370"/>
  <c r="BG111" i="370"/>
  <c r="AQ112" i="370"/>
  <c r="AR112" i="370"/>
  <c r="AS112" i="370"/>
  <c r="AT112" i="370"/>
  <c r="AU112" i="370"/>
  <c r="AV112" i="370"/>
  <c r="AW112" i="370"/>
  <c r="AX112" i="370"/>
  <c r="AY112" i="370"/>
  <c r="AZ112" i="370"/>
  <c r="BA112" i="370"/>
  <c r="BB112" i="370"/>
  <c r="BC112" i="370"/>
  <c r="BD112" i="370"/>
  <c r="BE112" i="370"/>
  <c r="BF112" i="370"/>
  <c r="BG112" i="370"/>
  <c r="AQ113" i="370"/>
  <c r="AR113" i="370"/>
  <c r="AS113" i="370"/>
  <c r="AT113" i="370"/>
  <c r="AU113" i="370"/>
  <c r="AV113" i="370"/>
  <c r="AW113" i="370"/>
  <c r="AX113" i="370"/>
  <c r="AY113" i="370"/>
  <c r="AZ113" i="370"/>
  <c r="BA113" i="370"/>
  <c r="BB113" i="370"/>
  <c r="BC113" i="370"/>
  <c r="BD113" i="370"/>
  <c r="BE113" i="370"/>
  <c r="BF113" i="370"/>
  <c r="BG113" i="370"/>
  <c r="AQ114" i="370"/>
  <c r="AR114" i="370"/>
  <c r="AS114" i="370"/>
  <c r="AT114" i="370"/>
  <c r="AU114" i="370"/>
  <c r="AV114" i="370"/>
  <c r="AW114" i="370"/>
  <c r="AX114" i="370"/>
  <c r="AY114" i="370"/>
  <c r="AZ114" i="370"/>
  <c r="BA114" i="370"/>
  <c r="BB114" i="370"/>
  <c r="BC114" i="370"/>
  <c r="BD114" i="370"/>
  <c r="BE114" i="370"/>
  <c r="BF114" i="370"/>
  <c r="BG114" i="370"/>
  <c r="AQ115" i="370"/>
  <c r="AR115" i="370"/>
  <c r="AS115" i="370"/>
  <c r="AT115" i="370"/>
  <c r="AU115" i="370"/>
  <c r="AV115" i="370"/>
  <c r="AW115" i="370"/>
  <c r="AX115" i="370"/>
  <c r="AY115" i="370"/>
  <c r="AZ115" i="370"/>
  <c r="BA115" i="370"/>
  <c r="BB115" i="370"/>
  <c r="BC115" i="370"/>
  <c r="BD115" i="370"/>
  <c r="BE115" i="370"/>
  <c r="BF115" i="370"/>
  <c r="BG115" i="370"/>
  <c r="AQ116" i="370"/>
  <c r="AR116" i="370"/>
  <c r="AS116" i="370"/>
  <c r="AT116" i="370"/>
  <c r="AU116" i="370"/>
  <c r="AV116" i="370"/>
  <c r="AW116" i="370"/>
  <c r="AX116" i="370"/>
  <c r="AY116" i="370"/>
  <c r="AZ116" i="370"/>
  <c r="BA116" i="370"/>
  <c r="BB116" i="370"/>
  <c r="BC116" i="370"/>
  <c r="BD116" i="370"/>
  <c r="BE116" i="370"/>
  <c r="BF116" i="370"/>
  <c r="BG116" i="370"/>
  <c r="AQ117" i="370"/>
  <c r="AR117" i="370"/>
  <c r="AS117" i="370"/>
  <c r="AT117" i="370"/>
  <c r="AU117" i="370"/>
  <c r="AV117" i="370"/>
  <c r="AW117" i="370"/>
  <c r="AX117" i="370"/>
  <c r="AY117" i="370"/>
  <c r="AZ117" i="370"/>
  <c r="BA117" i="370"/>
  <c r="BB117" i="370"/>
  <c r="BC117" i="370"/>
  <c r="BD117" i="370"/>
  <c r="BE117" i="370"/>
  <c r="BF117" i="370"/>
  <c r="BG117" i="370"/>
  <c r="AQ118" i="370"/>
  <c r="AR118" i="370"/>
  <c r="AS118" i="370"/>
  <c r="AT118" i="370"/>
  <c r="AU118" i="370"/>
  <c r="AV118" i="370"/>
  <c r="AW118" i="370"/>
  <c r="AX118" i="370"/>
  <c r="AY118" i="370"/>
  <c r="AZ118" i="370"/>
  <c r="BA118" i="370"/>
  <c r="BB118" i="370"/>
  <c r="BC118" i="370"/>
  <c r="BD118" i="370"/>
  <c r="BE118" i="370"/>
  <c r="BF118" i="370"/>
  <c r="BG118" i="370"/>
  <c r="AQ119" i="370"/>
  <c r="AR119" i="370"/>
  <c r="AS119" i="370"/>
  <c r="AT119" i="370"/>
  <c r="AU119" i="370"/>
  <c r="AV119" i="370"/>
  <c r="AW119" i="370"/>
  <c r="AX119" i="370"/>
  <c r="AY119" i="370"/>
  <c r="AZ119" i="370"/>
  <c r="BA119" i="370"/>
  <c r="BB119" i="370"/>
  <c r="BC119" i="370"/>
  <c r="BD119" i="370"/>
  <c r="BE119" i="370"/>
  <c r="BF119" i="370"/>
  <c r="BG119" i="370"/>
  <c r="AQ120" i="370"/>
  <c r="AR120" i="370"/>
  <c r="AS120" i="370"/>
  <c r="AT120" i="370"/>
  <c r="AU120" i="370"/>
  <c r="AV120" i="370"/>
  <c r="AW120" i="370"/>
  <c r="AX120" i="370"/>
  <c r="AY120" i="370"/>
  <c r="AZ120" i="370"/>
  <c r="BA120" i="370"/>
  <c r="BB120" i="370"/>
  <c r="BC120" i="370"/>
  <c r="BD120" i="370"/>
  <c r="BE120" i="370"/>
  <c r="BF120" i="370"/>
  <c r="BG120" i="370"/>
  <c r="AQ121" i="370"/>
  <c r="AR121" i="370"/>
  <c r="AS121" i="370"/>
  <c r="AT121" i="370"/>
  <c r="AU121" i="370"/>
  <c r="AV121" i="370"/>
  <c r="AW121" i="370"/>
  <c r="AX121" i="370"/>
  <c r="AY121" i="370"/>
  <c r="AZ121" i="370"/>
  <c r="BA121" i="370"/>
  <c r="BB121" i="370"/>
  <c r="BC121" i="370"/>
  <c r="BD121" i="370"/>
  <c r="BE121" i="370"/>
  <c r="BF121" i="370"/>
  <c r="BG121" i="370"/>
  <c r="AQ122" i="370"/>
  <c r="AR122" i="370"/>
  <c r="AS122" i="370"/>
  <c r="AT122" i="370"/>
  <c r="AU122" i="370"/>
  <c r="AV122" i="370"/>
  <c r="AW122" i="370"/>
  <c r="AX122" i="370"/>
  <c r="AY122" i="370"/>
  <c r="AZ122" i="370"/>
  <c r="BA122" i="370"/>
  <c r="BB122" i="370"/>
  <c r="BC122" i="370"/>
  <c r="BD122" i="370"/>
  <c r="BE122" i="370"/>
  <c r="BF122" i="370"/>
  <c r="BG122" i="370"/>
  <c r="AQ123" i="370"/>
  <c r="AR123" i="370"/>
  <c r="AS123" i="370"/>
  <c r="AT123" i="370"/>
  <c r="AU123" i="370"/>
  <c r="AV123" i="370"/>
  <c r="AW123" i="370"/>
  <c r="AX123" i="370"/>
  <c r="AY123" i="370"/>
  <c r="AZ123" i="370"/>
  <c r="BA123" i="370"/>
  <c r="BB123" i="370"/>
  <c r="BC123" i="370"/>
  <c r="BD123" i="370"/>
  <c r="BE123" i="370"/>
  <c r="BF123" i="370"/>
  <c r="BG123" i="370"/>
  <c r="AQ124" i="370"/>
  <c r="AR124" i="370"/>
  <c r="AS124" i="370"/>
  <c r="AT124" i="370"/>
  <c r="AU124" i="370"/>
  <c r="AV124" i="370"/>
  <c r="AW124" i="370"/>
  <c r="AX124" i="370"/>
  <c r="AY124" i="370"/>
  <c r="AZ124" i="370"/>
  <c r="BA124" i="370"/>
  <c r="BB124" i="370"/>
  <c r="BC124" i="370"/>
  <c r="BD124" i="370"/>
  <c r="BE124" i="370"/>
  <c r="BF124" i="370"/>
  <c r="BG124" i="370"/>
  <c r="AQ125" i="370"/>
  <c r="AR125" i="370"/>
  <c r="AS125" i="370"/>
  <c r="AT125" i="370"/>
  <c r="AU125" i="370"/>
  <c r="AV125" i="370"/>
  <c r="AW125" i="370"/>
  <c r="AX125" i="370"/>
  <c r="AY125" i="370"/>
  <c r="AZ125" i="370"/>
  <c r="BA125" i="370"/>
  <c r="BB125" i="370"/>
  <c r="BC125" i="370"/>
  <c r="BD125" i="370"/>
  <c r="BE125" i="370"/>
  <c r="BF125" i="370"/>
  <c r="BG125" i="370"/>
  <c r="AQ126" i="370"/>
  <c r="AR126" i="370"/>
  <c r="AS126" i="370"/>
  <c r="AT126" i="370"/>
  <c r="AU126" i="370"/>
  <c r="AV126" i="370"/>
  <c r="AW126" i="370"/>
  <c r="AX126" i="370"/>
  <c r="AY126" i="370"/>
  <c r="AZ126" i="370"/>
  <c r="BA126" i="370"/>
  <c r="BB126" i="370"/>
  <c r="BC126" i="370"/>
  <c r="BD126" i="370"/>
  <c r="BE126" i="370"/>
  <c r="BF126" i="370"/>
  <c r="BG126" i="370"/>
  <c r="AQ127" i="370"/>
  <c r="AR127" i="370"/>
  <c r="AS127" i="370"/>
  <c r="AT127" i="370"/>
  <c r="AU127" i="370"/>
  <c r="AV127" i="370"/>
  <c r="AW127" i="370"/>
  <c r="AX127" i="370"/>
  <c r="AY127" i="370"/>
  <c r="AZ127" i="370"/>
  <c r="BA127" i="370"/>
  <c r="BB127" i="370"/>
  <c r="BC127" i="370"/>
  <c r="BD127" i="370"/>
  <c r="BE127" i="370"/>
  <c r="BF127" i="370"/>
  <c r="BG127" i="370"/>
  <c r="AQ128" i="370"/>
  <c r="AR128" i="370"/>
  <c r="AS128" i="370"/>
  <c r="AT128" i="370"/>
  <c r="AU128" i="370"/>
  <c r="AV128" i="370"/>
  <c r="AW128" i="370"/>
  <c r="AX128" i="370"/>
  <c r="AY128" i="370"/>
  <c r="AZ128" i="370"/>
  <c r="BA128" i="370"/>
  <c r="BB128" i="370"/>
  <c r="BC128" i="370"/>
  <c r="BD128" i="370"/>
  <c r="BE128" i="370"/>
  <c r="BF128" i="370"/>
  <c r="BG128" i="370"/>
  <c r="AQ129" i="370"/>
  <c r="AR129" i="370"/>
  <c r="AS129" i="370"/>
  <c r="AT129" i="370"/>
  <c r="AU129" i="370"/>
  <c r="AV129" i="370"/>
  <c r="AW129" i="370"/>
  <c r="AX129" i="370"/>
  <c r="AY129" i="370"/>
  <c r="AZ129" i="370"/>
  <c r="BA129" i="370"/>
  <c r="BB129" i="370"/>
  <c r="BC129" i="370"/>
  <c r="BD129" i="370"/>
  <c r="BE129" i="370"/>
  <c r="BF129" i="370"/>
  <c r="BG129" i="370"/>
  <c r="AQ130" i="370"/>
  <c r="AR130" i="370"/>
  <c r="AS130" i="370"/>
  <c r="AT130" i="370"/>
  <c r="AU130" i="370"/>
  <c r="AV130" i="370"/>
  <c r="AW130" i="370"/>
  <c r="AX130" i="370"/>
  <c r="AY130" i="370"/>
  <c r="AZ130" i="370"/>
  <c r="BA130" i="370"/>
  <c r="BB130" i="370"/>
  <c r="BC130" i="370"/>
  <c r="BD130" i="370"/>
  <c r="BE130" i="370"/>
  <c r="BF130" i="370"/>
  <c r="BG130" i="370"/>
  <c r="AV31" i="370"/>
  <c r="AW31" i="370"/>
  <c r="AX31" i="370"/>
  <c r="AY31" i="370"/>
  <c r="AZ31" i="370"/>
  <c r="BA31" i="370"/>
  <c r="BB31" i="370"/>
  <c r="BC31" i="370"/>
  <c r="BD31" i="370"/>
  <c r="BE31" i="370"/>
  <c r="BF31" i="370"/>
  <c r="BG31" i="370"/>
  <c r="R131" i="370"/>
  <c r="S131" i="370"/>
  <c r="T131" i="370"/>
  <c r="U131" i="370"/>
  <c r="V131" i="370"/>
  <c r="W131" i="370"/>
  <c r="X131" i="370"/>
  <c r="Y131" i="370"/>
  <c r="Z131" i="370"/>
  <c r="AA131" i="370"/>
  <c r="AB131" i="370"/>
  <c r="AC131" i="370"/>
  <c r="D29" i="370" a="1"/>
  <c r="D29" i="370" s="1"/>
  <c r="C58" i="1"/>
  <c r="D30" i="370" s="1" a="1"/>
  <c r="AF2" i="370"/>
  <c r="AF30" i="370" s="1"/>
  <c r="AE2" i="370"/>
  <c r="AF1" i="370"/>
  <c r="AE1" i="370"/>
  <c r="X131" i="476"/>
  <c r="V131" i="476"/>
  <c r="X131" i="475"/>
  <c r="V131" i="475"/>
  <c r="S131" i="475"/>
  <c r="R131" i="475"/>
  <c r="Q131" i="475"/>
  <c r="Z131" i="474"/>
  <c r="X131" i="474"/>
  <c r="V131" i="474"/>
  <c r="U131" i="474"/>
  <c r="T131" i="474"/>
  <c r="S131" i="474"/>
  <c r="X131" i="473"/>
  <c r="T131" i="473"/>
  <c r="S131" i="473"/>
  <c r="R131" i="473"/>
  <c r="Q131" i="473"/>
  <c r="X131" i="472"/>
  <c r="V131" i="472"/>
  <c r="T131" i="472"/>
  <c r="S131" i="472"/>
  <c r="R131" i="472"/>
  <c r="Q131" i="472"/>
  <c r="X131" i="471"/>
  <c r="T131" i="471"/>
  <c r="S131" i="471"/>
  <c r="R131" i="471"/>
  <c r="Q131" i="471"/>
  <c r="I131" i="469"/>
  <c r="J131" i="469"/>
  <c r="K131" i="469"/>
  <c r="L131" i="469"/>
  <c r="M131" i="469"/>
  <c r="N131" i="469"/>
  <c r="O131" i="469"/>
  <c r="P131" i="469"/>
  <c r="Q131" i="469"/>
  <c r="R131" i="469"/>
  <c r="X131" i="469"/>
  <c r="AQ74" i="477"/>
  <c r="AQ104" i="477"/>
  <c r="AO104" i="477" s="1"/>
  <c r="AQ105" i="477"/>
  <c r="AO105" i="477" s="1"/>
  <c r="AQ106" i="477"/>
  <c r="AO106" i="477" s="1"/>
  <c r="AQ107" i="477"/>
  <c r="AO107" i="477" s="1"/>
  <c r="AQ108" i="477"/>
  <c r="AQ109" i="477"/>
  <c r="AQ110" i="477"/>
  <c r="AQ111" i="477"/>
  <c r="AQ112" i="477"/>
  <c r="AQ113" i="477"/>
  <c r="AQ114" i="477"/>
  <c r="AQ115" i="477"/>
  <c r="AQ116" i="477"/>
  <c r="AQ117" i="477"/>
  <c r="AQ118" i="477"/>
  <c r="AQ119" i="477"/>
  <c r="AQ120" i="477"/>
  <c r="AQ121" i="477"/>
  <c r="AQ122" i="477"/>
  <c r="AQ123" i="477"/>
  <c r="AQ124" i="477"/>
  <c r="AQ125" i="477"/>
  <c r="AQ126" i="477"/>
  <c r="AQ127" i="477"/>
  <c r="AQ128" i="477"/>
  <c r="AQ129" i="477"/>
  <c r="AQ130" i="477"/>
  <c r="B32" i="477"/>
  <c r="B33" i="477"/>
  <c r="B34" i="477"/>
  <c r="B35" i="477"/>
  <c r="B36" i="477"/>
  <c r="B37" i="477"/>
  <c r="B38" i="477"/>
  <c r="B39" i="477"/>
  <c r="B40" i="477"/>
  <c r="B41" i="477"/>
  <c r="B42" i="477"/>
  <c r="B43" i="477"/>
  <c r="B44" i="477"/>
  <c r="B45" i="477"/>
  <c r="B46" i="477"/>
  <c r="B47" i="477"/>
  <c r="B48" i="477"/>
  <c r="B49" i="477"/>
  <c r="B50" i="477"/>
  <c r="B51" i="477"/>
  <c r="B52" i="477"/>
  <c r="B53" i="477"/>
  <c r="B54" i="477"/>
  <c r="B55" i="477"/>
  <c r="B56" i="477"/>
  <c r="B57" i="477"/>
  <c r="B58" i="477"/>
  <c r="B59" i="477"/>
  <c r="B60" i="477"/>
  <c r="B61" i="477"/>
  <c r="B62" i="477"/>
  <c r="B63" i="477"/>
  <c r="B64" i="477"/>
  <c r="B65" i="477"/>
  <c r="B66" i="477"/>
  <c r="B67" i="477"/>
  <c r="B68" i="477"/>
  <c r="B69" i="477"/>
  <c r="B70" i="477"/>
  <c r="B71" i="477"/>
  <c r="B72" i="477"/>
  <c r="B73" i="477"/>
  <c r="B74" i="477"/>
  <c r="B75" i="477"/>
  <c r="B76" i="477"/>
  <c r="B77" i="477"/>
  <c r="B78" i="477"/>
  <c r="B79" i="477"/>
  <c r="B80" i="477"/>
  <c r="B81" i="477"/>
  <c r="B82" i="477"/>
  <c r="B83" i="477"/>
  <c r="B84" i="477"/>
  <c r="B85" i="477"/>
  <c r="B86" i="477"/>
  <c r="B87" i="477"/>
  <c r="B88" i="477"/>
  <c r="B89" i="477"/>
  <c r="B90" i="477"/>
  <c r="B91" i="477"/>
  <c r="B92" i="477"/>
  <c r="B93" i="477"/>
  <c r="B94" i="477"/>
  <c r="B95" i="477"/>
  <c r="B96" i="477"/>
  <c r="B97" i="477"/>
  <c r="B98" i="477"/>
  <c r="B99" i="477"/>
  <c r="B100" i="477"/>
  <c r="B101" i="477"/>
  <c r="B102" i="477"/>
  <c r="B103" i="477"/>
  <c r="B104" i="477"/>
  <c r="B105" i="477"/>
  <c r="B106" i="477"/>
  <c r="B107" i="477"/>
  <c r="B108" i="477"/>
  <c r="B109" i="477"/>
  <c r="B110" i="477"/>
  <c r="B111" i="477"/>
  <c r="B112" i="477"/>
  <c r="B113" i="477"/>
  <c r="B114" i="477"/>
  <c r="B115" i="477"/>
  <c r="B116" i="477"/>
  <c r="B117" i="477"/>
  <c r="B118" i="477"/>
  <c r="B119" i="477"/>
  <c r="B120" i="477"/>
  <c r="B121" i="477"/>
  <c r="B122" i="477"/>
  <c r="B123" i="477"/>
  <c r="B124" i="477"/>
  <c r="B125" i="477"/>
  <c r="B126" i="477"/>
  <c r="B127" i="477"/>
  <c r="B128" i="477"/>
  <c r="B129" i="477"/>
  <c r="B130" i="477"/>
  <c r="AR130" i="477"/>
  <c r="AR128" i="477"/>
  <c r="AR126" i="477"/>
  <c r="AR124" i="477"/>
  <c r="AR122" i="477"/>
  <c r="AR120" i="477"/>
  <c r="AR118" i="477"/>
  <c r="AR116" i="477"/>
  <c r="AR115" i="477"/>
  <c r="AR114" i="477"/>
  <c r="AS113" i="477"/>
  <c r="AR112" i="477"/>
  <c r="AS111" i="477"/>
  <c r="AR110" i="477"/>
  <c r="AS109" i="477"/>
  <c r="AR108" i="477"/>
  <c r="AS107" i="477"/>
  <c r="AS105" i="477"/>
  <c r="AR103" i="477"/>
  <c r="AS101" i="477"/>
  <c r="AS99" i="477"/>
  <c r="AR97" i="477"/>
  <c r="AS96" i="477"/>
  <c r="AR95" i="477"/>
  <c r="AR94" i="477"/>
  <c r="AR93" i="477"/>
  <c r="AS92" i="477"/>
  <c r="AR91" i="477"/>
  <c r="AR90" i="477"/>
  <c r="AR88" i="477"/>
  <c r="AS87" i="477"/>
  <c r="AR86" i="477"/>
  <c r="AR84" i="477"/>
  <c r="AS83" i="477"/>
  <c r="AS81" i="477"/>
  <c r="AS77" i="477"/>
  <c r="AS73" i="477"/>
  <c r="AS69" i="477"/>
  <c r="AS65" i="477"/>
  <c r="AS64" i="477"/>
  <c r="AR64" i="477"/>
  <c r="AS63" i="477"/>
  <c r="AS62" i="477"/>
  <c r="AR62" i="477"/>
  <c r="AS60" i="477"/>
  <c r="AR60" i="477"/>
  <c r="AS58" i="477"/>
  <c r="AR58" i="477"/>
  <c r="AS56" i="477"/>
  <c r="AR56" i="477"/>
  <c r="AS54" i="477"/>
  <c r="AR54" i="477"/>
  <c r="AS52" i="477"/>
  <c r="AR52" i="477"/>
  <c r="AS50" i="477"/>
  <c r="AR50" i="477"/>
  <c r="AS48" i="477"/>
  <c r="AR48" i="477"/>
  <c r="AS46" i="477"/>
  <c r="AR46" i="477"/>
  <c r="AS44" i="477"/>
  <c r="AR44" i="477"/>
  <c r="AS42" i="477"/>
  <c r="AR42" i="477"/>
  <c r="AS41" i="477"/>
  <c r="AR41" i="477"/>
  <c r="AS39" i="477"/>
  <c r="AR39" i="477"/>
  <c r="AS37" i="477"/>
  <c r="AR37" i="477"/>
  <c r="AS35" i="477"/>
  <c r="AR35" i="477"/>
  <c r="AS33" i="477"/>
  <c r="AR33" i="477"/>
  <c r="B31" i="477"/>
  <c r="CP30" i="477"/>
  <c r="CO30" i="477"/>
  <c r="CN30" i="477"/>
  <c r="CM30" i="477"/>
  <c r="CL30" i="477"/>
  <c r="CK30" i="477"/>
  <c r="CJ30" i="477"/>
  <c r="CI30" i="477"/>
  <c r="CH30" i="477"/>
  <c r="CG30" i="477"/>
  <c r="AT30" i="477"/>
  <c r="E29" i="477"/>
  <c r="D29" i="477"/>
  <c r="C29" i="477"/>
  <c r="AP3" i="477"/>
  <c r="AO3" i="477"/>
  <c r="BA2" i="477"/>
  <c r="AZ2" i="477"/>
  <c r="AY2" i="477"/>
  <c r="AX2" i="477"/>
  <c r="AW2" i="477"/>
  <c r="AV2" i="477"/>
  <c r="AU2" i="477"/>
  <c r="AP2" i="477"/>
  <c r="AO2" i="477"/>
  <c r="B1" i="477"/>
  <c r="C107" i="527" l="1"/>
  <c r="C107" i="539"/>
  <c r="F107" i="476"/>
  <c r="F107" i="558"/>
  <c r="F107" i="536"/>
  <c r="G107" i="536" s="1"/>
  <c r="C107" i="526"/>
  <c r="C107" i="521"/>
  <c r="C107" i="522"/>
  <c r="C106" i="527"/>
  <c r="F106" i="476"/>
  <c r="AB106" i="476" s="1"/>
  <c r="C106" i="539"/>
  <c r="F106" i="558"/>
  <c r="C106" i="522"/>
  <c r="C106" i="526"/>
  <c r="C106" i="521"/>
  <c r="F106" i="536"/>
  <c r="G106" i="536" s="1"/>
  <c r="F105" i="558"/>
  <c r="C105" i="539"/>
  <c r="F105" i="476"/>
  <c r="C105" i="527"/>
  <c r="C105" i="526"/>
  <c r="C105" i="522"/>
  <c r="F105" i="536"/>
  <c r="G105" i="536" s="1"/>
  <c r="C105" i="521"/>
  <c r="F104" i="558"/>
  <c r="C104" i="539"/>
  <c r="C104" i="527"/>
  <c r="F104" i="476"/>
  <c r="Z104" i="476" s="1"/>
  <c r="J104" i="370" s="1"/>
  <c r="AN104" i="370" s="1"/>
  <c r="C104" i="522"/>
  <c r="C104" i="521"/>
  <c r="C104" i="526"/>
  <c r="F104" i="536"/>
  <c r="G104" i="536" s="1"/>
  <c r="P124" i="535"/>
  <c r="Q124" i="532"/>
  <c r="Q124" i="535" s="1"/>
  <c r="P120" i="535"/>
  <c r="Q120" i="532"/>
  <c r="Q120" i="535" s="1"/>
  <c r="P74" i="535"/>
  <c r="Q74" i="532"/>
  <c r="Q74" i="535" s="1"/>
  <c r="Q130" i="532"/>
  <c r="Q130" i="535" s="1"/>
  <c r="P130" i="535"/>
  <c r="P122" i="535"/>
  <c r="Q122" i="532"/>
  <c r="Q122" i="535" s="1"/>
  <c r="P112" i="535"/>
  <c r="Q112" i="532"/>
  <c r="Q112" i="535" s="1"/>
  <c r="P115" i="535"/>
  <c r="Q115" i="532"/>
  <c r="Q115" i="535" s="1"/>
  <c r="P126" i="535"/>
  <c r="Q126" i="532"/>
  <c r="Q126" i="535" s="1"/>
  <c r="Q121" i="532"/>
  <c r="Q121" i="535" s="1"/>
  <c r="P121" i="535"/>
  <c r="P125" i="535"/>
  <c r="Q125" i="532"/>
  <c r="Q125" i="535" s="1"/>
  <c r="P111" i="535"/>
  <c r="Q111" i="532"/>
  <c r="Q111" i="535" s="1"/>
  <c r="P129" i="535"/>
  <c r="Q129" i="532"/>
  <c r="Q129" i="535" s="1"/>
  <c r="Q113" i="532"/>
  <c r="Q113" i="535" s="1"/>
  <c r="P113" i="535"/>
  <c r="P128" i="535"/>
  <c r="Q128" i="532"/>
  <c r="Q128" i="535" s="1"/>
  <c r="P116" i="535"/>
  <c r="Q116" i="532"/>
  <c r="Q116" i="535" s="1"/>
  <c r="P119" i="535"/>
  <c r="Q119" i="532"/>
  <c r="Q119" i="535" s="1"/>
  <c r="P114" i="535"/>
  <c r="Q114" i="532"/>
  <c r="Q114" i="535" s="1"/>
  <c r="P127" i="535"/>
  <c r="Q127" i="532"/>
  <c r="Q127" i="535" s="1"/>
  <c r="P110" i="535"/>
  <c r="Q110" i="532"/>
  <c r="Q110" i="535" s="1"/>
  <c r="P117" i="535"/>
  <c r="Q117" i="532"/>
  <c r="Q117" i="535" s="1"/>
  <c r="P109" i="535"/>
  <c r="Q109" i="532"/>
  <c r="Q109" i="535" s="1"/>
  <c r="P123" i="535"/>
  <c r="Q123" i="532"/>
  <c r="Q123" i="535" s="1"/>
  <c r="P108" i="535"/>
  <c r="Q108" i="532"/>
  <c r="Q108" i="535" s="1"/>
  <c r="P118" i="535"/>
  <c r="Q118" i="532"/>
  <c r="Q118" i="535" s="1"/>
  <c r="G29" i="477"/>
  <c r="AT29" i="477" s="1"/>
  <c r="CT4" i="477"/>
  <c r="K109" i="531"/>
  <c r="N109" i="531" s="1"/>
  <c r="Q109" i="531" s="1"/>
  <c r="T109" i="531" s="1"/>
  <c r="K129" i="531"/>
  <c r="N129" i="531" s="1"/>
  <c r="Q129" i="531" s="1"/>
  <c r="K113" i="531"/>
  <c r="N113" i="531" s="1"/>
  <c r="K118" i="531"/>
  <c r="N118" i="531" s="1"/>
  <c r="Q118" i="531" s="1"/>
  <c r="T118" i="531" s="1"/>
  <c r="K120" i="531"/>
  <c r="N120" i="531" s="1"/>
  <c r="Q120" i="531" s="1"/>
  <c r="T120" i="531" s="1"/>
  <c r="K128" i="531"/>
  <c r="N128" i="531" s="1"/>
  <c r="Q128" i="531" s="1"/>
  <c r="T128" i="531" s="1"/>
  <c r="K121" i="531"/>
  <c r="N121" i="531" s="1"/>
  <c r="Q121" i="531" s="1"/>
  <c r="T121" i="531" s="1"/>
  <c r="K112" i="531"/>
  <c r="N112" i="531" s="1"/>
  <c r="B127" i="532"/>
  <c r="U127" i="532" s="1"/>
  <c r="B48" i="532"/>
  <c r="U48" i="532" s="1"/>
  <c r="B67" i="532"/>
  <c r="U67" i="532" s="1"/>
  <c r="B71" i="532"/>
  <c r="U71" i="532" s="1"/>
  <c r="B73" i="532"/>
  <c r="U73" i="532" s="1"/>
  <c r="B93" i="532"/>
  <c r="U93" i="532" s="1"/>
  <c r="B92" i="532"/>
  <c r="U92" i="532" s="1"/>
  <c r="B82" i="532"/>
  <c r="U82" i="532" s="1"/>
  <c r="B83" i="532"/>
  <c r="U83" i="532" s="1"/>
  <c r="B77" i="532"/>
  <c r="U77" i="532" s="1"/>
  <c r="K111" i="531"/>
  <c r="N111" i="531" s="1"/>
  <c r="Q111" i="531" s="1"/>
  <c r="B103" i="532"/>
  <c r="U103" i="532" s="1"/>
  <c r="B64" i="532"/>
  <c r="U64" i="532" s="1"/>
  <c r="B120" i="532"/>
  <c r="U120" i="532" s="1"/>
  <c r="B110" i="532"/>
  <c r="U110" i="532" s="1"/>
  <c r="B117" i="532"/>
  <c r="U117" i="532" s="1"/>
  <c r="J117" i="527"/>
  <c r="B116" i="532"/>
  <c r="U116" i="532" s="1"/>
  <c r="K123" i="531"/>
  <c r="N123" i="531" s="1"/>
  <c r="Q123" i="531" s="1"/>
  <c r="T123" i="531" s="1"/>
  <c r="K119" i="531"/>
  <c r="N119" i="531" s="1"/>
  <c r="Q119" i="531" s="1"/>
  <c r="J122" i="527"/>
  <c r="J115" i="527"/>
  <c r="J126" i="527"/>
  <c r="K127" i="531"/>
  <c r="N127" i="531" s="1"/>
  <c r="J111" i="527"/>
  <c r="K110" i="531"/>
  <c r="N110" i="531" s="1"/>
  <c r="J109" i="527"/>
  <c r="B62" i="532"/>
  <c r="U62" i="532" s="1"/>
  <c r="B75" i="532"/>
  <c r="U75" i="532" s="1"/>
  <c r="B124" i="532"/>
  <c r="U124" i="532" s="1"/>
  <c r="K124" i="531"/>
  <c r="N124" i="531" s="1"/>
  <c r="B94" i="532"/>
  <c r="U94" i="532" s="1"/>
  <c r="B129" i="532"/>
  <c r="U129" i="532" s="1"/>
  <c r="B58" i="532"/>
  <c r="U58" i="532" s="1"/>
  <c r="B89" i="532"/>
  <c r="U89" i="532" s="1"/>
  <c r="K114" i="531"/>
  <c r="N114" i="531" s="1"/>
  <c r="B130" i="532"/>
  <c r="U130" i="532" s="1"/>
  <c r="B123" i="532"/>
  <c r="U123" i="532" s="1"/>
  <c r="B80" i="532"/>
  <c r="U80" i="532" s="1"/>
  <c r="B44" i="532"/>
  <c r="U44" i="532" s="1"/>
  <c r="B86" i="532"/>
  <c r="U86" i="532" s="1"/>
  <c r="B60" i="532"/>
  <c r="U60" i="532" s="1"/>
  <c r="K108" i="531"/>
  <c r="N108" i="531" s="1"/>
  <c r="Q108" i="531" s="1"/>
  <c r="T108" i="531" s="1"/>
  <c r="J108" i="527"/>
  <c r="B108" i="532"/>
  <c r="U108" i="532" s="1"/>
  <c r="B90" i="532"/>
  <c r="U90" i="532" s="1"/>
  <c r="B104" i="532"/>
  <c r="U104" i="532" s="1"/>
  <c r="B84" i="532"/>
  <c r="U84" i="532" s="1"/>
  <c r="B97" i="532"/>
  <c r="U97" i="532" s="1"/>
  <c r="B61" i="532"/>
  <c r="U61" i="532" s="1"/>
  <c r="B51" i="532"/>
  <c r="U51" i="532" s="1"/>
  <c r="B125" i="532"/>
  <c r="U125" i="532" s="1"/>
  <c r="J125" i="527"/>
  <c r="K122" i="531"/>
  <c r="N122" i="531" s="1"/>
  <c r="Q122" i="531" s="1"/>
  <c r="T122" i="531" s="1"/>
  <c r="B107" i="532"/>
  <c r="U107" i="532" s="1"/>
  <c r="B69" i="532"/>
  <c r="U69" i="532" s="1"/>
  <c r="B79" i="532"/>
  <c r="U79" i="532" s="1"/>
  <c r="B53" i="532"/>
  <c r="U53" i="532" s="1"/>
  <c r="B43" i="532"/>
  <c r="U43" i="532" s="1"/>
  <c r="B88" i="532"/>
  <c r="U88" i="532" s="1"/>
  <c r="B100" i="532"/>
  <c r="U100" i="532" s="1"/>
  <c r="B96" i="532"/>
  <c r="U96" i="532" s="1"/>
  <c r="B50" i="532"/>
  <c r="U50" i="532" s="1"/>
  <c r="J127" i="527"/>
  <c r="B106" i="532"/>
  <c r="U106" i="532" s="1"/>
  <c r="B111" i="532"/>
  <c r="U111" i="532" s="1"/>
  <c r="B72" i="532"/>
  <c r="U72" i="532" s="1"/>
  <c r="J110" i="527"/>
  <c r="K117" i="531"/>
  <c r="N117" i="531" s="1"/>
  <c r="J124" i="527"/>
  <c r="J129" i="527"/>
  <c r="K116" i="531"/>
  <c r="J114" i="527"/>
  <c r="J113" i="527"/>
  <c r="K130" i="531"/>
  <c r="N130" i="531" s="1"/>
  <c r="J119" i="527"/>
  <c r="J118" i="527"/>
  <c r="K115" i="531"/>
  <c r="N115" i="531" s="1"/>
  <c r="Q115" i="531" s="1"/>
  <c r="K126" i="531"/>
  <c r="J128" i="527"/>
  <c r="J120" i="527"/>
  <c r="B98" i="532"/>
  <c r="U98" i="532" s="1"/>
  <c r="B105" i="532"/>
  <c r="U105" i="532" s="1"/>
  <c r="B109" i="532"/>
  <c r="U109" i="532" s="1"/>
  <c r="B95" i="532"/>
  <c r="U95" i="532" s="1"/>
  <c r="B54" i="532"/>
  <c r="U54" i="532" s="1"/>
  <c r="B45" i="532"/>
  <c r="U45" i="532" s="1"/>
  <c r="J116" i="527"/>
  <c r="B114" i="532"/>
  <c r="U114" i="532" s="1"/>
  <c r="J74" i="527"/>
  <c r="B74" i="532"/>
  <c r="U74" i="532" s="1"/>
  <c r="K74" i="531"/>
  <c r="N74" i="531" s="1"/>
  <c r="Q74" i="531" s="1"/>
  <c r="B113" i="532"/>
  <c r="U113" i="532" s="1"/>
  <c r="J130" i="527"/>
  <c r="B81" i="532"/>
  <c r="U81" i="532" s="1"/>
  <c r="B59" i="532"/>
  <c r="U59" i="532" s="1"/>
  <c r="B78" i="532"/>
  <c r="U78" i="532" s="1"/>
  <c r="J121" i="527"/>
  <c r="B121" i="532"/>
  <c r="U121" i="532" s="1"/>
  <c r="J123" i="527"/>
  <c r="B56" i="532"/>
  <c r="U56" i="532" s="1"/>
  <c r="B55" i="532"/>
  <c r="U55" i="532" s="1"/>
  <c r="B52" i="532"/>
  <c r="U52" i="532" s="1"/>
  <c r="B47" i="532"/>
  <c r="U47" i="532" s="1"/>
  <c r="B91" i="532"/>
  <c r="U91" i="532" s="1"/>
  <c r="B85" i="532"/>
  <c r="U85" i="532" s="1"/>
  <c r="B63" i="532"/>
  <c r="U63" i="532" s="1"/>
  <c r="K125" i="531"/>
  <c r="N125" i="531" s="1"/>
  <c r="Q125" i="531" s="1"/>
  <c r="T125" i="531" s="1"/>
  <c r="B70" i="532"/>
  <c r="U70" i="532" s="1"/>
  <c r="B101" i="532"/>
  <c r="U101" i="532" s="1"/>
  <c r="B119" i="532"/>
  <c r="U119" i="532" s="1"/>
  <c r="B65" i="532"/>
  <c r="U65" i="532" s="1"/>
  <c r="B87" i="532"/>
  <c r="U87" i="532" s="1"/>
  <c r="B46" i="532"/>
  <c r="U46" i="532" s="1"/>
  <c r="B122" i="532"/>
  <c r="U122" i="532" s="1"/>
  <c r="B42" i="532"/>
  <c r="U42" i="532" s="1"/>
  <c r="B118" i="532"/>
  <c r="U118" i="532" s="1"/>
  <c r="J112" i="527"/>
  <c r="B112" i="532"/>
  <c r="U112" i="532" s="1"/>
  <c r="B99" i="532"/>
  <c r="U99" i="532" s="1"/>
  <c r="B76" i="532"/>
  <c r="U76" i="532" s="1"/>
  <c r="B102" i="532"/>
  <c r="U102" i="532" s="1"/>
  <c r="B57" i="532"/>
  <c r="U57" i="532" s="1"/>
  <c r="B49" i="532"/>
  <c r="U49" i="532" s="1"/>
  <c r="B66" i="532"/>
  <c r="U66" i="532" s="1"/>
  <c r="B68" i="532"/>
  <c r="U68" i="532" s="1"/>
  <c r="B115" i="532"/>
  <c r="U115" i="532" s="1"/>
  <c r="B126" i="532"/>
  <c r="U126" i="532" s="1"/>
  <c r="B128" i="532"/>
  <c r="U128" i="532" s="1"/>
  <c r="BC2" i="477"/>
  <c r="F129" i="469"/>
  <c r="F125" i="469"/>
  <c r="F121" i="469"/>
  <c r="C117" i="370"/>
  <c r="F113" i="469"/>
  <c r="F109" i="469"/>
  <c r="F105" i="469"/>
  <c r="C128" i="370"/>
  <c r="C124" i="370"/>
  <c r="AF124" i="370" s="1"/>
  <c r="C120" i="370"/>
  <c r="C116" i="370"/>
  <c r="C112" i="370"/>
  <c r="C108" i="370"/>
  <c r="C104" i="370"/>
  <c r="C127" i="370"/>
  <c r="C123" i="370"/>
  <c r="C119" i="370"/>
  <c r="F115" i="471"/>
  <c r="U115" i="471" s="1"/>
  <c r="C111" i="370"/>
  <c r="C107" i="370"/>
  <c r="F130" i="471"/>
  <c r="U130" i="471" s="1"/>
  <c r="F126" i="471"/>
  <c r="U126" i="471" s="1"/>
  <c r="C122" i="370"/>
  <c r="C118" i="370"/>
  <c r="F114" i="471"/>
  <c r="U114" i="471" s="1"/>
  <c r="F110" i="471"/>
  <c r="U110" i="471" s="1"/>
  <c r="C106" i="370"/>
  <c r="C74" i="370"/>
  <c r="S29" i="370"/>
  <c r="C130" i="370"/>
  <c r="C126" i="370"/>
  <c r="C114" i="370"/>
  <c r="C110" i="370"/>
  <c r="C129" i="370"/>
  <c r="C125" i="370"/>
  <c r="C121" i="370"/>
  <c r="C113" i="370"/>
  <c r="C109" i="370"/>
  <c r="C105" i="370"/>
  <c r="C115" i="370"/>
  <c r="D30" i="370"/>
  <c r="S30" i="370"/>
  <c r="G30" i="370"/>
  <c r="W30" i="370"/>
  <c r="K30" i="370"/>
  <c r="AA30" i="370"/>
  <c r="O30" i="370"/>
  <c r="O29" i="370"/>
  <c r="AA29" i="370"/>
  <c r="K29" i="370"/>
  <c r="W29" i="370"/>
  <c r="G29" i="370"/>
  <c r="AD30" i="370"/>
  <c r="Z30" i="370"/>
  <c r="V30" i="370"/>
  <c r="R30" i="370"/>
  <c r="N30" i="370"/>
  <c r="J30" i="370"/>
  <c r="F30" i="370"/>
  <c r="AC30" i="370"/>
  <c r="Y30" i="370"/>
  <c r="U30" i="370"/>
  <c r="Q30" i="370"/>
  <c r="M30" i="370"/>
  <c r="I30" i="370"/>
  <c r="E30" i="370"/>
  <c r="AB30" i="370"/>
  <c r="X30" i="370"/>
  <c r="T30" i="370"/>
  <c r="P30" i="370"/>
  <c r="L30" i="370"/>
  <c r="H30" i="370"/>
  <c r="AD29" i="370"/>
  <c r="Z29" i="370"/>
  <c r="V29" i="370"/>
  <c r="R29" i="370"/>
  <c r="N29" i="370"/>
  <c r="J29" i="370"/>
  <c r="F29" i="370"/>
  <c r="AC29" i="370"/>
  <c r="Y29" i="370"/>
  <c r="U29" i="370"/>
  <c r="Q29" i="370"/>
  <c r="M29" i="370"/>
  <c r="I29" i="370"/>
  <c r="E29" i="370"/>
  <c r="AB29" i="370"/>
  <c r="X29" i="370"/>
  <c r="T29" i="370"/>
  <c r="P29" i="370"/>
  <c r="L29" i="370"/>
  <c r="H29" i="370"/>
  <c r="F128" i="472"/>
  <c r="G128" i="472" s="1"/>
  <c r="F128" i="473"/>
  <c r="U128" i="473" s="1"/>
  <c r="F128" i="475"/>
  <c r="G128" i="475" s="1"/>
  <c r="F128" i="474"/>
  <c r="H128" i="474" s="1"/>
  <c r="F124" i="472"/>
  <c r="G124" i="472" s="1"/>
  <c r="F124" i="473"/>
  <c r="U124" i="473" s="1"/>
  <c r="F124" i="475"/>
  <c r="G124" i="475" s="1"/>
  <c r="F124" i="474"/>
  <c r="H124" i="474" s="1"/>
  <c r="F120" i="472"/>
  <c r="G120" i="472" s="1"/>
  <c r="F120" i="473"/>
  <c r="U120" i="473" s="1"/>
  <c r="F120" i="475"/>
  <c r="G120" i="475" s="1"/>
  <c r="F120" i="474"/>
  <c r="H120" i="474" s="1"/>
  <c r="F116" i="472"/>
  <c r="G116" i="472" s="1"/>
  <c r="F116" i="473"/>
  <c r="U116" i="473" s="1"/>
  <c r="F116" i="474"/>
  <c r="H116" i="474" s="1"/>
  <c r="F116" i="475"/>
  <c r="G116" i="475" s="1"/>
  <c r="F112" i="472"/>
  <c r="G112" i="472" s="1"/>
  <c r="F112" i="473"/>
  <c r="U112" i="473" s="1"/>
  <c r="F112" i="475"/>
  <c r="G112" i="475" s="1"/>
  <c r="F112" i="474"/>
  <c r="H112" i="474" s="1"/>
  <c r="F108" i="472"/>
  <c r="G108" i="472" s="1"/>
  <c r="F108" i="473"/>
  <c r="U108" i="473" s="1"/>
  <c r="F108" i="475"/>
  <c r="G108" i="475" s="1"/>
  <c r="F108" i="474"/>
  <c r="H108" i="474" s="1"/>
  <c r="F104" i="472"/>
  <c r="G104" i="472" s="1"/>
  <c r="F104" i="473"/>
  <c r="U104" i="473" s="1"/>
  <c r="F104" i="475"/>
  <c r="G104" i="475" s="1"/>
  <c r="F104" i="474"/>
  <c r="H104" i="474" s="1"/>
  <c r="F126" i="469"/>
  <c r="F116" i="469"/>
  <c r="F110" i="469"/>
  <c r="F120" i="471"/>
  <c r="U120" i="471" s="1"/>
  <c r="F104" i="471"/>
  <c r="U104" i="471" s="1"/>
  <c r="F127" i="473"/>
  <c r="U127" i="473" s="1"/>
  <c r="F127" i="472"/>
  <c r="G127" i="472" s="1"/>
  <c r="F127" i="474"/>
  <c r="H127" i="474" s="1"/>
  <c r="F127" i="475"/>
  <c r="G127" i="475" s="1"/>
  <c r="F127" i="469"/>
  <c r="F123" i="473"/>
  <c r="U123" i="473" s="1"/>
  <c r="F123" i="472"/>
  <c r="G123" i="472" s="1"/>
  <c r="F123" i="474"/>
  <c r="H123" i="474" s="1"/>
  <c r="F123" i="475"/>
  <c r="G123" i="475" s="1"/>
  <c r="F123" i="469"/>
  <c r="F119" i="473"/>
  <c r="U119" i="473" s="1"/>
  <c r="F119" i="472"/>
  <c r="G119" i="472" s="1"/>
  <c r="F119" i="474"/>
  <c r="H119" i="474" s="1"/>
  <c r="F119" i="475"/>
  <c r="G119" i="475" s="1"/>
  <c r="F119" i="469"/>
  <c r="F115" i="473"/>
  <c r="U115" i="473" s="1"/>
  <c r="F115" i="472"/>
  <c r="G115" i="472" s="1"/>
  <c r="F115" i="474"/>
  <c r="H115" i="474" s="1"/>
  <c r="F115" i="475"/>
  <c r="G115" i="475" s="1"/>
  <c r="F115" i="469"/>
  <c r="F111" i="473"/>
  <c r="U111" i="473" s="1"/>
  <c r="F111" i="472"/>
  <c r="G111" i="472" s="1"/>
  <c r="F111" i="474"/>
  <c r="H111" i="474" s="1"/>
  <c r="F111" i="475"/>
  <c r="G111" i="475" s="1"/>
  <c r="F111" i="469"/>
  <c r="F107" i="473"/>
  <c r="F107" i="472"/>
  <c r="F107" i="474"/>
  <c r="H107" i="474" s="1"/>
  <c r="F107" i="475"/>
  <c r="G107" i="475" s="1"/>
  <c r="F107" i="469"/>
  <c r="F130" i="469"/>
  <c r="F120" i="469"/>
  <c r="F114" i="469"/>
  <c r="F104" i="469"/>
  <c r="F124" i="471"/>
  <c r="U124" i="471" s="1"/>
  <c r="F119" i="471"/>
  <c r="U119" i="471" s="1"/>
  <c r="F108" i="471"/>
  <c r="U108" i="471" s="1"/>
  <c r="F130" i="472"/>
  <c r="G130" i="472" s="1"/>
  <c r="F130" i="473"/>
  <c r="U130" i="473" s="1"/>
  <c r="F130" i="474"/>
  <c r="H130" i="474" s="1"/>
  <c r="F130" i="475"/>
  <c r="G130" i="475" s="1"/>
  <c r="F126" i="472"/>
  <c r="G126" i="472" s="1"/>
  <c r="F126" i="473"/>
  <c r="U126" i="473" s="1"/>
  <c r="F126" i="475"/>
  <c r="G126" i="475" s="1"/>
  <c r="F126" i="474"/>
  <c r="H126" i="474" s="1"/>
  <c r="F122" i="472"/>
  <c r="G122" i="472" s="1"/>
  <c r="F122" i="474"/>
  <c r="H122" i="474" s="1"/>
  <c r="F122" i="475"/>
  <c r="G122" i="475" s="1"/>
  <c r="F122" i="473"/>
  <c r="U122" i="473" s="1"/>
  <c r="F118" i="472"/>
  <c r="G118" i="472" s="1"/>
  <c r="F118" i="474"/>
  <c r="H118" i="474" s="1"/>
  <c r="AB118" i="476"/>
  <c r="F118" i="473"/>
  <c r="U118" i="473" s="1"/>
  <c r="F118" i="475"/>
  <c r="G118" i="475" s="1"/>
  <c r="F114" i="472"/>
  <c r="G114" i="472" s="1"/>
  <c r="F114" i="473"/>
  <c r="U114" i="473" s="1"/>
  <c r="F114" i="474"/>
  <c r="H114" i="474" s="1"/>
  <c r="F114" i="475"/>
  <c r="G114" i="475" s="1"/>
  <c r="F110" i="472"/>
  <c r="G110" i="472" s="1"/>
  <c r="F110" i="473"/>
  <c r="U110" i="473" s="1"/>
  <c r="F110" i="475"/>
  <c r="G110" i="475" s="1"/>
  <c r="F110" i="474"/>
  <c r="H110" i="474" s="1"/>
  <c r="F106" i="472"/>
  <c r="F106" i="474"/>
  <c r="H106" i="474" s="1"/>
  <c r="F106" i="475"/>
  <c r="F106" i="473"/>
  <c r="F74" i="474"/>
  <c r="H74" i="474" s="1"/>
  <c r="F74" i="472"/>
  <c r="G74" i="472" s="1"/>
  <c r="F74" i="475"/>
  <c r="G74" i="475" s="1"/>
  <c r="F74" i="471"/>
  <c r="U74" i="471" s="1"/>
  <c r="F74" i="473"/>
  <c r="U74" i="473" s="1"/>
  <c r="F124" i="469"/>
  <c r="F118" i="469"/>
  <c r="F108" i="469"/>
  <c r="F128" i="471"/>
  <c r="U128" i="471" s="1"/>
  <c r="F123" i="471"/>
  <c r="U123" i="471" s="1"/>
  <c r="F118" i="471"/>
  <c r="U118" i="471" s="1"/>
  <c r="F112" i="471"/>
  <c r="U112" i="471" s="1"/>
  <c r="F107" i="471"/>
  <c r="F129" i="473"/>
  <c r="U129" i="473" s="1"/>
  <c r="F129" i="474"/>
  <c r="H129" i="474" s="1"/>
  <c r="F129" i="472"/>
  <c r="G129" i="472" s="1"/>
  <c r="F129" i="475"/>
  <c r="G129" i="475" s="1"/>
  <c r="F129" i="471"/>
  <c r="U129" i="471" s="1"/>
  <c r="F125" i="473"/>
  <c r="U125" i="473" s="1"/>
  <c r="F125" i="474"/>
  <c r="H125" i="474" s="1"/>
  <c r="F125" i="475"/>
  <c r="G125" i="475" s="1"/>
  <c r="F125" i="472"/>
  <c r="G125" i="472" s="1"/>
  <c r="F125" i="471"/>
  <c r="U125" i="471" s="1"/>
  <c r="F121" i="473"/>
  <c r="U121" i="473" s="1"/>
  <c r="F121" i="474"/>
  <c r="H121" i="474" s="1"/>
  <c r="F121" i="475"/>
  <c r="G121" i="475" s="1"/>
  <c r="F121" i="472"/>
  <c r="G121" i="472" s="1"/>
  <c r="F121" i="471"/>
  <c r="U121" i="471" s="1"/>
  <c r="F117" i="473"/>
  <c r="U117" i="473" s="1"/>
  <c r="F117" i="474"/>
  <c r="H117" i="474" s="1"/>
  <c r="F117" i="472"/>
  <c r="G117" i="472" s="1"/>
  <c r="F117" i="475"/>
  <c r="G117" i="475" s="1"/>
  <c r="F117" i="471"/>
  <c r="U117" i="471" s="1"/>
  <c r="F113" i="473"/>
  <c r="U113" i="473" s="1"/>
  <c r="F113" i="474"/>
  <c r="H113" i="474" s="1"/>
  <c r="F113" i="472"/>
  <c r="G113" i="472" s="1"/>
  <c r="F113" i="475"/>
  <c r="G113" i="475" s="1"/>
  <c r="F113" i="471"/>
  <c r="U113" i="471" s="1"/>
  <c r="F109" i="473"/>
  <c r="U109" i="473" s="1"/>
  <c r="F109" i="474"/>
  <c r="H109" i="474" s="1"/>
  <c r="F109" i="475"/>
  <c r="G109" i="475" s="1"/>
  <c r="F109" i="472"/>
  <c r="G109" i="472" s="1"/>
  <c r="F109" i="471"/>
  <c r="U109" i="471" s="1"/>
  <c r="F105" i="473"/>
  <c r="F105" i="474"/>
  <c r="H105" i="474" s="1"/>
  <c r="F105" i="475"/>
  <c r="F105" i="472"/>
  <c r="F105" i="471"/>
  <c r="F128" i="469"/>
  <c r="F122" i="469"/>
  <c r="F117" i="469"/>
  <c r="F112" i="469"/>
  <c r="F106" i="469"/>
  <c r="F74" i="469"/>
  <c r="F127" i="471"/>
  <c r="U127" i="471" s="1"/>
  <c r="F122" i="471"/>
  <c r="U122" i="471" s="1"/>
  <c r="F116" i="471"/>
  <c r="U116" i="471" s="1"/>
  <c r="F111" i="471"/>
  <c r="U111" i="471" s="1"/>
  <c r="F106" i="471"/>
  <c r="AS31" i="477"/>
  <c r="CG31" i="477"/>
  <c r="AR34" i="477"/>
  <c r="AS34" i="477"/>
  <c r="AR38" i="477"/>
  <c r="AS38" i="477"/>
  <c r="AR32" i="477"/>
  <c r="AS32" i="477"/>
  <c r="AR36" i="477"/>
  <c r="AS36" i="477"/>
  <c r="AR40" i="477"/>
  <c r="AS40" i="477"/>
  <c r="AR31" i="477"/>
  <c r="AR43" i="477"/>
  <c r="AR45" i="477"/>
  <c r="AR47" i="477"/>
  <c r="AR49" i="477"/>
  <c r="AR51" i="477"/>
  <c r="AR53" i="477"/>
  <c r="AR55" i="477"/>
  <c r="AR57" i="477"/>
  <c r="AR59" i="477"/>
  <c r="AR61" i="477"/>
  <c r="AR63" i="477"/>
  <c r="AS70" i="477"/>
  <c r="AR70" i="477"/>
  <c r="AS43" i="477"/>
  <c r="AS45" i="477"/>
  <c r="AS47" i="477"/>
  <c r="AS49" i="477"/>
  <c r="AS51" i="477"/>
  <c r="AS53" i="477"/>
  <c r="AS55" i="477"/>
  <c r="AS57" i="477"/>
  <c r="AS59" i="477"/>
  <c r="AS61" i="477"/>
  <c r="AS66" i="477"/>
  <c r="AR66" i="477"/>
  <c r="AR65" i="477"/>
  <c r="AR68" i="477"/>
  <c r="AR69" i="477"/>
  <c r="AR72" i="477"/>
  <c r="AR73" i="477"/>
  <c r="AR76" i="477"/>
  <c r="AR77" i="477"/>
  <c r="AR80" i="477"/>
  <c r="AR81" i="477"/>
  <c r="AS85" i="477"/>
  <c r="AS89" i="477"/>
  <c r="AS94" i="477"/>
  <c r="AS74" i="477"/>
  <c r="AS78" i="477"/>
  <c r="AS82" i="477"/>
  <c r="AR85" i="477"/>
  <c r="AR89" i="477"/>
  <c r="AS98" i="477"/>
  <c r="AS100" i="477"/>
  <c r="AR100" i="477"/>
  <c r="AR67" i="477"/>
  <c r="AR71" i="477"/>
  <c r="AR74" i="477"/>
  <c r="AR75" i="477"/>
  <c r="AR78" i="477"/>
  <c r="AR79" i="477"/>
  <c r="AR82" i="477"/>
  <c r="AR98" i="477"/>
  <c r="AS67" i="477"/>
  <c r="AS68" i="477"/>
  <c r="AS71" i="477"/>
  <c r="AS72" i="477"/>
  <c r="AS75" i="477"/>
  <c r="AS76" i="477"/>
  <c r="AS79" i="477"/>
  <c r="AS80" i="477"/>
  <c r="AR83" i="477"/>
  <c r="AR87" i="477"/>
  <c r="AS93" i="477"/>
  <c r="AS84" i="477"/>
  <c r="AS86" i="477"/>
  <c r="AS88" i="477"/>
  <c r="AS90" i="477"/>
  <c r="AS91" i="477"/>
  <c r="AS95" i="477"/>
  <c r="AR99" i="477"/>
  <c r="AS103" i="477"/>
  <c r="AR92" i="477"/>
  <c r="AR96" i="477"/>
  <c r="AS106" i="477"/>
  <c r="AR106" i="477"/>
  <c r="AS97" i="477"/>
  <c r="AS102" i="477"/>
  <c r="AR102" i="477"/>
  <c r="AS104" i="477"/>
  <c r="AR104" i="477"/>
  <c r="AR101" i="477"/>
  <c r="AR105" i="477"/>
  <c r="AR111" i="477"/>
  <c r="AR107" i="477"/>
  <c r="AR109" i="477"/>
  <c r="AR113" i="477"/>
  <c r="AS108" i="477"/>
  <c r="AS110" i="477"/>
  <c r="AS112" i="477"/>
  <c r="AS114" i="477"/>
  <c r="AS115" i="477"/>
  <c r="AS116" i="477"/>
  <c r="AR117" i="477"/>
  <c r="AS117" i="477"/>
  <c r="AR119" i="477"/>
  <c r="AS119" i="477"/>
  <c r="AR121" i="477"/>
  <c r="AS121" i="477"/>
  <c r="AS123" i="477"/>
  <c r="AS125" i="477"/>
  <c r="AS127" i="477"/>
  <c r="AS129" i="477"/>
  <c r="AS118" i="477"/>
  <c r="AS120" i="477"/>
  <c r="AS122" i="477"/>
  <c r="AS124" i="477"/>
  <c r="AS126" i="477"/>
  <c r="AS128" i="477"/>
  <c r="AS130" i="477"/>
  <c r="AR123" i="477"/>
  <c r="AR125" i="477"/>
  <c r="AR127" i="477"/>
  <c r="AR129" i="477"/>
  <c r="W74" i="476"/>
  <c r="Y74" i="476"/>
  <c r="Z74" i="476"/>
  <c r="J74" i="370" s="1"/>
  <c r="AN74" i="370" s="1"/>
  <c r="W108" i="476"/>
  <c r="Y108" i="476"/>
  <c r="Z108" i="476"/>
  <c r="J108" i="370" s="1"/>
  <c r="AN108" i="370" s="1"/>
  <c r="W110" i="476"/>
  <c r="Y110" i="476"/>
  <c r="Z110" i="476"/>
  <c r="J110" i="370" s="1"/>
  <c r="AN110" i="370" s="1"/>
  <c r="W112" i="476"/>
  <c r="Y112" i="476"/>
  <c r="Z112" i="476"/>
  <c r="J112" i="370" s="1"/>
  <c r="AN112" i="370" s="1"/>
  <c r="W115" i="476"/>
  <c r="Y115" i="476"/>
  <c r="Z115" i="476"/>
  <c r="J115" i="370" s="1"/>
  <c r="AN115" i="370" s="1"/>
  <c r="W116" i="476"/>
  <c r="W120" i="476"/>
  <c r="W121" i="476"/>
  <c r="Y121" i="476"/>
  <c r="Z121" i="476"/>
  <c r="J121" i="370" s="1"/>
  <c r="AN121" i="370" s="1"/>
  <c r="W122" i="476"/>
  <c r="Y122" i="476"/>
  <c r="Z122" i="476"/>
  <c r="J122" i="370" s="1"/>
  <c r="AN122" i="370" s="1"/>
  <c r="W124" i="476"/>
  <c r="Y124" i="476"/>
  <c r="Z124" i="476"/>
  <c r="J124" i="370" s="1"/>
  <c r="AN124" i="370" s="1"/>
  <c r="W126" i="476"/>
  <c r="Y126" i="476"/>
  <c r="Z126" i="476"/>
  <c r="J126" i="370" s="1"/>
  <c r="AN126" i="370" s="1"/>
  <c r="W128" i="476"/>
  <c r="Y128" i="476"/>
  <c r="Z128" i="476"/>
  <c r="J128" i="370" s="1"/>
  <c r="AN128" i="370" s="1"/>
  <c r="G5" i="476"/>
  <c r="F5" i="476"/>
  <c r="G4" i="476"/>
  <c r="F4" i="476"/>
  <c r="AB122" i="476"/>
  <c r="AB120" i="476"/>
  <c r="AB116" i="476"/>
  <c r="AB112" i="476"/>
  <c r="AB110" i="476"/>
  <c r="AB108" i="476"/>
  <c r="BJ30" i="476"/>
  <c r="BI30" i="476"/>
  <c r="BH30" i="476"/>
  <c r="BG30" i="476"/>
  <c r="BF30" i="476"/>
  <c r="BE30" i="476"/>
  <c r="BD30" i="476"/>
  <c r="BC30" i="476"/>
  <c r="BB30" i="476"/>
  <c r="BA30" i="476"/>
  <c r="AV30" i="476"/>
  <c r="AU30" i="476"/>
  <c r="AT30" i="476"/>
  <c r="AS30" i="476"/>
  <c r="AR30" i="476"/>
  <c r="AQ30" i="476"/>
  <c r="AP30" i="476"/>
  <c r="AO30" i="476"/>
  <c r="AN30" i="476"/>
  <c r="AM30" i="476"/>
  <c r="AL30" i="476"/>
  <c r="AK30" i="476"/>
  <c r="AJ30" i="476"/>
  <c r="AI30" i="476"/>
  <c r="AH30" i="476"/>
  <c r="AG30" i="476"/>
  <c r="AF30" i="476"/>
  <c r="AV29" i="476"/>
  <c r="AU29" i="476"/>
  <c r="AT29" i="476"/>
  <c r="AS29" i="476"/>
  <c r="AM29" i="476"/>
  <c r="AQ29" i="476"/>
  <c r="AP29" i="476"/>
  <c r="AO29" i="476"/>
  <c r="AN29" i="476"/>
  <c r="Z3" i="476"/>
  <c r="Y3" i="476"/>
  <c r="U3" i="476"/>
  <c r="AK2" i="476"/>
  <c r="AJ2" i="476"/>
  <c r="AI2" i="476"/>
  <c r="AH2" i="476"/>
  <c r="AG2" i="476"/>
  <c r="AF2" i="476"/>
  <c r="AE2" i="476"/>
  <c r="Z2" i="476"/>
  <c r="Y2" i="476"/>
  <c r="U2" i="476"/>
  <c r="B1" i="476"/>
  <c r="G23" i="476" s="1"/>
  <c r="G106" i="475" l="1"/>
  <c r="G105" i="475"/>
  <c r="U107" i="558"/>
  <c r="W107" i="558" s="1"/>
  <c r="Y107" i="558" s="1"/>
  <c r="AC107" i="558"/>
  <c r="AB107" i="558"/>
  <c r="B107" i="558"/>
  <c r="G107" i="521"/>
  <c r="F107" i="522" s="1"/>
  <c r="AD107" i="521"/>
  <c r="B107" i="521"/>
  <c r="AE107" i="521"/>
  <c r="B107" i="476"/>
  <c r="G107" i="526"/>
  <c r="H107" i="526" s="1"/>
  <c r="B107" i="526"/>
  <c r="B107" i="539"/>
  <c r="AF107" i="539"/>
  <c r="AE107" i="539"/>
  <c r="BB107" i="522"/>
  <c r="BC107" i="522"/>
  <c r="B107" i="522"/>
  <c r="AC107" i="536"/>
  <c r="Y107" i="536"/>
  <c r="BA107" i="536"/>
  <c r="H107" i="536"/>
  <c r="U107" i="536" s="1"/>
  <c r="AB107" i="536"/>
  <c r="BB107" i="536"/>
  <c r="B107" i="536"/>
  <c r="C107" i="528"/>
  <c r="B107" i="527"/>
  <c r="I107" i="527"/>
  <c r="E107" i="527"/>
  <c r="AB104" i="476"/>
  <c r="H106" i="536"/>
  <c r="U106" i="536" s="1"/>
  <c r="BB106" i="536"/>
  <c r="AC106" i="536"/>
  <c r="AB106" i="536"/>
  <c r="BA106" i="536"/>
  <c r="Y106" i="536"/>
  <c r="B106" i="536"/>
  <c r="AE106" i="521"/>
  <c r="AD106" i="521"/>
  <c r="G106" i="521"/>
  <c r="D106" i="527" s="1"/>
  <c r="B106" i="521"/>
  <c r="G106" i="526"/>
  <c r="H106" i="526"/>
  <c r="B106" i="526"/>
  <c r="B106" i="522"/>
  <c r="BB106" i="522"/>
  <c r="BC106" i="522"/>
  <c r="U106" i="558"/>
  <c r="W106" i="558" s="1"/>
  <c r="Y106" i="558" s="1"/>
  <c r="B106" i="558"/>
  <c r="AB106" i="558"/>
  <c r="AC106" i="558"/>
  <c r="AF106" i="539"/>
  <c r="B106" i="539"/>
  <c r="AE106" i="539"/>
  <c r="B106" i="476"/>
  <c r="C106" i="528"/>
  <c r="I106" i="527"/>
  <c r="B106" i="527"/>
  <c r="E106" i="527"/>
  <c r="G105" i="521"/>
  <c r="F105" i="522" s="1"/>
  <c r="AE105" i="521"/>
  <c r="AD105" i="521"/>
  <c r="B105" i="521"/>
  <c r="H105" i="536"/>
  <c r="U105" i="536" s="1"/>
  <c r="BA105" i="536"/>
  <c r="B105" i="536"/>
  <c r="AC105" i="536"/>
  <c r="Y105" i="536"/>
  <c r="AB105" i="536"/>
  <c r="BB105" i="536"/>
  <c r="BB105" i="522"/>
  <c r="B105" i="522"/>
  <c r="BC105" i="522"/>
  <c r="B105" i="526"/>
  <c r="G105" i="526"/>
  <c r="H105" i="526" s="1"/>
  <c r="C105" i="528"/>
  <c r="I105" i="527"/>
  <c r="E105" i="527"/>
  <c r="B105" i="527"/>
  <c r="B105" i="476"/>
  <c r="AF105" i="539"/>
  <c r="AE105" i="539"/>
  <c r="B105" i="539"/>
  <c r="U105" i="558"/>
  <c r="W105" i="558" s="1"/>
  <c r="Y105" i="558" s="1"/>
  <c r="AB105" i="558"/>
  <c r="AC105" i="558"/>
  <c r="B105" i="558"/>
  <c r="Z104" i="536"/>
  <c r="U104" i="536"/>
  <c r="H104" i="536"/>
  <c r="AB104" i="536"/>
  <c r="AC104" i="536"/>
  <c r="W104" i="536"/>
  <c r="BB104" i="536"/>
  <c r="BA104" i="536"/>
  <c r="B104" i="536"/>
  <c r="Y104" i="536"/>
  <c r="H104" i="526"/>
  <c r="AH104" i="526"/>
  <c r="Z104" i="526"/>
  <c r="D104" i="539" s="1"/>
  <c r="B104" i="526"/>
  <c r="Y104" i="526"/>
  <c r="G104" i="526"/>
  <c r="I104" i="526"/>
  <c r="H104" i="521"/>
  <c r="G104" i="521"/>
  <c r="AD104" i="521"/>
  <c r="AE104" i="521"/>
  <c r="Z104" i="521"/>
  <c r="Y104" i="521"/>
  <c r="B104" i="521"/>
  <c r="AI104" i="521"/>
  <c r="D104" i="522"/>
  <c r="B104" i="522"/>
  <c r="AT104" i="522"/>
  <c r="AJ104" i="522"/>
  <c r="AM104" i="522" s="1"/>
  <c r="AD104" i="522"/>
  <c r="AP104" i="522"/>
  <c r="Z104" i="522"/>
  <c r="AW104" i="522"/>
  <c r="R104" i="522"/>
  <c r="T104" i="522"/>
  <c r="W104" i="522" s="1"/>
  <c r="AG104" i="522"/>
  <c r="AK104" i="522"/>
  <c r="AO104" i="522"/>
  <c r="AR104" i="522"/>
  <c r="AU104" i="522" s="1"/>
  <c r="U104" i="522"/>
  <c r="P104" i="522"/>
  <c r="S104" i="522" s="1"/>
  <c r="V104" i="522"/>
  <c r="Q104" i="522"/>
  <c r="M104" i="522"/>
  <c r="BC104" i="522"/>
  <c r="J104" i="522"/>
  <c r="L104" i="522"/>
  <c r="O104" i="522" s="1"/>
  <c r="BB104" i="522"/>
  <c r="AN104" i="522"/>
  <c r="AQ104" i="522" s="1"/>
  <c r="AL104" i="522"/>
  <c r="N104" i="522"/>
  <c r="F104" i="522"/>
  <c r="AS104" i="522"/>
  <c r="AC104" i="522"/>
  <c r="X104" i="522"/>
  <c r="AA104" i="522" s="1"/>
  <c r="AB104" i="522"/>
  <c r="AE104" i="522" s="1"/>
  <c r="AH104" i="522"/>
  <c r="Y104" i="522"/>
  <c r="I104" i="522"/>
  <c r="AV104" i="522"/>
  <c r="D104" i="526" s="1"/>
  <c r="AF104" i="522"/>
  <c r="AI104" i="522" s="1"/>
  <c r="H104" i="522"/>
  <c r="K104" i="522" s="1"/>
  <c r="U104" i="476"/>
  <c r="B104" i="476"/>
  <c r="C104" i="528"/>
  <c r="G104" i="527"/>
  <c r="Z104" i="527"/>
  <c r="H104" i="527"/>
  <c r="E104" i="528" s="1"/>
  <c r="K104" i="527"/>
  <c r="D104" i="527"/>
  <c r="I104" i="527"/>
  <c r="E104" i="527"/>
  <c r="B104" i="527"/>
  <c r="F104" i="527" s="1"/>
  <c r="K104" i="539"/>
  <c r="I104" i="539"/>
  <c r="L104" i="539"/>
  <c r="J104" i="539"/>
  <c r="B104" i="539"/>
  <c r="AE104" i="539"/>
  <c r="Y104" i="539"/>
  <c r="AF104" i="539"/>
  <c r="G104" i="539"/>
  <c r="Z104" i="539"/>
  <c r="U104" i="558"/>
  <c r="AC104" i="558"/>
  <c r="AB104" i="558"/>
  <c r="Y104" i="558"/>
  <c r="B104" i="558"/>
  <c r="W104" i="558"/>
  <c r="Z104" i="558"/>
  <c r="K104" i="370" s="1"/>
  <c r="AO104" i="370" s="1"/>
  <c r="BC121" i="474"/>
  <c r="BD121" i="474"/>
  <c r="BF121" i="474"/>
  <c r="BE121" i="474"/>
  <c r="BC128" i="474"/>
  <c r="BD128" i="474"/>
  <c r="BF128" i="474"/>
  <c r="BE128" i="474"/>
  <c r="BC109" i="474"/>
  <c r="BD109" i="474"/>
  <c r="BF109" i="474"/>
  <c r="BE109" i="474"/>
  <c r="BC125" i="474"/>
  <c r="BD125" i="474"/>
  <c r="BF125" i="474"/>
  <c r="BE125" i="474"/>
  <c r="BC110" i="474"/>
  <c r="BD110" i="474"/>
  <c r="BE110" i="474"/>
  <c r="BF110" i="474"/>
  <c r="BC107" i="474"/>
  <c r="BD107" i="474"/>
  <c r="BE107" i="474"/>
  <c r="BF107" i="474"/>
  <c r="BC123" i="474"/>
  <c r="BE123" i="474"/>
  <c r="BF123" i="474"/>
  <c r="BD123" i="474"/>
  <c r="BC116" i="474"/>
  <c r="BF116" i="474"/>
  <c r="BE116" i="474"/>
  <c r="BD116" i="474"/>
  <c r="BC119" i="474"/>
  <c r="BE119" i="474"/>
  <c r="BF119" i="474"/>
  <c r="BD119" i="474"/>
  <c r="BC108" i="474"/>
  <c r="BF108" i="474"/>
  <c r="BE108" i="474"/>
  <c r="BD108" i="474"/>
  <c r="BC120" i="474"/>
  <c r="BF120" i="474"/>
  <c r="BE120" i="474"/>
  <c r="BD120" i="474"/>
  <c r="BC113" i="474"/>
  <c r="BD113" i="474"/>
  <c r="BF113" i="474"/>
  <c r="BE113" i="474"/>
  <c r="BC129" i="474"/>
  <c r="BD129" i="474"/>
  <c r="BE129" i="474"/>
  <c r="BF129" i="474"/>
  <c r="BC114" i="474"/>
  <c r="BD114" i="474"/>
  <c r="BE114" i="474"/>
  <c r="BF114" i="474"/>
  <c r="BC126" i="474"/>
  <c r="BD126" i="474"/>
  <c r="BE126" i="474"/>
  <c r="BF126" i="474"/>
  <c r="BC111" i="474"/>
  <c r="BE111" i="474"/>
  <c r="BF111" i="474"/>
  <c r="BD111" i="474"/>
  <c r="BC127" i="474"/>
  <c r="BF127" i="474"/>
  <c r="BD127" i="474"/>
  <c r="BE127" i="474"/>
  <c r="BC105" i="474"/>
  <c r="BD105" i="474"/>
  <c r="BE105" i="474"/>
  <c r="BF105" i="474"/>
  <c r="BC118" i="474"/>
  <c r="BD118" i="474"/>
  <c r="BE118" i="474"/>
  <c r="BF118" i="474"/>
  <c r="BC122" i="474"/>
  <c r="BD122" i="474"/>
  <c r="BE122" i="474"/>
  <c r="BF122" i="474"/>
  <c r="BC104" i="474"/>
  <c r="BD104" i="474"/>
  <c r="BF104" i="474"/>
  <c r="BE104" i="474"/>
  <c r="BC112" i="474"/>
  <c r="BF112" i="474"/>
  <c r="BE112" i="474"/>
  <c r="BD112" i="474"/>
  <c r="BC124" i="474"/>
  <c r="BF124" i="474"/>
  <c r="BE124" i="474"/>
  <c r="BD124" i="474"/>
  <c r="BC117" i="474"/>
  <c r="BD117" i="474"/>
  <c r="BF117" i="474"/>
  <c r="BE117" i="474"/>
  <c r="BC74" i="474"/>
  <c r="BD74" i="474"/>
  <c r="BF74" i="474"/>
  <c r="BE74" i="474"/>
  <c r="BC106" i="474"/>
  <c r="BD106" i="474"/>
  <c r="BE106" i="474"/>
  <c r="BF106" i="474"/>
  <c r="BC130" i="474"/>
  <c r="BD130" i="474"/>
  <c r="BF130" i="474"/>
  <c r="BE130" i="474"/>
  <c r="BC115" i="474"/>
  <c r="BE115" i="474"/>
  <c r="BF115" i="474"/>
  <c r="BD115" i="474"/>
  <c r="CT7" i="477"/>
  <c r="CS7" i="477"/>
  <c r="G74" i="469"/>
  <c r="S74" i="469"/>
  <c r="G117" i="469"/>
  <c r="S117" i="469"/>
  <c r="BC105" i="473"/>
  <c r="BA105" i="473"/>
  <c r="BB105" i="473"/>
  <c r="BD105" i="473"/>
  <c r="W109" i="474"/>
  <c r="U113" i="472"/>
  <c r="BC121" i="473"/>
  <c r="BA121" i="473"/>
  <c r="BB121" i="473"/>
  <c r="BD121" i="473"/>
  <c r="W125" i="474"/>
  <c r="U129" i="472"/>
  <c r="G108" i="469"/>
  <c r="S108" i="469"/>
  <c r="BC74" i="473"/>
  <c r="BA74" i="473"/>
  <c r="BD74" i="473"/>
  <c r="BB74" i="473"/>
  <c r="W74" i="474"/>
  <c r="BC110" i="473"/>
  <c r="BA110" i="473"/>
  <c r="BD110" i="473"/>
  <c r="BB110" i="473"/>
  <c r="BC114" i="473"/>
  <c r="BA114" i="473"/>
  <c r="BD114" i="473"/>
  <c r="BB114" i="473"/>
  <c r="W130" i="474"/>
  <c r="G130" i="469"/>
  <c r="S130" i="469"/>
  <c r="S115" i="469"/>
  <c r="G115" i="469"/>
  <c r="BC115" i="473"/>
  <c r="BA115" i="473"/>
  <c r="BB115" i="473"/>
  <c r="BD115" i="473"/>
  <c r="U119" i="472"/>
  <c r="W123" i="474"/>
  <c r="G110" i="469"/>
  <c r="S110" i="469"/>
  <c r="BC104" i="473"/>
  <c r="BA104" i="473"/>
  <c r="BD104" i="473"/>
  <c r="BB104" i="473"/>
  <c r="BC108" i="473"/>
  <c r="BA108" i="473"/>
  <c r="BD108" i="473"/>
  <c r="BB108" i="473"/>
  <c r="BC112" i="473"/>
  <c r="BA112" i="473"/>
  <c r="BD112" i="473"/>
  <c r="BB112" i="473"/>
  <c r="BC116" i="473"/>
  <c r="BA116" i="473"/>
  <c r="BD116" i="473"/>
  <c r="BB116" i="473"/>
  <c r="BC120" i="473"/>
  <c r="BA120" i="473"/>
  <c r="BD120" i="473"/>
  <c r="BB120" i="473"/>
  <c r="BC124" i="473"/>
  <c r="BA124" i="473"/>
  <c r="BD124" i="473"/>
  <c r="BB124" i="473"/>
  <c r="BC128" i="473"/>
  <c r="BA128" i="473"/>
  <c r="BD128" i="473"/>
  <c r="BB128" i="473"/>
  <c r="G105" i="469"/>
  <c r="G105" i="472" s="1"/>
  <c r="G121" i="469"/>
  <c r="S121" i="469"/>
  <c r="G122" i="469"/>
  <c r="S122" i="469"/>
  <c r="BC109" i="473"/>
  <c r="BA109" i="473"/>
  <c r="BB109" i="473"/>
  <c r="BD109" i="473"/>
  <c r="W113" i="474"/>
  <c r="U117" i="472"/>
  <c r="U121" i="472"/>
  <c r="BC125" i="473"/>
  <c r="BA125" i="473"/>
  <c r="BB125" i="473"/>
  <c r="BD125" i="473"/>
  <c r="W129" i="474"/>
  <c r="G118" i="469"/>
  <c r="S118" i="469"/>
  <c r="U110" i="472"/>
  <c r="U114" i="472"/>
  <c r="W118" i="474"/>
  <c r="W122" i="474"/>
  <c r="BC126" i="473"/>
  <c r="BA126" i="473"/>
  <c r="BD126" i="473"/>
  <c r="BB126" i="473"/>
  <c r="BC130" i="473"/>
  <c r="BA130" i="473"/>
  <c r="BD130" i="473"/>
  <c r="BB130" i="473"/>
  <c r="G104" i="469"/>
  <c r="S104" i="469"/>
  <c r="W111" i="474"/>
  <c r="S119" i="469"/>
  <c r="G119" i="469"/>
  <c r="BC119" i="473"/>
  <c r="BA119" i="473"/>
  <c r="BB119" i="473"/>
  <c r="BD119" i="473"/>
  <c r="U123" i="472"/>
  <c r="W127" i="474"/>
  <c r="G116" i="469"/>
  <c r="S116" i="469"/>
  <c r="U104" i="472"/>
  <c r="U108" i="472"/>
  <c r="U112" i="472"/>
  <c r="U116" i="472"/>
  <c r="U120" i="472"/>
  <c r="U124" i="472"/>
  <c r="U128" i="472"/>
  <c r="G109" i="469"/>
  <c r="S109" i="469"/>
  <c r="G125" i="469"/>
  <c r="S125" i="469"/>
  <c r="G106" i="469"/>
  <c r="G106" i="472" s="1"/>
  <c r="G128" i="469"/>
  <c r="S128" i="469"/>
  <c r="U109" i="472"/>
  <c r="BC113" i="473"/>
  <c r="BA113" i="473"/>
  <c r="BB113" i="473"/>
  <c r="BD113" i="473"/>
  <c r="W117" i="474"/>
  <c r="U125" i="472"/>
  <c r="BC129" i="473"/>
  <c r="BA129" i="473"/>
  <c r="BB129" i="473"/>
  <c r="BD129" i="473"/>
  <c r="G124" i="469"/>
  <c r="S124" i="469"/>
  <c r="BC106" i="473"/>
  <c r="BA106" i="473"/>
  <c r="BD106" i="473"/>
  <c r="BB106" i="473"/>
  <c r="W110" i="474"/>
  <c r="U118" i="472"/>
  <c r="U122" i="472"/>
  <c r="U126" i="472"/>
  <c r="U130" i="472"/>
  <c r="G114" i="469"/>
  <c r="S114" i="469"/>
  <c r="G107" i="469"/>
  <c r="G107" i="472" s="1"/>
  <c r="BC107" i="473"/>
  <c r="BA107" i="473"/>
  <c r="BB107" i="473"/>
  <c r="BD107" i="473"/>
  <c r="U111" i="472"/>
  <c r="W115" i="474"/>
  <c r="S123" i="469"/>
  <c r="G123" i="469"/>
  <c r="BC123" i="473"/>
  <c r="BA123" i="473"/>
  <c r="BB123" i="473"/>
  <c r="BD123" i="473"/>
  <c r="U127" i="472"/>
  <c r="G126" i="469"/>
  <c r="S126" i="469"/>
  <c r="W104" i="474"/>
  <c r="W108" i="474"/>
  <c r="W112" i="474"/>
  <c r="W120" i="474"/>
  <c r="W124" i="474"/>
  <c r="W128" i="474"/>
  <c r="G113" i="469"/>
  <c r="S113" i="469"/>
  <c r="G129" i="469"/>
  <c r="S129" i="469"/>
  <c r="G112" i="469"/>
  <c r="S112" i="469"/>
  <c r="BC117" i="473"/>
  <c r="BA117" i="473"/>
  <c r="BB117" i="473"/>
  <c r="BD117" i="473"/>
  <c r="W121" i="474"/>
  <c r="U74" i="472"/>
  <c r="W114" i="474"/>
  <c r="BC118" i="473"/>
  <c r="BA118" i="473"/>
  <c r="BD118" i="473"/>
  <c r="BB118" i="473"/>
  <c r="BC122" i="473"/>
  <c r="BA122" i="473"/>
  <c r="BD122" i="473"/>
  <c r="BB122" i="473"/>
  <c r="W126" i="474"/>
  <c r="G120" i="469"/>
  <c r="S120" i="469"/>
  <c r="S111" i="469"/>
  <c r="G111" i="469"/>
  <c r="BC111" i="473"/>
  <c r="BA111" i="473"/>
  <c r="BB111" i="473"/>
  <c r="BD111" i="473"/>
  <c r="U115" i="472"/>
  <c r="W119" i="474"/>
  <c r="S127" i="469"/>
  <c r="G127" i="469"/>
  <c r="BC127" i="473"/>
  <c r="BA127" i="473"/>
  <c r="BB127" i="473"/>
  <c r="BD127" i="473"/>
  <c r="W116" i="474"/>
  <c r="G122" i="471"/>
  <c r="U117" i="469"/>
  <c r="T117" i="469"/>
  <c r="U117" i="475"/>
  <c r="T117" i="475"/>
  <c r="G121" i="471"/>
  <c r="G112" i="471"/>
  <c r="T108" i="469"/>
  <c r="U108" i="469"/>
  <c r="U122" i="475"/>
  <c r="T122" i="475"/>
  <c r="U126" i="475"/>
  <c r="T126" i="475"/>
  <c r="G124" i="471"/>
  <c r="U130" i="469"/>
  <c r="T130" i="469"/>
  <c r="U111" i="475"/>
  <c r="T111" i="475"/>
  <c r="U115" i="469"/>
  <c r="T115" i="469"/>
  <c r="U127" i="475"/>
  <c r="T127" i="475"/>
  <c r="U110" i="469"/>
  <c r="T110" i="469"/>
  <c r="G114" i="471"/>
  <c r="G130" i="471"/>
  <c r="U121" i="469"/>
  <c r="T121" i="469"/>
  <c r="G127" i="471"/>
  <c r="U122" i="469"/>
  <c r="T122" i="469"/>
  <c r="G109" i="471"/>
  <c r="G125" i="471"/>
  <c r="G118" i="471"/>
  <c r="U118" i="469"/>
  <c r="T118" i="469"/>
  <c r="G74" i="471"/>
  <c r="T104" i="469"/>
  <c r="U104" i="469"/>
  <c r="U115" i="475"/>
  <c r="T115" i="475"/>
  <c r="U119" i="469"/>
  <c r="T119" i="469"/>
  <c r="G104" i="471"/>
  <c r="T116" i="469"/>
  <c r="U116" i="469"/>
  <c r="U109" i="469"/>
  <c r="T109" i="469"/>
  <c r="U125" i="469"/>
  <c r="T125" i="469"/>
  <c r="U74" i="469"/>
  <c r="T74" i="469"/>
  <c r="G111" i="471"/>
  <c r="T128" i="469"/>
  <c r="U128" i="469"/>
  <c r="G113" i="471"/>
  <c r="U121" i="475"/>
  <c r="T121" i="475"/>
  <c r="G129" i="471"/>
  <c r="G123" i="471"/>
  <c r="T124" i="469"/>
  <c r="U124" i="469"/>
  <c r="T74" i="475"/>
  <c r="U74" i="475"/>
  <c r="T114" i="475"/>
  <c r="U114" i="475"/>
  <c r="T118" i="475"/>
  <c r="U118" i="475"/>
  <c r="G108" i="471"/>
  <c r="U114" i="469"/>
  <c r="T114" i="469"/>
  <c r="U119" i="475"/>
  <c r="T119" i="475"/>
  <c r="U123" i="469"/>
  <c r="T123" i="469"/>
  <c r="G120" i="471"/>
  <c r="U126" i="469"/>
  <c r="T126" i="469"/>
  <c r="T116" i="475"/>
  <c r="U116" i="475"/>
  <c r="U113" i="469"/>
  <c r="T113" i="469"/>
  <c r="U129" i="469"/>
  <c r="T129" i="469"/>
  <c r="G116" i="471"/>
  <c r="T112" i="469"/>
  <c r="U112" i="469"/>
  <c r="U109" i="475"/>
  <c r="T109" i="475"/>
  <c r="U113" i="475"/>
  <c r="T113" i="475"/>
  <c r="G117" i="471"/>
  <c r="U125" i="475"/>
  <c r="T125" i="475"/>
  <c r="U129" i="475"/>
  <c r="T129" i="475"/>
  <c r="G128" i="471"/>
  <c r="T110" i="475"/>
  <c r="U110" i="475"/>
  <c r="U130" i="475"/>
  <c r="T130" i="475"/>
  <c r="G119" i="471"/>
  <c r="T120" i="469"/>
  <c r="U120" i="469"/>
  <c r="U111" i="469"/>
  <c r="T111" i="469"/>
  <c r="U123" i="475"/>
  <c r="T123" i="475"/>
  <c r="U127" i="469"/>
  <c r="T127" i="469"/>
  <c r="T104" i="475"/>
  <c r="U104" i="475"/>
  <c r="T108" i="475"/>
  <c r="U108" i="475"/>
  <c r="T112" i="475"/>
  <c r="U112" i="475"/>
  <c r="T120" i="475"/>
  <c r="U120" i="475"/>
  <c r="U124" i="475"/>
  <c r="T124" i="475"/>
  <c r="U128" i="475"/>
  <c r="T128" i="475"/>
  <c r="G110" i="471"/>
  <c r="G126" i="471"/>
  <c r="G115" i="471"/>
  <c r="Z125" i="476"/>
  <c r="J125" i="370" s="1"/>
  <c r="AN125" i="370" s="1"/>
  <c r="BA105" i="475"/>
  <c r="BB105" i="475"/>
  <c r="BA121" i="475"/>
  <c r="BB121" i="475"/>
  <c r="BA110" i="475"/>
  <c r="BB110" i="475"/>
  <c r="BA114" i="475"/>
  <c r="BB114" i="475"/>
  <c r="BA126" i="475"/>
  <c r="BB126" i="475"/>
  <c r="BA130" i="475"/>
  <c r="BB130" i="475"/>
  <c r="BA117" i="475"/>
  <c r="BB117" i="475"/>
  <c r="BA118" i="475"/>
  <c r="BB118" i="475"/>
  <c r="BA111" i="475"/>
  <c r="BB111" i="475"/>
  <c r="BA119" i="475"/>
  <c r="BB119" i="475"/>
  <c r="BA127" i="475"/>
  <c r="BB127" i="475"/>
  <c r="BA104" i="475"/>
  <c r="BB104" i="475"/>
  <c r="BA120" i="475"/>
  <c r="BB120" i="475"/>
  <c r="BA109" i="475"/>
  <c r="BB109" i="475"/>
  <c r="BA125" i="475"/>
  <c r="BB125" i="475"/>
  <c r="BA108" i="475"/>
  <c r="BB108" i="475"/>
  <c r="BA124" i="475"/>
  <c r="BB124" i="475"/>
  <c r="BA113" i="475"/>
  <c r="BB113" i="475"/>
  <c r="BA129" i="475"/>
  <c r="BB129" i="475"/>
  <c r="BA74" i="475"/>
  <c r="BB74" i="475"/>
  <c r="BA106" i="475"/>
  <c r="BB106" i="475"/>
  <c r="BA122" i="475"/>
  <c r="BB122" i="475"/>
  <c r="BA107" i="475"/>
  <c r="BB107" i="475"/>
  <c r="BA115" i="475"/>
  <c r="BB115" i="475"/>
  <c r="BA123" i="475"/>
  <c r="BB123" i="475"/>
  <c r="BA112" i="475"/>
  <c r="BB112" i="475"/>
  <c r="BA116" i="475"/>
  <c r="BB116" i="475"/>
  <c r="BA128" i="475"/>
  <c r="BB128" i="475"/>
  <c r="Q112" i="531"/>
  <c r="T112" i="531" s="1"/>
  <c r="W119" i="476"/>
  <c r="Z127" i="476"/>
  <c r="J127" i="370" s="1"/>
  <c r="AN127" i="370" s="1"/>
  <c r="Z111" i="476"/>
  <c r="J111" i="370" s="1"/>
  <c r="AN111" i="370" s="1"/>
  <c r="Y127" i="476"/>
  <c r="Y111" i="476"/>
  <c r="Z130" i="476"/>
  <c r="J130" i="370" s="1"/>
  <c r="AN130" i="370" s="1"/>
  <c r="W127" i="476"/>
  <c r="Z119" i="476"/>
  <c r="J119" i="370" s="1"/>
  <c r="AN119" i="370" s="1"/>
  <c r="Z116" i="476"/>
  <c r="J116" i="370" s="1"/>
  <c r="AN116" i="370" s="1"/>
  <c r="Z114" i="476"/>
  <c r="J114" i="370" s="1"/>
  <c r="AN114" i="370" s="1"/>
  <c r="W111" i="476"/>
  <c r="AB114" i="476"/>
  <c r="AB127" i="476"/>
  <c r="Y119" i="476"/>
  <c r="Y116" i="476"/>
  <c r="Z120" i="476"/>
  <c r="J120" i="370" s="1"/>
  <c r="AN120" i="370" s="1"/>
  <c r="Z118" i="476"/>
  <c r="J118" i="370" s="1"/>
  <c r="AN118" i="370" s="1"/>
  <c r="Z109" i="476"/>
  <c r="J109" i="370" s="1"/>
  <c r="AN109" i="370" s="1"/>
  <c r="W104" i="476"/>
  <c r="Y104" i="476"/>
  <c r="AB109" i="476"/>
  <c r="Y120" i="476"/>
  <c r="Q114" i="531"/>
  <c r="T114" i="531" s="1"/>
  <c r="Q124" i="531"/>
  <c r="T124" i="531" s="1"/>
  <c r="Q113" i="531"/>
  <c r="T113" i="531" s="1"/>
  <c r="Q127" i="531"/>
  <c r="T127" i="531" s="1"/>
  <c r="T119" i="531"/>
  <c r="Q110" i="531"/>
  <c r="T110" i="531" s="1"/>
  <c r="B57" i="535"/>
  <c r="B102" i="535"/>
  <c r="B76" i="535"/>
  <c r="B118" i="535"/>
  <c r="B122" i="535"/>
  <c r="B87" i="535"/>
  <c r="B47" i="535"/>
  <c r="B52" i="535"/>
  <c r="B78" i="535"/>
  <c r="B114" i="535"/>
  <c r="T115" i="531"/>
  <c r="B107" i="535"/>
  <c r="B51" i="535"/>
  <c r="B104" i="535"/>
  <c r="B44" i="535"/>
  <c r="B123" i="535"/>
  <c r="B130" i="535"/>
  <c r="N116" i="531"/>
  <c r="Q116" i="531" s="1"/>
  <c r="T116" i="531" s="1"/>
  <c r="B64" i="535"/>
  <c r="T111" i="531"/>
  <c r="B77" i="535"/>
  <c r="B93" i="535"/>
  <c r="B48" i="535"/>
  <c r="B115" i="535"/>
  <c r="B112" i="535"/>
  <c r="B42" i="535"/>
  <c r="B46" i="535"/>
  <c r="B91" i="535"/>
  <c r="B56" i="535"/>
  <c r="B45" i="535"/>
  <c r="B98" i="535"/>
  <c r="B96" i="535"/>
  <c r="B125" i="535"/>
  <c r="B61" i="535"/>
  <c r="B97" i="535"/>
  <c r="B108" i="535"/>
  <c r="B86" i="535"/>
  <c r="Q130" i="531"/>
  <c r="T130" i="531" s="1"/>
  <c r="B129" i="535"/>
  <c r="B94" i="535"/>
  <c r="B62" i="535"/>
  <c r="N126" i="531"/>
  <c r="Q126" i="531" s="1"/>
  <c r="B110" i="535"/>
  <c r="B120" i="535"/>
  <c r="B73" i="535"/>
  <c r="B71" i="535"/>
  <c r="B67" i="535"/>
  <c r="B126" i="535"/>
  <c r="B99" i="535"/>
  <c r="B119" i="535"/>
  <c r="B85" i="535"/>
  <c r="B55" i="535"/>
  <c r="B121" i="535"/>
  <c r="B81" i="535"/>
  <c r="B54" i="535"/>
  <c r="B95" i="535"/>
  <c r="B105" i="535"/>
  <c r="B100" i="535"/>
  <c r="B43" i="535"/>
  <c r="B53" i="535"/>
  <c r="B90" i="535"/>
  <c r="B60" i="535"/>
  <c r="B58" i="535"/>
  <c r="T129" i="531"/>
  <c r="B75" i="535"/>
  <c r="B117" i="535"/>
  <c r="B82" i="535"/>
  <c r="B128" i="535"/>
  <c r="B68" i="535"/>
  <c r="B66" i="535"/>
  <c r="B49" i="535"/>
  <c r="B65" i="535"/>
  <c r="B101" i="535"/>
  <c r="B70" i="535"/>
  <c r="B63" i="535"/>
  <c r="B59" i="535"/>
  <c r="B113" i="535"/>
  <c r="B74" i="535"/>
  <c r="B109" i="535"/>
  <c r="Q117" i="531"/>
  <c r="T117" i="531" s="1"/>
  <c r="B72" i="535"/>
  <c r="B111" i="535"/>
  <c r="B106" i="535"/>
  <c r="B50" i="535"/>
  <c r="B88" i="535"/>
  <c r="B79" i="535"/>
  <c r="B69" i="535"/>
  <c r="B84" i="535"/>
  <c r="B80" i="535"/>
  <c r="T74" i="531"/>
  <c r="B89" i="535"/>
  <c r="B124" i="535"/>
  <c r="B116" i="535"/>
  <c r="B103" i="535"/>
  <c r="B83" i="535"/>
  <c r="B92" i="535"/>
  <c r="B127" i="535"/>
  <c r="AF112" i="370"/>
  <c r="AF122" i="370"/>
  <c r="AF128" i="370"/>
  <c r="AF118" i="370"/>
  <c r="AF123" i="370"/>
  <c r="AF108" i="370"/>
  <c r="AF116" i="370"/>
  <c r="AF117" i="370"/>
  <c r="AF119" i="370"/>
  <c r="AF120" i="370"/>
  <c r="AF111" i="370"/>
  <c r="AF127" i="370"/>
  <c r="AF104" i="370"/>
  <c r="AA44" i="476"/>
  <c r="Z117" i="476"/>
  <c r="J117" i="370" s="1"/>
  <c r="AN117" i="370" s="1"/>
  <c r="AE115" i="370"/>
  <c r="D115" i="521" s="1"/>
  <c r="AF115" i="521" s="1"/>
  <c r="AD115" i="370"/>
  <c r="AE109" i="370"/>
  <c r="D109" i="521" s="1"/>
  <c r="AF109" i="521" s="1"/>
  <c r="AD109" i="370"/>
  <c r="AE129" i="370"/>
  <c r="D129" i="521" s="1"/>
  <c r="AF129" i="521" s="1"/>
  <c r="AD129" i="370"/>
  <c r="AE110" i="370"/>
  <c r="D110" i="521" s="1"/>
  <c r="AF110" i="521" s="1"/>
  <c r="AD110" i="370"/>
  <c r="AE74" i="370"/>
  <c r="D74" i="521" s="1"/>
  <c r="AF74" i="521" s="1"/>
  <c r="AD74" i="370"/>
  <c r="AE116" i="370"/>
  <c r="D116" i="521" s="1"/>
  <c r="AF116" i="521" s="1"/>
  <c r="AD116" i="370"/>
  <c r="AE117" i="370"/>
  <c r="D117" i="521" s="1"/>
  <c r="AF117" i="521" s="1"/>
  <c r="AD117" i="370"/>
  <c r="AE113" i="370"/>
  <c r="D113" i="521" s="1"/>
  <c r="AF113" i="521" s="1"/>
  <c r="AD113" i="370"/>
  <c r="AE114" i="370"/>
  <c r="D114" i="521" s="1"/>
  <c r="AF114" i="521" s="1"/>
  <c r="AD114" i="370"/>
  <c r="AE111" i="370"/>
  <c r="D111" i="521" s="1"/>
  <c r="AF111" i="521" s="1"/>
  <c r="AD111" i="370"/>
  <c r="AE127" i="370"/>
  <c r="D127" i="521" s="1"/>
  <c r="AF127" i="521" s="1"/>
  <c r="AD127" i="370"/>
  <c r="AE112" i="370"/>
  <c r="D112" i="521" s="1"/>
  <c r="AF112" i="521" s="1"/>
  <c r="AD112" i="370"/>
  <c r="AE128" i="370"/>
  <c r="D128" i="521" s="1"/>
  <c r="AF128" i="521" s="1"/>
  <c r="AD128" i="370"/>
  <c r="AE121" i="370"/>
  <c r="D121" i="521" s="1"/>
  <c r="AF121" i="521" s="1"/>
  <c r="AD121" i="370"/>
  <c r="AE126" i="370"/>
  <c r="D126" i="521" s="1"/>
  <c r="AF126" i="521" s="1"/>
  <c r="AD126" i="370"/>
  <c r="AE122" i="370"/>
  <c r="D122" i="521" s="1"/>
  <c r="AF122" i="521" s="1"/>
  <c r="AD122" i="370"/>
  <c r="AE123" i="370"/>
  <c r="D123" i="521" s="1"/>
  <c r="AF123" i="521" s="1"/>
  <c r="AD123" i="370"/>
  <c r="AE108" i="370"/>
  <c r="D108" i="521" s="1"/>
  <c r="AF108" i="521" s="1"/>
  <c r="AD108" i="370"/>
  <c r="AE124" i="370"/>
  <c r="D124" i="521" s="1"/>
  <c r="AF124" i="521" s="1"/>
  <c r="AD124" i="370"/>
  <c r="AE125" i="370"/>
  <c r="D125" i="521" s="1"/>
  <c r="AF125" i="521" s="1"/>
  <c r="AD125" i="370"/>
  <c r="AE130" i="370"/>
  <c r="D130" i="521" s="1"/>
  <c r="AF130" i="521" s="1"/>
  <c r="AD130" i="370"/>
  <c r="AE118" i="370"/>
  <c r="D118" i="521" s="1"/>
  <c r="AF118" i="521" s="1"/>
  <c r="AD118" i="370"/>
  <c r="AE119" i="370"/>
  <c r="D119" i="521" s="1"/>
  <c r="AF119" i="521" s="1"/>
  <c r="AD119" i="370"/>
  <c r="AE104" i="370"/>
  <c r="D104" i="521" s="1"/>
  <c r="AF104" i="521" s="1"/>
  <c r="AD104" i="370"/>
  <c r="AE120" i="370"/>
  <c r="D120" i="521" s="1"/>
  <c r="AF120" i="521" s="1"/>
  <c r="AD120" i="370"/>
  <c r="AA34" i="476"/>
  <c r="AM2" i="476"/>
  <c r="W129" i="476"/>
  <c r="Y129" i="476"/>
  <c r="W113" i="476"/>
  <c r="Y113" i="476"/>
  <c r="W123" i="476"/>
  <c r="Y123" i="476"/>
  <c r="AB113" i="476"/>
  <c r="Z129" i="476"/>
  <c r="J129" i="370" s="1"/>
  <c r="AN129" i="370" s="1"/>
  <c r="Z123" i="476"/>
  <c r="J123" i="370" s="1"/>
  <c r="AN123" i="370" s="1"/>
  <c r="Z113" i="476"/>
  <c r="J113" i="370" s="1"/>
  <c r="AN113" i="370" s="1"/>
  <c r="W118" i="476"/>
  <c r="Y118" i="476"/>
  <c r="W109" i="476"/>
  <c r="Y109" i="476"/>
  <c r="W117" i="476"/>
  <c r="Y117" i="476"/>
  <c r="W125" i="476"/>
  <c r="Y125" i="476"/>
  <c r="W114" i="476"/>
  <c r="Y114" i="476"/>
  <c r="W130" i="476"/>
  <c r="Y130" i="476"/>
  <c r="AF74" i="370"/>
  <c r="AP50" i="370"/>
  <c r="AP62" i="370"/>
  <c r="AP70" i="370"/>
  <c r="AP82" i="370"/>
  <c r="AP94" i="370"/>
  <c r="AP110" i="370"/>
  <c r="AO122" i="370"/>
  <c r="AP126" i="370"/>
  <c r="AP47" i="370"/>
  <c r="AP63" i="370"/>
  <c r="AP79" i="370"/>
  <c r="AP95" i="370"/>
  <c r="AP111" i="370"/>
  <c r="AO123" i="370"/>
  <c r="AP127" i="370"/>
  <c r="AP52" i="370"/>
  <c r="AP68" i="370"/>
  <c r="AP84" i="370"/>
  <c r="AP100" i="370"/>
  <c r="AO112" i="370"/>
  <c r="AP116" i="370"/>
  <c r="AO128" i="370"/>
  <c r="AP53" i="370"/>
  <c r="AP69" i="370"/>
  <c r="AP85" i="370"/>
  <c r="AP101" i="370"/>
  <c r="AO113" i="370"/>
  <c r="AP117" i="370"/>
  <c r="AO129" i="370"/>
  <c r="AP58" i="370"/>
  <c r="AP90" i="370"/>
  <c r="AP106" i="370"/>
  <c r="AO118" i="370"/>
  <c r="AP122" i="370"/>
  <c r="AP43" i="370"/>
  <c r="AP59" i="370"/>
  <c r="AP75" i="370"/>
  <c r="AP91" i="370"/>
  <c r="AP107" i="370"/>
  <c r="AO119" i="370"/>
  <c r="AP123" i="370"/>
  <c r="AP48" i="370"/>
  <c r="AP64" i="370"/>
  <c r="AP80" i="370"/>
  <c r="AP96" i="370"/>
  <c r="AO108" i="370"/>
  <c r="AP112" i="370"/>
  <c r="AO124" i="370"/>
  <c r="AP128" i="370"/>
  <c r="AP49" i="370"/>
  <c r="AP65" i="370"/>
  <c r="AP81" i="370"/>
  <c r="AP97" i="370"/>
  <c r="AO109" i="370"/>
  <c r="AP113" i="370"/>
  <c r="AO125" i="370"/>
  <c r="AP129" i="370"/>
  <c r="AP46" i="370"/>
  <c r="AP54" i="370"/>
  <c r="AP66" i="370"/>
  <c r="AO74" i="370"/>
  <c r="AP78" i="370"/>
  <c r="AP86" i="370"/>
  <c r="AP102" i="370"/>
  <c r="AO114" i="370"/>
  <c r="AP118" i="370"/>
  <c r="AO130" i="370"/>
  <c r="AP55" i="370"/>
  <c r="AP71" i="370"/>
  <c r="AP87" i="370"/>
  <c r="AP103" i="370"/>
  <c r="AO115" i="370"/>
  <c r="AP119" i="370"/>
  <c r="AP44" i="370"/>
  <c r="AP60" i="370"/>
  <c r="AP76" i="370"/>
  <c r="AP92" i="370"/>
  <c r="AP108" i="370"/>
  <c r="AO120" i="370"/>
  <c r="AP124" i="370"/>
  <c r="AP45" i="370"/>
  <c r="AP61" i="370"/>
  <c r="AP77" i="370"/>
  <c r="AP93" i="370"/>
  <c r="AP109" i="370"/>
  <c r="AO121" i="370"/>
  <c r="AP125" i="370"/>
  <c r="AP42" i="370"/>
  <c r="AP74" i="370"/>
  <c r="AP98" i="370"/>
  <c r="AO110" i="370"/>
  <c r="AP114" i="370"/>
  <c r="AO126" i="370"/>
  <c r="AP130" i="370"/>
  <c r="AP51" i="370"/>
  <c r="AP67" i="370"/>
  <c r="AP83" i="370"/>
  <c r="AP99" i="370"/>
  <c r="AO111" i="370"/>
  <c r="AP115" i="370"/>
  <c r="AO127" i="370"/>
  <c r="AP56" i="370"/>
  <c r="AP72" i="370"/>
  <c r="AP88" i="370"/>
  <c r="AP104" i="370"/>
  <c r="AO116" i="370"/>
  <c r="AP120" i="370"/>
  <c r="AP57" i="370"/>
  <c r="AP73" i="370"/>
  <c r="AP89" i="370"/>
  <c r="AP105" i="370"/>
  <c r="AO117" i="370"/>
  <c r="AP121" i="370"/>
  <c r="AA125" i="476"/>
  <c r="AA103" i="476"/>
  <c r="AA50" i="476"/>
  <c r="AA37" i="476"/>
  <c r="AA101" i="476"/>
  <c r="AA94" i="476"/>
  <c r="AA86" i="476"/>
  <c r="AA82" i="476"/>
  <c r="AA61" i="476"/>
  <c r="AA59" i="476"/>
  <c r="AA58" i="476"/>
  <c r="AA53" i="476"/>
  <c r="AA52" i="476"/>
  <c r="AA51" i="476"/>
  <c r="AA45" i="476"/>
  <c r="AA43" i="476"/>
  <c r="AA42" i="476"/>
  <c r="AA39" i="476"/>
  <c r="AA36" i="476"/>
  <c r="AA127" i="476"/>
  <c r="AA123" i="476"/>
  <c r="AA122" i="476"/>
  <c r="AA121" i="476"/>
  <c r="AA120" i="476"/>
  <c r="AA119" i="476"/>
  <c r="AA118" i="476"/>
  <c r="AA117" i="476"/>
  <c r="AA116" i="476"/>
  <c r="AA115" i="476"/>
  <c r="AA114" i="476"/>
  <c r="AA113" i="476"/>
  <c r="AA112" i="476"/>
  <c r="AA111" i="476"/>
  <c r="AA110" i="476"/>
  <c r="AA109" i="476"/>
  <c r="AA107" i="476"/>
  <c r="U107" i="476" s="1"/>
  <c r="AA106" i="476"/>
  <c r="U106" i="476" s="1"/>
  <c r="AA105" i="476"/>
  <c r="AA102" i="476"/>
  <c r="AA99" i="476"/>
  <c r="AA98" i="476"/>
  <c r="AA97" i="476"/>
  <c r="AA95" i="476"/>
  <c r="AA93" i="476"/>
  <c r="AA91" i="476"/>
  <c r="AA90" i="476"/>
  <c r="AA89" i="476"/>
  <c r="AA88" i="476"/>
  <c r="AA84" i="476"/>
  <c r="AA81" i="476"/>
  <c r="AA79" i="476"/>
  <c r="AA78" i="476"/>
  <c r="AA75" i="476"/>
  <c r="AA74" i="476"/>
  <c r="AA71" i="476"/>
  <c r="AA70" i="476"/>
  <c r="AA67" i="476"/>
  <c r="AA66" i="476"/>
  <c r="AA64" i="476"/>
  <c r="AA62" i="476"/>
  <c r="AA60" i="476"/>
  <c r="AA57" i="476"/>
  <c r="AA56" i="476"/>
  <c r="AA55" i="476"/>
  <c r="AA54" i="476"/>
  <c r="AA49" i="476"/>
  <c r="AA48" i="476"/>
  <c r="AA47" i="476"/>
  <c r="AA46" i="476"/>
  <c r="AA41" i="476"/>
  <c r="AA40" i="476"/>
  <c r="AA38" i="476"/>
  <c r="AA35" i="476"/>
  <c r="AA33" i="476"/>
  <c r="AA32" i="476"/>
  <c r="AF115" i="370"/>
  <c r="AF121" i="370"/>
  <c r="AF126" i="370"/>
  <c r="AF125" i="370"/>
  <c r="AF130" i="370"/>
  <c r="AF109" i="370"/>
  <c r="AF129" i="370"/>
  <c r="AF110" i="370"/>
  <c r="AF113" i="370"/>
  <c r="AF114" i="370"/>
  <c r="AE30" i="370"/>
  <c r="AA108" i="476"/>
  <c r="AA104" i="476"/>
  <c r="AA100" i="476"/>
  <c r="AA96" i="476"/>
  <c r="AA92" i="476"/>
  <c r="AA80" i="476"/>
  <c r="AA76" i="476"/>
  <c r="AA72" i="476"/>
  <c r="AA68" i="476"/>
  <c r="AA87" i="476"/>
  <c r="AA83" i="476"/>
  <c r="AA63" i="476"/>
  <c r="AA85" i="476"/>
  <c r="AA77" i="476"/>
  <c r="AA73" i="476"/>
  <c r="AA69" i="476"/>
  <c r="AA65" i="476"/>
  <c r="AA31" i="476"/>
  <c r="AB105" i="476"/>
  <c r="AB117" i="476"/>
  <c r="AB129" i="476"/>
  <c r="AA130" i="476"/>
  <c r="AA126" i="476"/>
  <c r="AA124" i="476"/>
  <c r="AA128" i="476"/>
  <c r="AA129" i="476"/>
  <c r="AB121" i="476"/>
  <c r="AB125" i="476"/>
  <c r="AC74" i="476"/>
  <c r="AB74" i="476"/>
  <c r="AC107" i="476"/>
  <c r="AC111" i="476"/>
  <c r="AC115" i="476"/>
  <c r="AC119" i="476"/>
  <c r="AC123" i="476"/>
  <c r="AC124" i="476"/>
  <c r="AB124" i="476"/>
  <c r="AC104" i="476"/>
  <c r="AC108" i="476"/>
  <c r="AC112" i="476"/>
  <c r="AC116" i="476"/>
  <c r="AC120" i="476"/>
  <c r="AC130" i="476"/>
  <c r="AB130" i="476"/>
  <c r="AC105" i="476"/>
  <c r="AC109" i="476"/>
  <c r="AC113" i="476"/>
  <c r="AC117" i="476"/>
  <c r="AC121" i="476"/>
  <c r="AB123" i="476"/>
  <c r="AC128" i="476"/>
  <c r="AB128" i="476"/>
  <c r="AC106" i="476"/>
  <c r="AB107" i="476"/>
  <c r="AC110" i="476"/>
  <c r="AB111" i="476"/>
  <c r="AC114" i="476"/>
  <c r="AB115" i="476"/>
  <c r="AC118" i="476"/>
  <c r="AB119" i="476"/>
  <c r="AC122" i="476"/>
  <c r="AC126" i="476"/>
  <c r="AB126" i="476"/>
  <c r="AC125" i="476"/>
  <c r="AC127" i="476"/>
  <c r="AC129" i="476"/>
  <c r="D107" i="527" l="1"/>
  <c r="W107" i="476"/>
  <c r="Y107" i="476" s="1"/>
  <c r="F106" i="522"/>
  <c r="Z107" i="536"/>
  <c r="V107" i="473" s="1"/>
  <c r="W107" i="536"/>
  <c r="C107" i="529"/>
  <c r="B107" i="528"/>
  <c r="AC107" i="528"/>
  <c r="W106" i="476"/>
  <c r="Y106" i="476" s="1"/>
  <c r="U105" i="476"/>
  <c r="W105" i="476" s="1"/>
  <c r="Y105" i="476" s="1"/>
  <c r="Z105" i="536"/>
  <c r="V105" i="471" s="1"/>
  <c r="W105" i="536"/>
  <c r="D105" i="527"/>
  <c r="Z106" i="536"/>
  <c r="V106" i="469" s="1"/>
  <c r="W106" i="536"/>
  <c r="C106" i="529"/>
  <c r="B106" i="528"/>
  <c r="AC106" i="528"/>
  <c r="C105" i="529"/>
  <c r="B105" i="528"/>
  <c r="AC105" i="528"/>
  <c r="C104" i="529"/>
  <c r="P104" i="528"/>
  <c r="Z104" i="528"/>
  <c r="S104" i="528"/>
  <c r="K104" i="528"/>
  <c r="G104" i="528"/>
  <c r="H104" i="528"/>
  <c r="AC104" i="528"/>
  <c r="T104" i="528"/>
  <c r="U104" i="528"/>
  <c r="D104" i="529" s="1"/>
  <c r="F104" i="528"/>
  <c r="B104" i="528"/>
  <c r="J104" i="528"/>
  <c r="M104" i="528"/>
  <c r="Q104" i="528"/>
  <c r="N104" i="528"/>
  <c r="V104" i="471"/>
  <c r="V104" i="473"/>
  <c r="V104" i="469"/>
  <c r="CS130" i="477"/>
  <c r="CS114" i="477"/>
  <c r="CS98" i="477"/>
  <c r="CS82" i="477"/>
  <c r="CS117" i="477"/>
  <c r="CS101" i="477"/>
  <c r="CS85" i="477"/>
  <c r="CS120" i="477"/>
  <c r="CS104" i="477"/>
  <c r="CS88" i="477"/>
  <c r="CS71" i="477"/>
  <c r="CS55" i="477"/>
  <c r="CS39" i="477"/>
  <c r="CS111" i="477"/>
  <c r="CS78" i="477"/>
  <c r="CS62" i="477"/>
  <c r="CS46" i="477"/>
  <c r="CS31" i="477"/>
  <c r="CS69" i="477"/>
  <c r="CS53" i="477"/>
  <c r="CS37" i="477"/>
  <c r="CS107" i="477"/>
  <c r="CS80" i="477"/>
  <c r="CS64" i="477"/>
  <c r="CS48" i="477"/>
  <c r="CS126" i="477"/>
  <c r="CS110" i="477"/>
  <c r="CS94" i="477"/>
  <c r="CS129" i="477"/>
  <c r="CS113" i="477"/>
  <c r="CS97" i="477"/>
  <c r="CS81" i="477"/>
  <c r="CS116" i="477"/>
  <c r="CS100" i="477"/>
  <c r="CS84" i="477"/>
  <c r="CS67" i="477"/>
  <c r="CS51" i="477"/>
  <c r="CS35" i="477"/>
  <c r="CS103" i="477"/>
  <c r="CS74" i="477"/>
  <c r="CS58" i="477"/>
  <c r="CS42" i="477"/>
  <c r="CS32" i="477"/>
  <c r="CS65" i="477"/>
  <c r="CS49" i="477"/>
  <c r="CS33" i="477"/>
  <c r="CS99" i="477"/>
  <c r="CS76" i="477"/>
  <c r="CS60" i="477"/>
  <c r="CS44" i="477"/>
  <c r="CS122" i="477"/>
  <c r="CS106" i="477"/>
  <c r="CS90" i="477"/>
  <c r="CS125" i="477"/>
  <c r="CS109" i="477"/>
  <c r="CS93" i="477"/>
  <c r="CS128" i="477"/>
  <c r="CS112" i="477"/>
  <c r="CS96" i="477"/>
  <c r="CS79" i="477"/>
  <c r="CS63" i="477"/>
  <c r="CS47" i="477"/>
  <c r="CS127" i="477"/>
  <c r="CS95" i="477"/>
  <c r="CS70" i="477"/>
  <c r="CS54" i="477"/>
  <c r="CS38" i="477"/>
  <c r="CS77" i="477"/>
  <c r="CS61" i="477"/>
  <c r="CS45" i="477"/>
  <c r="CS123" i="477"/>
  <c r="CS91" i="477"/>
  <c r="CS72" i="477"/>
  <c r="CS56" i="477"/>
  <c r="CS40" i="477"/>
  <c r="CS118" i="477"/>
  <c r="CS102" i="477"/>
  <c r="CS86" i="477"/>
  <c r="CS121" i="477"/>
  <c r="CS105" i="477"/>
  <c r="CS89" i="477"/>
  <c r="CS124" i="477"/>
  <c r="CS108" i="477"/>
  <c r="CS92" i="477"/>
  <c r="CS75" i="477"/>
  <c r="CS59" i="477"/>
  <c r="CS43" i="477"/>
  <c r="CS119" i="477"/>
  <c r="CS87" i="477"/>
  <c r="CS66" i="477"/>
  <c r="CS50" i="477"/>
  <c r="CS34" i="477"/>
  <c r="CS73" i="477"/>
  <c r="CS57" i="477"/>
  <c r="CS41" i="477"/>
  <c r="CS115" i="477"/>
  <c r="CS83" i="477"/>
  <c r="CS68" i="477"/>
  <c r="CS52" i="477"/>
  <c r="CS36" i="477"/>
  <c r="CT129" i="477"/>
  <c r="CT113" i="477"/>
  <c r="CT97" i="477"/>
  <c r="CT81" i="477"/>
  <c r="CT116" i="477"/>
  <c r="CT100" i="477"/>
  <c r="CT84" i="477"/>
  <c r="CT115" i="477"/>
  <c r="CT99" i="477"/>
  <c r="CT83" i="477"/>
  <c r="CT66" i="477"/>
  <c r="CT50" i="477"/>
  <c r="CT34" i="477"/>
  <c r="CT102" i="477"/>
  <c r="CT73" i="477"/>
  <c r="CT57" i="477"/>
  <c r="CT41" i="477"/>
  <c r="CT76" i="477"/>
  <c r="CT60" i="477"/>
  <c r="CT44" i="477"/>
  <c r="CT130" i="477"/>
  <c r="CT98" i="477"/>
  <c r="CT75" i="477"/>
  <c r="CT59" i="477"/>
  <c r="CT43" i="477"/>
  <c r="CT125" i="477"/>
  <c r="CT109" i="477"/>
  <c r="CT93" i="477"/>
  <c r="CT128" i="477"/>
  <c r="CT112" i="477"/>
  <c r="CT96" i="477"/>
  <c r="CT127" i="477"/>
  <c r="CT111" i="477"/>
  <c r="CT95" i="477"/>
  <c r="CT78" i="477"/>
  <c r="CT62" i="477"/>
  <c r="CT46" i="477"/>
  <c r="CX46" i="477" s="1"/>
  <c r="CT126" i="477"/>
  <c r="CT94" i="477"/>
  <c r="CT69" i="477"/>
  <c r="CT53" i="477"/>
  <c r="CT37" i="477"/>
  <c r="CT72" i="477"/>
  <c r="CT56" i="477"/>
  <c r="CT40" i="477"/>
  <c r="CT122" i="477"/>
  <c r="CT90" i="477"/>
  <c r="CT71" i="477"/>
  <c r="CX71" i="477" s="1"/>
  <c r="AQ71" i="477" s="1"/>
  <c r="AO71" i="477" s="1"/>
  <c r="CT55" i="477"/>
  <c r="CT39" i="477"/>
  <c r="CT121" i="477"/>
  <c r="CT105" i="477"/>
  <c r="CT89" i="477"/>
  <c r="CT124" i="477"/>
  <c r="CT108" i="477"/>
  <c r="CT92" i="477"/>
  <c r="CT123" i="477"/>
  <c r="CT107" i="477"/>
  <c r="CT91" i="477"/>
  <c r="CT74" i="477"/>
  <c r="CT58" i="477"/>
  <c r="CT42" i="477"/>
  <c r="CT118" i="477"/>
  <c r="CT86" i="477"/>
  <c r="CT65" i="477"/>
  <c r="CT49" i="477"/>
  <c r="CT33" i="477"/>
  <c r="CT68" i="477"/>
  <c r="CT52" i="477"/>
  <c r="CT36" i="477"/>
  <c r="CT114" i="477"/>
  <c r="CT82" i="477"/>
  <c r="CT67" i="477"/>
  <c r="CT51" i="477"/>
  <c r="CT35" i="477"/>
  <c r="CT117" i="477"/>
  <c r="CT101" i="477"/>
  <c r="CT85" i="477"/>
  <c r="CT120" i="477"/>
  <c r="CT104" i="477"/>
  <c r="CT119" i="477"/>
  <c r="CT103" i="477"/>
  <c r="CT87" i="477"/>
  <c r="CT70" i="477"/>
  <c r="CT54" i="477"/>
  <c r="CT38" i="477"/>
  <c r="CT61" i="477"/>
  <c r="CT48" i="477"/>
  <c r="CT63" i="477"/>
  <c r="CT79" i="477"/>
  <c r="CT88" i="477"/>
  <c r="CT45" i="477"/>
  <c r="CT32" i="477"/>
  <c r="CT47" i="477"/>
  <c r="CT64" i="477"/>
  <c r="CT110" i="477"/>
  <c r="CT80" i="477"/>
  <c r="CT106" i="477"/>
  <c r="CT31" i="477"/>
  <c r="CT77" i="477"/>
  <c r="CX77" i="477" s="1"/>
  <c r="AQ77" i="477" s="1"/>
  <c r="AO77" i="477" s="1"/>
  <c r="AU41" i="370"/>
  <c r="AT41" i="370"/>
  <c r="AP41" i="370"/>
  <c r="AS41" i="370"/>
  <c r="AQ41" i="370"/>
  <c r="AR41" i="370"/>
  <c r="T126" i="531"/>
  <c r="AP39" i="370"/>
  <c r="AP40" i="370"/>
  <c r="AP37" i="370"/>
  <c r="AP38" i="370"/>
  <c r="AP36" i="370"/>
  <c r="AG29" i="476"/>
  <c r="AJ29" i="476"/>
  <c r="AE29" i="476"/>
  <c r="AI29" i="476"/>
  <c r="AF29" i="476"/>
  <c r="AK29" i="476"/>
  <c r="AL29" i="476"/>
  <c r="AH29" i="476"/>
  <c r="AA28" i="476"/>
  <c r="V107" i="471" l="1"/>
  <c r="V107" i="469"/>
  <c r="CX106" i="477"/>
  <c r="CX107" i="477"/>
  <c r="C107" i="530"/>
  <c r="B107" i="529"/>
  <c r="J107" i="529"/>
  <c r="K107" i="529"/>
  <c r="V106" i="473"/>
  <c r="V106" i="471"/>
  <c r="V105" i="473"/>
  <c r="V105" i="469"/>
  <c r="CX105" i="477"/>
  <c r="C106" i="530"/>
  <c r="J106" i="529"/>
  <c r="B106" i="529"/>
  <c r="K106" i="529"/>
  <c r="C105" i="530"/>
  <c r="J105" i="529"/>
  <c r="K105" i="529"/>
  <c r="B105" i="529"/>
  <c r="I104" i="528"/>
  <c r="L104" i="528" s="1"/>
  <c r="O104" i="528" s="1"/>
  <c r="R104" i="528" s="1"/>
  <c r="C104" i="530"/>
  <c r="J104" i="529"/>
  <c r="H104" i="529"/>
  <c r="D104" i="530" s="1"/>
  <c r="F104" i="529"/>
  <c r="T104" i="532" s="1"/>
  <c r="G104" i="529"/>
  <c r="L104" i="529"/>
  <c r="B104" i="529"/>
  <c r="K104" i="529"/>
  <c r="M104" i="529"/>
  <c r="AQ46" i="477"/>
  <c r="AO46" i="477" s="1"/>
  <c r="CX85" i="477"/>
  <c r="AQ85" i="477" s="1"/>
  <c r="AO85" i="477" s="1"/>
  <c r="C85" i="521" s="1"/>
  <c r="CX95" i="477"/>
  <c r="AQ95" i="477" s="1"/>
  <c r="AO95" i="477" s="1"/>
  <c r="F95" i="472" s="1"/>
  <c r="CX102" i="477"/>
  <c r="AQ102" i="477" s="1"/>
  <c r="AO102" i="477" s="1"/>
  <c r="C102" i="370" s="1"/>
  <c r="CX92" i="477"/>
  <c r="AQ92" i="477" s="1"/>
  <c r="AO92" i="477" s="1"/>
  <c r="CX93" i="477"/>
  <c r="AQ93" i="477" s="1"/>
  <c r="AO93" i="477" s="1"/>
  <c r="CX94" i="477"/>
  <c r="AQ94" i="477" s="1"/>
  <c r="AO94" i="477" s="1"/>
  <c r="CX75" i="477"/>
  <c r="AQ75" i="477" s="1"/>
  <c r="AO75" i="477" s="1"/>
  <c r="C75" i="539" s="1"/>
  <c r="CX96" i="477"/>
  <c r="AQ96" i="477" s="1"/>
  <c r="AO96" i="477" s="1"/>
  <c r="CX99" i="477"/>
  <c r="AQ99" i="477" s="1"/>
  <c r="AO99" i="477" s="1"/>
  <c r="CX103" i="477"/>
  <c r="AQ103" i="477" s="1"/>
  <c r="AO103" i="477" s="1"/>
  <c r="CX97" i="477"/>
  <c r="AQ97" i="477" s="1"/>
  <c r="AO97" i="477" s="1"/>
  <c r="CX98" i="477"/>
  <c r="AQ98" i="477" s="1"/>
  <c r="AO98" i="477" s="1"/>
  <c r="CX37" i="477"/>
  <c r="AQ37" i="477" s="1"/>
  <c r="AO37" i="477" s="1"/>
  <c r="F37" i="469" s="1"/>
  <c r="CX101" i="477"/>
  <c r="AQ101" i="477" s="1"/>
  <c r="AO101" i="477" s="1"/>
  <c r="CX100" i="477"/>
  <c r="AQ100" i="477" s="1"/>
  <c r="AO100" i="477" s="1"/>
  <c r="CX91" i="477"/>
  <c r="AQ91" i="477" s="1"/>
  <c r="AO91" i="477" s="1"/>
  <c r="CX90" i="477"/>
  <c r="AQ90" i="477" s="1"/>
  <c r="AO90" i="477" s="1"/>
  <c r="CX89" i="477"/>
  <c r="AQ89" i="477" s="1"/>
  <c r="AO89" i="477" s="1"/>
  <c r="F89" i="558" s="1"/>
  <c r="CX88" i="477"/>
  <c r="AQ88" i="477" s="1"/>
  <c r="AO88" i="477" s="1"/>
  <c r="CX87" i="477"/>
  <c r="AQ87" i="477" s="1"/>
  <c r="AO87" i="477" s="1"/>
  <c r="CX86" i="477"/>
  <c r="AQ86" i="477" s="1"/>
  <c r="AO86" i="477" s="1"/>
  <c r="F86" i="476" s="1"/>
  <c r="CX79" i="477"/>
  <c r="AQ79" i="477" s="1"/>
  <c r="AO79" i="477" s="1"/>
  <c r="F79" i="473" s="1"/>
  <c r="CX81" i="477"/>
  <c r="AQ81" i="477" s="1"/>
  <c r="AO81" i="477" s="1"/>
  <c r="C81" i="521" s="1"/>
  <c r="CX84" i="477"/>
  <c r="AQ84" i="477" s="1"/>
  <c r="AO84" i="477" s="1"/>
  <c r="C84" i="527" s="1"/>
  <c r="CX83" i="477"/>
  <c r="AQ83" i="477" s="1"/>
  <c r="AO83" i="477" s="1"/>
  <c r="F83" i="472" s="1"/>
  <c r="CX82" i="477"/>
  <c r="AQ82" i="477" s="1"/>
  <c r="AO82" i="477" s="1"/>
  <c r="F82" i="474" s="1"/>
  <c r="H82" i="474" s="1"/>
  <c r="CX80" i="477"/>
  <c r="AQ80" i="477" s="1"/>
  <c r="AO80" i="477" s="1"/>
  <c r="C80" i="539" s="1"/>
  <c r="CX78" i="477"/>
  <c r="AQ78" i="477" s="1"/>
  <c r="AO78" i="477" s="1"/>
  <c r="C77" i="527"/>
  <c r="C77" i="526"/>
  <c r="F77" i="474"/>
  <c r="H77" i="474" s="1"/>
  <c r="F77" i="476"/>
  <c r="C77" i="521"/>
  <c r="C77" i="370"/>
  <c r="F77" i="475"/>
  <c r="G77" i="475" s="1"/>
  <c r="C77" i="522"/>
  <c r="F77" i="473"/>
  <c r="F77" i="558"/>
  <c r="F77" i="536"/>
  <c r="G77" i="536" s="1"/>
  <c r="F77" i="469"/>
  <c r="F77" i="472"/>
  <c r="C77" i="539"/>
  <c r="F77" i="471"/>
  <c r="CX76" i="477"/>
  <c r="AQ76" i="477" s="1"/>
  <c r="AO76" i="477" s="1"/>
  <c r="F76" i="472" s="1"/>
  <c r="CX73" i="477"/>
  <c r="AQ73" i="477" s="1"/>
  <c r="AO73" i="477" s="1"/>
  <c r="CX72" i="477"/>
  <c r="AQ72" i="477" s="1"/>
  <c r="AO72" i="477" s="1"/>
  <c r="C72" i="527" s="1"/>
  <c r="C71" i="527"/>
  <c r="C71" i="539"/>
  <c r="F71" i="536"/>
  <c r="G71" i="536" s="1"/>
  <c r="C71" i="370"/>
  <c r="F71" i="474"/>
  <c r="H71" i="474" s="1"/>
  <c r="F71" i="558"/>
  <c r="C71" i="521"/>
  <c r="F71" i="473"/>
  <c r="F71" i="471"/>
  <c r="C71" i="526"/>
  <c r="F71" i="472"/>
  <c r="F71" i="469"/>
  <c r="F71" i="476"/>
  <c r="C71" i="522"/>
  <c r="F71" i="475"/>
  <c r="G71" i="475" s="1"/>
  <c r="CX70" i="477"/>
  <c r="AQ70" i="477" s="1"/>
  <c r="AO70" i="477" s="1"/>
  <c r="CX69" i="477"/>
  <c r="AQ69" i="477" s="1"/>
  <c r="AO69" i="477" s="1"/>
  <c r="CX68" i="477"/>
  <c r="AQ68" i="477" s="1"/>
  <c r="AO68" i="477" s="1"/>
  <c r="C68" i="370" s="1"/>
  <c r="CX67" i="477"/>
  <c r="AQ67" i="477" s="1"/>
  <c r="AO67" i="477" s="1"/>
  <c r="CX50" i="477"/>
  <c r="AQ50" i="477" s="1"/>
  <c r="AO50" i="477" s="1"/>
  <c r="F50" i="558" s="1"/>
  <c r="CX33" i="477"/>
  <c r="CX52" i="477"/>
  <c r="AQ52" i="477" s="1"/>
  <c r="AO52" i="477" s="1"/>
  <c r="C52" i="539" s="1"/>
  <c r="CX43" i="477"/>
  <c r="AQ43" i="477" s="1"/>
  <c r="AO43" i="477" s="1"/>
  <c r="C43" i="539" s="1"/>
  <c r="CX34" i="477"/>
  <c r="AQ34" i="477" s="1"/>
  <c r="AO34" i="477" s="1"/>
  <c r="C34" i="370" s="1"/>
  <c r="CX40" i="477"/>
  <c r="AQ40" i="477" s="1"/>
  <c r="AO40" i="477" s="1"/>
  <c r="C40" i="521" s="1"/>
  <c r="AE40" i="521" s="1"/>
  <c r="CX65" i="477"/>
  <c r="AQ65" i="477" s="1"/>
  <c r="AO65" i="477" s="1"/>
  <c r="F65" i="476" s="1"/>
  <c r="CX64" i="477"/>
  <c r="AQ64" i="477" s="1"/>
  <c r="AO64" i="477" s="1"/>
  <c r="F64" i="472" s="1"/>
  <c r="CX53" i="477"/>
  <c r="AQ53" i="477" s="1"/>
  <c r="AO53" i="477" s="1"/>
  <c r="F53" i="469" s="1"/>
  <c r="CX55" i="477"/>
  <c r="AQ55" i="477" s="1"/>
  <c r="AO55" i="477" s="1"/>
  <c r="C55" i="370" s="1"/>
  <c r="CX38" i="477"/>
  <c r="AQ38" i="477" s="1"/>
  <c r="AO38" i="477" s="1"/>
  <c r="F38" i="469" s="1"/>
  <c r="G38" i="469" s="1"/>
  <c r="CX36" i="477"/>
  <c r="AQ36" i="477" s="1"/>
  <c r="AO36" i="477" s="1"/>
  <c r="F36" i="476" s="1"/>
  <c r="AC36" i="476" s="1"/>
  <c r="CX57" i="477"/>
  <c r="AQ57" i="477" s="1"/>
  <c r="AO57" i="477" s="1"/>
  <c r="F57" i="476" s="1"/>
  <c r="CX56" i="477"/>
  <c r="AQ56" i="477" s="1"/>
  <c r="AO56" i="477" s="1"/>
  <c r="CX54" i="477"/>
  <c r="AQ54" i="477" s="1"/>
  <c r="AO54" i="477" s="1"/>
  <c r="F54" i="471" s="1"/>
  <c r="CX31" i="477"/>
  <c r="CX61" i="477"/>
  <c r="AQ61" i="477" s="1"/>
  <c r="AO61" i="477" s="1"/>
  <c r="F61" i="558" s="1"/>
  <c r="CX51" i="477"/>
  <c r="AQ51" i="477" s="1"/>
  <c r="AO51" i="477" s="1"/>
  <c r="F51" i="558" s="1"/>
  <c r="CX59" i="477"/>
  <c r="AQ59" i="477" s="1"/>
  <c r="AO59" i="477" s="1"/>
  <c r="F59" i="476" s="1"/>
  <c r="CX60" i="477"/>
  <c r="AQ60" i="477" s="1"/>
  <c r="AO60" i="477" s="1"/>
  <c r="C60" i="370" s="1"/>
  <c r="CX58" i="477"/>
  <c r="AQ58" i="477" s="1"/>
  <c r="AO58" i="477" s="1"/>
  <c r="F58" i="476" s="1"/>
  <c r="CX66" i="477"/>
  <c r="AQ66" i="477" s="1"/>
  <c r="AO66" i="477" s="1"/>
  <c r="F66" i="474" s="1"/>
  <c r="H66" i="474" s="1"/>
  <c r="CX63" i="477"/>
  <c r="AQ63" i="477" s="1"/>
  <c r="AO63" i="477" s="1"/>
  <c r="C63" i="527" s="1"/>
  <c r="CX49" i="477"/>
  <c r="AQ49" i="477" s="1"/>
  <c r="AO49" i="477" s="1"/>
  <c r="F49" i="473" s="1"/>
  <c r="CX48" i="477"/>
  <c r="AQ48" i="477" s="1"/>
  <c r="AO48" i="477" s="1"/>
  <c r="F48" i="476" s="1"/>
  <c r="CX47" i="477"/>
  <c r="AQ47" i="477" s="1"/>
  <c r="AO47" i="477" s="1"/>
  <c r="C47" i="521" s="1"/>
  <c r="CX42" i="477"/>
  <c r="AQ42" i="477" s="1"/>
  <c r="AO42" i="477" s="1"/>
  <c r="F42" i="476" s="1"/>
  <c r="CX39" i="477"/>
  <c r="AQ39" i="477" s="1"/>
  <c r="AO39" i="477" s="1"/>
  <c r="F39" i="536" s="1"/>
  <c r="G39" i="536" s="1"/>
  <c r="CX35" i="477"/>
  <c r="AQ35" i="477" s="1"/>
  <c r="AO35" i="477" s="1"/>
  <c r="F35" i="474" s="1"/>
  <c r="H35" i="474" s="1"/>
  <c r="CX32" i="477"/>
  <c r="CX62" i="477"/>
  <c r="AQ62" i="477" s="1"/>
  <c r="AO62" i="477" s="1"/>
  <c r="CX45" i="477"/>
  <c r="AQ45" i="477" s="1"/>
  <c r="AO45" i="477" s="1"/>
  <c r="F45" i="476" s="1"/>
  <c r="CX44" i="477"/>
  <c r="AQ44" i="477" s="1"/>
  <c r="AO44" i="477" s="1"/>
  <c r="CX41" i="477"/>
  <c r="AQ41" i="477" s="1"/>
  <c r="AO41" i="477" s="1"/>
  <c r="AT32" i="370"/>
  <c r="AS32" i="370"/>
  <c r="AR32" i="370"/>
  <c r="AU32" i="370"/>
  <c r="AQ32" i="370"/>
  <c r="AP33" i="370"/>
  <c r="B180" i="1"/>
  <c r="L107" i="529" l="1"/>
  <c r="C107" i="531"/>
  <c r="B107" i="530"/>
  <c r="I107" i="530"/>
  <c r="J107" i="530"/>
  <c r="L106" i="529"/>
  <c r="L105" i="529"/>
  <c r="C106" i="531"/>
  <c r="B106" i="530"/>
  <c r="J106" i="530"/>
  <c r="I106" i="530"/>
  <c r="C105" i="531"/>
  <c r="J105" i="530"/>
  <c r="I105" i="530"/>
  <c r="B105" i="530"/>
  <c r="C104" i="531"/>
  <c r="F104" i="530"/>
  <c r="J104" i="530"/>
  <c r="L104" i="530"/>
  <c r="I104" i="530"/>
  <c r="G104" i="530"/>
  <c r="G104" i="531" s="1"/>
  <c r="K104" i="530"/>
  <c r="B104" i="530"/>
  <c r="G72" i="527"/>
  <c r="H72" i="527"/>
  <c r="H71" i="527"/>
  <c r="G71" i="527"/>
  <c r="G77" i="527"/>
  <c r="H77" i="527"/>
  <c r="G63" i="527"/>
  <c r="H63" i="527"/>
  <c r="G84" i="527"/>
  <c r="H84" i="527"/>
  <c r="F85" i="558"/>
  <c r="AB85" i="558" s="1"/>
  <c r="C85" i="370"/>
  <c r="F85" i="474"/>
  <c r="F85" i="473"/>
  <c r="BA85" i="473" s="1"/>
  <c r="F85" i="536"/>
  <c r="C85" i="539"/>
  <c r="AE85" i="539" s="1"/>
  <c r="C85" i="526"/>
  <c r="G85" i="526" s="1"/>
  <c r="H85" i="526" s="1"/>
  <c r="C85" i="522"/>
  <c r="BC85" i="522" s="1"/>
  <c r="F85" i="475"/>
  <c r="F85" i="476"/>
  <c r="AC85" i="476" s="1"/>
  <c r="C85" i="527"/>
  <c r="F85" i="469"/>
  <c r="G85" i="469" s="1"/>
  <c r="F85" i="471"/>
  <c r="B85" i="471" s="1"/>
  <c r="F85" i="472"/>
  <c r="AB85" i="472" s="1"/>
  <c r="C46" i="370"/>
  <c r="F46" i="473"/>
  <c r="BD46" i="473" s="1"/>
  <c r="F46" i="469"/>
  <c r="G46" i="469" s="1"/>
  <c r="C46" i="527"/>
  <c r="F46" i="475"/>
  <c r="G46" i="475" s="1"/>
  <c r="F46" i="476"/>
  <c r="AB46" i="476" s="1"/>
  <c r="C46" i="521"/>
  <c r="G46" i="521" s="1"/>
  <c r="F46" i="558"/>
  <c r="AB46" i="558" s="1"/>
  <c r="F46" i="474"/>
  <c r="C46" i="522"/>
  <c r="BC46" i="522" s="1"/>
  <c r="F46" i="536"/>
  <c r="C46" i="526"/>
  <c r="G46" i="526" s="1"/>
  <c r="H46" i="526" s="1"/>
  <c r="F46" i="472"/>
  <c r="AB46" i="472" s="1"/>
  <c r="F46" i="471"/>
  <c r="AB46" i="471" s="1"/>
  <c r="C46" i="539"/>
  <c r="AF46" i="539" s="1"/>
  <c r="C37" i="370"/>
  <c r="F37" i="472"/>
  <c r="AC37" i="472" s="1"/>
  <c r="C37" i="521"/>
  <c r="B37" i="521" s="1"/>
  <c r="F37" i="471"/>
  <c r="B37" i="471" s="1"/>
  <c r="F75" i="471"/>
  <c r="B75" i="471" s="1"/>
  <c r="F75" i="474"/>
  <c r="AE75" i="474" s="1"/>
  <c r="F75" i="469"/>
  <c r="G75" i="469" s="1"/>
  <c r="F75" i="473"/>
  <c r="BD75" i="473" s="1"/>
  <c r="C75" i="370"/>
  <c r="C75" i="521"/>
  <c r="AD75" i="521" s="1"/>
  <c r="C75" i="522"/>
  <c r="BC75" i="522" s="1"/>
  <c r="F75" i="536"/>
  <c r="C75" i="527"/>
  <c r="F75" i="558"/>
  <c r="U75" i="558" s="1"/>
  <c r="W75" i="558" s="1"/>
  <c r="Y75" i="558" s="1"/>
  <c r="F75" i="476"/>
  <c r="AB75" i="476" s="1"/>
  <c r="C102" i="522"/>
  <c r="BB102" i="522" s="1"/>
  <c r="C102" i="526"/>
  <c r="G102" i="526" s="1"/>
  <c r="H102" i="526" s="1"/>
  <c r="F102" i="474"/>
  <c r="AE102" i="474" s="1"/>
  <c r="F102" i="558"/>
  <c r="AC102" i="558" s="1"/>
  <c r="F102" i="473"/>
  <c r="BC102" i="473" s="1"/>
  <c r="F102" i="536"/>
  <c r="F102" i="471"/>
  <c r="G102" i="471" s="1"/>
  <c r="C102" i="521"/>
  <c r="AE102" i="521" s="1"/>
  <c r="F102" i="472"/>
  <c r="F102" i="475"/>
  <c r="G102" i="475" s="1"/>
  <c r="F102" i="476"/>
  <c r="F95" i="469"/>
  <c r="G95" i="469" s="1"/>
  <c r="G95" i="472" s="1"/>
  <c r="F95" i="558"/>
  <c r="B95" i="558" s="1"/>
  <c r="C95" i="370"/>
  <c r="F95" i="473"/>
  <c r="F95" i="471"/>
  <c r="AC95" i="471" s="1"/>
  <c r="F95" i="474"/>
  <c r="C95" i="526"/>
  <c r="C95" i="522"/>
  <c r="F95" i="475"/>
  <c r="C95" i="521"/>
  <c r="AE95" i="521" s="1"/>
  <c r="C95" i="539"/>
  <c r="AF95" i="539" s="1"/>
  <c r="F95" i="476"/>
  <c r="B95" i="476" s="1"/>
  <c r="F95" i="536"/>
  <c r="C95" i="527"/>
  <c r="F102" i="469"/>
  <c r="C102" i="527"/>
  <c r="C102" i="539"/>
  <c r="AF102" i="539" s="1"/>
  <c r="F37" i="536"/>
  <c r="F37" i="475"/>
  <c r="C37" i="526"/>
  <c r="C37" i="527"/>
  <c r="F37" i="474"/>
  <c r="BE37" i="474" s="1"/>
  <c r="F37" i="476"/>
  <c r="B37" i="476" s="1"/>
  <c r="C37" i="522"/>
  <c r="BB37" i="522" s="1"/>
  <c r="F37" i="558"/>
  <c r="AC37" i="558" s="1"/>
  <c r="F37" i="473"/>
  <c r="BD37" i="473" s="1"/>
  <c r="C37" i="539"/>
  <c r="AF37" i="539" s="1"/>
  <c r="C97" i="527"/>
  <c r="C97" i="521"/>
  <c r="F97" i="473"/>
  <c r="F97" i="471"/>
  <c r="C97" i="539"/>
  <c r="F97" i="558"/>
  <c r="C97" i="522"/>
  <c r="F97" i="469"/>
  <c r="C97" i="370"/>
  <c r="F97" i="474"/>
  <c r="H97" i="474" s="1"/>
  <c r="F97" i="476"/>
  <c r="F97" i="536"/>
  <c r="G97" i="536" s="1"/>
  <c r="F97" i="472"/>
  <c r="F97" i="475"/>
  <c r="C97" i="526"/>
  <c r="C101" i="539"/>
  <c r="C101" i="522"/>
  <c r="C101" i="370"/>
  <c r="F101" i="474"/>
  <c r="F101" i="476"/>
  <c r="C101" i="521"/>
  <c r="F101" i="472"/>
  <c r="AC101" i="472" s="1"/>
  <c r="F101" i="473"/>
  <c r="AC101" i="473" s="1"/>
  <c r="F101" i="558"/>
  <c r="F101" i="536"/>
  <c r="G101" i="536" s="1"/>
  <c r="F101" i="475"/>
  <c r="F101" i="469"/>
  <c r="C101" i="527"/>
  <c r="C101" i="526"/>
  <c r="F101" i="471"/>
  <c r="AB101" i="471" s="1"/>
  <c r="C103" i="527"/>
  <c r="C103" i="539"/>
  <c r="C103" i="522"/>
  <c r="F103" i="475"/>
  <c r="B103" i="475" s="1"/>
  <c r="F103" i="471"/>
  <c r="AB103" i="471" s="1"/>
  <c r="F103" i="476"/>
  <c r="F103" i="536"/>
  <c r="G103" i="536" s="1"/>
  <c r="F103" i="473"/>
  <c r="F103" i="469"/>
  <c r="C103" i="521"/>
  <c r="C103" i="370"/>
  <c r="F103" i="472"/>
  <c r="AB103" i="472" s="1"/>
  <c r="F103" i="558"/>
  <c r="C103" i="526"/>
  <c r="F103" i="474"/>
  <c r="H103" i="474" s="1"/>
  <c r="F94" i="476"/>
  <c r="C94" i="521"/>
  <c r="F94" i="469"/>
  <c r="F94" i="472"/>
  <c r="AC94" i="472" s="1"/>
  <c r="C94" i="539"/>
  <c r="F94" i="536"/>
  <c r="G94" i="536" s="1"/>
  <c r="F94" i="473"/>
  <c r="C94" i="527"/>
  <c r="C94" i="526"/>
  <c r="F94" i="471"/>
  <c r="AB94" i="471" s="1"/>
  <c r="C94" i="370"/>
  <c r="F94" i="475"/>
  <c r="F94" i="558"/>
  <c r="C94" i="522"/>
  <c r="F94" i="474"/>
  <c r="F75" i="472"/>
  <c r="AB75" i="472" s="1"/>
  <c r="F75" i="475"/>
  <c r="C75" i="526"/>
  <c r="G75" i="526" s="1"/>
  <c r="H75" i="526" s="1"/>
  <c r="C99" i="527"/>
  <c r="F99" i="536"/>
  <c r="G99" i="536" s="1"/>
  <c r="C99" i="370"/>
  <c r="F99" i="474"/>
  <c r="C99" i="539"/>
  <c r="C99" i="526"/>
  <c r="F99" i="475"/>
  <c r="C99" i="521"/>
  <c r="F99" i="473"/>
  <c r="F99" i="469"/>
  <c r="F99" i="558"/>
  <c r="F99" i="476"/>
  <c r="C99" i="522"/>
  <c r="F99" i="471"/>
  <c r="F99" i="472"/>
  <c r="C93" i="527"/>
  <c r="F93" i="536"/>
  <c r="G93" i="536" s="1"/>
  <c r="F93" i="472"/>
  <c r="F93" i="558"/>
  <c r="C93" i="522"/>
  <c r="F93" i="473"/>
  <c r="B93" i="473" s="1"/>
  <c r="F93" i="471"/>
  <c r="AC93" i="471" s="1"/>
  <c r="F93" i="475"/>
  <c r="F93" i="476"/>
  <c r="C93" i="521"/>
  <c r="E93" i="521" s="1"/>
  <c r="AG93" i="521" s="1"/>
  <c r="F93" i="469"/>
  <c r="C93" i="370"/>
  <c r="F93" i="474"/>
  <c r="H93" i="474" s="1"/>
  <c r="C93" i="539"/>
  <c r="C93" i="526"/>
  <c r="F98" i="476"/>
  <c r="C98" i="526"/>
  <c r="F98" i="469"/>
  <c r="F98" i="472"/>
  <c r="C98" i="527"/>
  <c r="F98" i="536"/>
  <c r="G98" i="536" s="1"/>
  <c r="F98" i="471"/>
  <c r="AB98" i="471" s="1"/>
  <c r="C98" i="370"/>
  <c r="F98" i="473"/>
  <c r="AB98" i="473" s="1"/>
  <c r="F98" i="558"/>
  <c r="C98" i="521"/>
  <c r="F98" i="475"/>
  <c r="C98" i="539"/>
  <c r="C98" i="522"/>
  <c r="F98" i="474"/>
  <c r="C96" i="521"/>
  <c r="F96" i="474"/>
  <c r="F96" i="469"/>
  <c r="C96" i="527"/>
  <c r="F96" i="536"/>
  <c r="G96" i="536" s="1"/>
  <c r="F96" i="472"/>
  <c r="B96" i="472" s="1"/>
  <c r="C96" i="539"/>
  <c r="F96" i="558"/>
  <c r="C96" i="522"/>
  <c r="C96" i="370"/>
  <c r="F96" i="473"/>
  <c r="AC96" i="473" s="1"/>
  <c r="F96" i="471"/>
  <c r="AC96" i="471" s="1"/>
  <c r="F96" i="476"/>
  <c r="C96" i="526"/>
  <c r="F96" i="475"/>
  <c r="F92" i="476"/>
  <c r="C92" i="526"/>
  <c r="F92" i="475"/>
  <c r="F92" i="469"/>
  <c r="C92" i="539"/>
  <c r="C92" i="522"/>
  <c r="F92" i="472"/>
  <c r="AB92" i="472" s="1"/>
  <c r="F92" i="471"/>
  <c r="AC92" i="471" s="1"/>
  <c r="C92" i="527"/>
  <c r="C92" i="521"/>
  <c r="F92" i="473"/>
  <c r="F92" i="558"/>
  <c r="F92" i="536"/>
  <c r="G92" i="536" s="1"/>
  <c r="C92" i="370"/>
  <c r="F92" i="474"/>
  <c r="F100" i="476"/>
  <c r="C100" i="522"/>
  <c r="F100" i="475"/>
  <c r="F100" i="469"/>
  <c r="F100" i="471"/>
  <c r="AB100" i="471" s="1"/>
  <c r="C100" i="527"/>
  <c r="C100" i="526"/>
  <c r="C100" i="370"/>
  <c r="F100" i="472"/>
  <c r="AB100" i="472" s="1"/>
  <c r="F100" i="558"/>
  <c r="F100" i="536"/>
  <c r="G100" i="536" s="1"/>
  <c r="F100" i="473"/>
  <c r="C100" i="539"/>
  <c r="C100" i="521"/>
  <c r="F100" i="474"/>
  <c r="F91" i="474"/>
  <c r="F91" i="473"/>
  <c r="BD91" i="473" s="1"/>
  <c r="C91" i="370"/>
  <c r="F91" i="536"/>
  <c r="C91" i="521"/>
  <c r="AE91" i="521" s="1"/>
  <c r="C91" i="522"/>
  <c r="C91" i="526"/>
  <c r="F91" i="476"/>
  <c r="AC91" i="476" s="1"/>
  <c r="C91" i="527"/>
  <c r="C91" i="539"/>
  <c r="F91" i="558"/>
  <c r="AC91" i="558" s="1"/>
  <c r="F91" i="472"/>
  <c r="AC91" i="472" s="1"/>
  <c r="F91" i="471"/>
  <c r="F91" i="469"/>
  <c r="F91" i="475"/>
  <c r="F90" i="476"/>
  <c r="C90" i="522"/>
  <c r="F90" i="473"/>
  <c r="AC90" i="473" s="1"/>
  <c r="C90" i="527"/>
  <c r="C90" i="521"/>
  <c r="E90" i="521" s="1"/>
  <c r="AG90" i="521" s="1"/>
  <c r="F90" i="474"/>
  <c r="F90" i="471"/>
  <c r="F90" i="558"/>
  <c r="F90" i="536"/>
  <c r="G90" i="536" s="1"/>
  <c r="C90" i="370"/>
  <c r="F90" i="472"/>
  <c r="F90" i="469"/>
  <c r="C90" i="539"/>
  <c r="C90" i="526"/>
  <c r="F90" i="475"/>
  <c r="G90" i="475" s="1"/>
  <c r="F86" i="475"/>
  <c r="G86" i="475" s="1"/>
  <c r="F86" i="536"/>
  <c r="F86" i="558"/>
  <c r="AC86" i="558" s="1"/>
  <c r="F89" i="473"/>
  <c r="BB89" i="473" s="1"/>
  <c r="C89" i="526"/>
  <c r="G89" i="526" s="1"/>
  <c r="H89" i="526" s="1"/>
  <c r="C89" i="522"/>
  <c r="BB89" i="522" s="1"/>
  <c r="F89" i="536"/>
  <c r="C89" i="539"/>
  <c r="AE89" i="539" s="1"/>
  <c r="C89" i="527"/>
  <c r="F89" i="469"/>
  <c r="G89" i="469" s="1"/>
  <c r="F89" i="476"/>
  <c r="B89" i="476" s="1"/>
  <c r="F89" i="474"/>
  <c r="F89" i="475"/>
  <c r="C89" i="370"/>
  <c r="F89" i="471"/>
  <c r="B89" i="471" s="1"/>
  <c r="F89" i="472"/>
  <c r="B89" i="472" s="1"/>
  <c r="C89" i="521"/>
  <c r="AD89" i="521" s="1"/>
  <c r="U89" i="558"/>
  <c r="W89" i="558" s="1"/>
  <c r="Y89" i="558" s="1"/>
  <c r="AC89" i="558"/>
  <c r="AB89" i="558"/>
  <c r="B89" i="558"/>
  <c r="F86" i="474"/>
  <c r="F88" i="469"/>
  <c r="G88" i="469" s="1"/>
  <c r="F88" i="558"/>
  <c r="AC88" i="558" s="1"/>
  <c r="F88" i="473"/>
  <c r="BD88" i="473" s="1"/>
  <c r="C88" i="521"/>
  <c r="B88" i="521" s="1"/>
  <c r="F88" i="474"/>
  <c r="F88" i="471"/>
  <c r="G88" i="471" s="1"/>
  <c r="U88" i="471" s="1"/>
  <c r="F88" i="475"/>
  <c r="G88" i="475" s="1"/>
  <c r="F88" i="472"/>
  <c r="U88" i="472" s="1"/>
  <c r="C88" i="370"/>
  <c r="C88" i="526"/>
  <c r="B88" i="526" s="1"/>
  <c r="C88" i="539"/>
  <c r="AE88" i="539" s="1"/>
  <c r="F88" i="536"/>
  <c r="G88" i="536" s="1"/>
  <c r="C88" i="522"/>
  <c r="BC88" i="522" s="1"/>
  <c r="F88" i="476"/>
  <c r="U88" i="476" s="1"/>
  <c r="C88" i="527"/>
  <c r="C87" i="370"/>
  <c r="F87" i="536"/>
  <c r="F87" i="476"/>
  <c r="B87" i="476" s="1"/>
  <c r="F87" i="475"/>
  <c r="C87" i="539"/>
  <c r="AE87" i="539" s="1"/>
  <c r="F87" i="469"/>
  <c r="G87" i="469" s="1"/>
  <c r="C87" i="527"/>
  <c r="F87" i="473"/>
  <c r="BB87" i="473" s="1"/>
  <c r="F87" i="474"/>
  <c r="F87" i="472"/>
  <c r="F87" i="558"/>
  <c r="B87" i="558" s="1"/>
  <c r="C87" i="522"/>
  <c r="BB87" i="522" s="1"/>
  <c r="C87" i="521"/>
  <c r="AE87" i="521" s="1"/>
  <c r="C87" i="526"/>
  <c r="G87" i="526" s="1"/>
  <c r="H87" i="526" s="1"/>
  <c r="F87" i="471"/>
  <c r="B87" i="471" s="1"/>
  <c r="C81" i="526"/>
  <c r="B81" i="526" s="1"/>
  <c r="F81" i="476"/>
  <c r="AB81" i="476" s="1"/>
  <c r="F81" i="558"/>
  <c r="AB81" i="558" s="1"/>
  <c r="F81" i="469"/>
  <c r="G81" i="469" s="1"/>
  <c r="F81" i="472"/>
  <c r="AC81" i="472" s="1"/>
  <c r="F81" i="475"/>
  <c r="G81" i="475" s="1"/>
  <c r="F81" i="536"/>
  <c r="F81" i="473"/>
  <c r="BC81" i="473" s="1"/>
  <c r="F81" i="474"/>
  <c r="C81" i="539"/>
  <c r="B81" i="539" s="1"/>
  <c r="F81" i="471"/>
  <c r="B81" i="471" s="1"/>
  <c r="C81" i="370"/>
  <c r="C81" i="522"/>
  <c r="BC81" i="522" s="1"/>
  <c r="C81" i="527"/>
  <c r="C79" i="539"/>
  <c r="AE79" i="539" s="1"/>
  <c r="F79" i="536"/>
  <c r="F79" i="472"/>
  <c r="G79" i="472" s="1"/>
  <c r="F79" i="558"/>
  <c r="B79" i="558" s="1"/>
  <c r="F79" i="476"/>
  <c r="B79" i="476" s="1"/>
  <c r="C79" i="527"/>
  <c r="C79" i="526"/>
  <c r="G79" i="526" s="1"/>
  <c r="H79" i="526" s="1"/>
  <c r="F79" i="474"/>
  <c r="F79" i="469"/>
  <c r="G79" i="469" s="1"/>
  <c r="C79" i="521"/>
  <c r="G79" i="521" s="1"/>
  <c r="F79" i="475"/>
  <c r="C79" i="522"/>
  <c r="BB79" i="522" s="1"/>
  <c r="F79" i="471"/>
  <c r="AC79" i="471" s="1"/>
  <c r="C79" i="370"/>
  <c r="C86" i="370"/>
  <c r="F86" i="469"/>
  <c r="G86" i="469" s="1"/>
  <c r="F86" i="472"/>
  <c r="B86" i="472" s="1"/>
  <c r="C86" i="526"/>
  <c r="B86" i="526" s="1"/>
  <c r="C86" i="522"/>
  <c r="BB86" i="522" s="1"/>
  <c r="C86" i="539"/>
  <c r="AE86" i="539" s="1"/>
  <c r="F86" i="471"/>
  <c r="B86" i="471" s="1"/>
  <c r="F86" i="473"/>
  <c r="BB86" i="473" s="1"/>
  <c r="C86" i="521"/>
  <c r="AD86" i="521" s="1"/>
  <c r="C86" i="527"/>
  <c r="U86" i="476"/>
  <c r="W86" i="476" s="1"/>
  <c r="Y86" i="476" s="1"/>
  <c r="AB86" i="476"/>
  <c r="B86" i="476"/>
  <c r="AC86" i="476"/>
  <c r="AD85" i="521"/>
  <c r="B85" i="521"/>
  <c r="AE85" i="521"/>
  <c r="C84" i="521"/>
  <c r="AE84" i="521" s="1"/>
  <c r="C84" i="522"/>
  <c r="BB84" i="522" s="1"/>
  <c r="F84" i="469"/>
  <c r="G84" i="469" s="1"/>
  <c r="C84" i="539"/>
  <c r="AF84" i="539" s="1"/>
  <c r="F84" i="558"/>
  <c r="AB84" i="558" s="1"/>
  <c r="F84" i="476"/>
  <c r="U84" i="476" s="1"/>
  <c r="F84" i="474"/>
  <c r="F84" i="471"/>
  <c r="AC84" i="471" s="1"/>
  <c r="F84" i="473"/>
  <c r="BB84" i="473" s="1"/>
  <c r="C84" i="370"/>
  <c r="F84" i="536"/>
  <c r="F84" i="472"/>
  <c r="AC84" i="472" s="1"/>
  <c r="F84" i="475"/>
  <c r="G84" i="475" s="1"/>
  <c r="C84" i="526"/>
  <c r="G84" i="526" s="1"/>
  <c r="H84" i="526" s="1"/>
  <c r="I84" i="527"/>
  <c r="B84" i="527"/>
  <c r="C84" i="528"/>
  <c r="E84" i="527"/>
  <c r="F83" i="474"/>
  <c r="F83" i="473"/>
  <c r="BA83" i="473" s="1"/>
  <c r="F83" i="475"/>
  <c r="AC83" i="475" s="1"/>
  <c r="C83" i="521"/>
  <c r="C83" i="370"/>
  <c r="F83" i="471"/>
  <c r="B83" i="471" s="1"/>
  <c r="C83" i="522"/>
  <c r="BB83" i="522" s="1"/>
  <c r="C83" i="527"/>
  <c r="C83" i="539"/>
  <c r="AE83" i="539" s="1"/>
  <c r="F83" i="536"/>
  <c r="C83" i="526"/>
  <c r="G83" i="526" s="1"/>
  <c r="H83" i="526" s="1"/>
  <c r="F83" i="469"/>
  <c r="F83" i="558"/>
  <c r="W83" i="558" s="1"/>
  <c r="Y83" i="558" s="1"/>
  <c r="F83" i="476"/>
  <c r="W83" i="476" s="1"/>
  <c r="Y83" i="476" s="1"/>
  <c r="F82" i="469"/>
  <c r="G82" i="469" s="1"/>
  <c r="F82" i="471"/>
  <c r="AB82" i="471" s="1"/>
  <c r="C82" i="370"/>
  <c r="C82" i="521"/>
  <c r="AD82" i="521" s="1"/>
  <c r="F82" i="473"/>
  <c r="BA82" i="473" s="1"/>
  <c r="F82" i="472"/>
  <c r="AC82" i="472" s="1"/>
  <c r="C82" i="539"/>
  <c r="F82" i="558"/>
  <c r="U82" i="558" s="1"/>
  <c r="W82" i="558" s="1"/>
  <c r="Y82" i="558" s="1"/>
  <c r="F82" i="536"/>
  <c r="C82" i="522"/>
  <c r="B82" i="522" s="1"/>
  <c r="F82" i="475"/>
  <c r="C82" i="526"/>
  <c r="B82" i="526" s="1"/>
  <c r="C82" i="527"/>
  <c r="F82" i="476"/>
  <c r="AB82" i="476" s="1"/>
  <c r="BC82" i="474"/>
  <c r="BD82" i="474"/>
  <c r="BE82" i="474"/>
  <c r="BF82" i="474"/>
  <c r="AD81" i="521"/>
  <c r="B81" i="521"/>
  <c r="AE81" i="521"/>
  <c r="F80" i="469"/>
  <c r="S80" i="469" s="1"/>
  <c r="F80" i="558"/>
  <c r="AC80" i="558" s="1"/>
  <c r="C80" i="526"/>
  <c r="G80" i="526" s="1"/>
  <c r="F80" i="474"/>
  <c r="F80" i="471"/>
  <c r="G80" i="471" s="1"/>
  <c r="C80" i="527"/>
  <c r="F80" i="473"/>
  <c r="BD80" i="473" s="1"/>
  <c r="F80" i="472"/>
  <c r="G80" i="472" s="1"/>
  <c r="F80" i="475"/>
  <c r="G80" i="475" s="1"/>
  <c r="F80" i="476"/>
  <c r="B80" i="476" s="1"/>
  <c r="C80" i="521"/>
  <c r="B80" i="521" s="1"/>
  <c r="F80" i="536"/>
  <c r="C80" i="370"/>
  <c r="AE80" i="370" s="1"/>
  <c r="D80" i="521" s="1"/>
  <c r="AF80" i="521" s="1"/>
  <c r="C80" i="522"/>
  <c r="T80" i="522" s="1"/>
  <c r="W80" i="522" s="1"/>
  <c r="K80" i="539"/>
  <c r="Z80" i="539"/>
  <c r="AE80" i="539"/>
  <c r="AF80" i="539"/>
  <c r="J80" i="539"/>
  <c r="G80" i="539"/>
  <c r="B80" i="539"/>
  <c r="I80" i="539"/>
  <c r="Y80" i="539"/>
  <c r="L80" i="539"/>
  <c r="BA79" i="473"/>
  <c r="BB79" i="473"/>
  <c r="BD79" i="473"/>
  <c r="BC79" i="473"/>
  <c r="F78" i="473"/>
  <c r="BA78" i="473" s="1"/>
  <c r="F78" i="476"/>
  <c r="U78" i="476" s="1"/>
  <c r="F78" i="472"/>
  <c r="AC78" i="472" s="1"/>
  <c r="C78" i="521"/>
  <c r="B78" i="521" s="1"/>
  <c r="C78" i="539"/>
  <c r="AF78" i="539" s="1"/>
  <c r="C78" i="370"/>
  <c r="F78" i="475"/>
  <c r="F78" i="558"/>
  <c r="U78" i="558" s="1"/>
  <c r="C78" i="522"/>
  <c r="BB78" i="522" s="1"/>
  <c r="F78" i="469"/>
  <c r="G78" i="469" s="1"/>
  <c r="C78" i="526"/>
  <c r="B78" i="526" s="1"/>
  <c r="C78" i="527"/>
  <c r="F78" i="471"/>
  <c r="AC78" i="471" s="1"/>
  <c r="F78" i="536"/>
  <c r="F78" i="474"/>
  <c r="BB77" i="473"/>
  <c r="BA77" i="473"/>
  <c r="BD77" i="473"/>
  <c r="BC77" i="473"/>
  <c r="AE77" i="521"/>
  <c r="AD77" i="521"/>
  <c r="G77" i="521"/>
  <c r="B77" i="521"/>
  <c r="C77" i="528"/>
  <c r="E77" i="527"/>
  <c r="I77" i="527"/>
  <c r="B77" i="527"/>
  <c r="G77" i="469"/>
  <c r="G77" i="472" s="1"/>
  <c r="BC77" i="522"/>
  <c r="BB77" i="522"/>
  <c r="B77" i="522"/>
  <c r="AC77" i="476"/>
  <c r="U77" i="476"/>
  <c r="W77" i="476" s="1"/>
  <c r="Y77" i="476" s="1"/>
  <c r="B77" i="476"/>
  <c r="AB77" i="476"/>
  <c r="B77" i="536"/>
  <c r="BA77" i="536"/>
  <c r="AC77" i="536"/>
  <c r="AB77" i="536"/>
  <c r="H77" i="536"/>
  <c r="BB77" i="536"/>
  <c r="Y77" i="536"/>
  <c r="U77" i="536"/>
  <c r="W77" i="536" s="1"/>
  <c r="BA77" i="475"/>
  <c r="BB77" i="475"/>
  <c r="BC77" i="474"/>
  <c r="BD77" i="474"/>
  <c r="BE77" i="474"/>
  <c r="BF77" i="474"/>
  <c r="B77" i="539"/>
  <c r="AE77" i="539"/>
  <c r="AF77" i="539"/>
  <c r="B77" i="558"/>
  <c r="AB77" i="558"/>
  <c r="U77" i="558"/>
  <c r="W77" i="558" s="1"/>
  <c r="Y77" i="558" s="1"/>
  <c r="AC77" i="558"/>
  <c r="B77" i="526"/>
  <c r="H77" i="526"/>
  <c r="G77" i="526"/>
  <c r="F76" i="558"/>
  <c r="U76" i="558" s="1"/>
  <c r="C76" i="370"/>
  <c r="F76" i="536"/>
  <c r="G76" i="536" s="1"/>
  <c r="F76" i="469"/>
  <c r="G76" i="469" s="1"/>
  <c r="G76" i="472" s="1"/>
  <c r="F76" i="473"/>
  <c r="BA76" i="473" s="1"/>
  <c r="C76" i="522"/>
  <c r="BB76" i="522" s="1"/>
  <c r="C76" i="539"/>
  <c r="AF76" i="539" s="1"/>
  <c r="C76" i="526"/>
  <c r="G76" i="526" s="1"/>
  <c r="F76" i="474"/>
  <c r="F76" i="471"/>
  <c r="AC76" i="471" s="1"/>
  <c r="C76" i="527"/>
  <c r="F76" i="475"/>
  <c r="C76" i="521"/>
  <c r="B76" i="521" s="1"/>
  <c r="F76" i="476"/>
  <c r="AB76" i="476" s="1"/>
  <c r="AE75" i="539"/>
  <c r="B75" i="539"/>
  <c r="AF75" i="539"/>
  <c r="C73" i="522"/>
  <c r="BB73" i="522" s="1"/>
  <c r="C73" i="527"/>
  <c r="C73" i="521"/>
  <c r="B73" i="521" s="1"/>
  <c r="F73" i="473"/>
  <c r="BD73" i="473" s="1"/>
  <c r="F73" i="471"/>
  <c r="F73" i="472"/>
  <c r="B73" i="472" s="1"/>
  <c r="C73" i="539"/>
  <c r="AE73" i="539" s="1"/>
  <c r="F73" i="536"/>
  <c r="G73" i="536" s="1"/>
  <c r="F73" i="558"/>
  <c r="B73" i="558" s="1"/>
  <c r="C73" i="370"/>
  <c r="F73" i="469"/>
  <c r="G73" i="469" s="1"/>
  <c r="F73" i="476"/>
  <c r="B73" i="476" s="1"/>
  <c r="C73" i="526"/>
  <c r="G73" i="526" s="1"/>
  <c r="H73" i="526" s="1"/>
  <c r="F73" i="475"/>
  <c r="AC73" i="475" s="1"/>
  <c r="F73" i="474"/>
  <c r="F72" i="474"/>
  <c r="F72" i="475"/>
  <c r="B72" i="475" s="1"/>
  <c r="F72" i="473"/>
  <c r="BD72" i="473" s="1"/>
  <c r="C72" i="521"/>
  <c r="B72" i="521" s="1"/>
  <c r="F72" i="472"/>
  <c r="AC72" i="472" s="1"/>
  <c r="C72" i="522"/>
  <c r="B72" i="522" s="1"/>
  <c r="C72" i="526"/>
  <c r="B72" i="526" s="1"/>
  <c r="C72" i="539"/>
  <c r="AF72" i="539" s="1"/>
  <c r="F72" i="536"/>
  <c r="F72" i="469"/>
  <c r="G72" i="469" s="1"/>
  <c r="F72" i="558"/>
  <c r="F72" i="476"/>
  <c r="AB72" i="476" s="1"/>
  <c r="C72" i="370"/>
  <c r="F72" i="471"/>
  <c r="B72" i="471" s="1"/>
  <c r="I72" i="527"/>
  <c r="E72" i="527"/>
  <c r="C72" i="528"/>
  <c r="B72" i="527"/>
  <c r="BA71" i="475"/>
  <c r="BB71" i="475"/>
  <c r="BA71" i="473"/>
  <c r="BB71" i="473"/>
  <c r="BD71" i="473"/>
  <c r="BC71" i="473"/>
  <c r="BC71" i="522"/>
  <c r="B71" i="522"/>
  <c r="BB71" i="522"/>
  <c r="B71" i="526"/>
  <c r="G71" i="526"/>
  <c r="H71" i="526" s="1"/>
  <c r="AE71" i="521"/>
  <c r="B71" i="521"/>
  <c r="G71" i="521"/>
  <c r="F71" i="522" s="1"/>
  <c r="AD71" i="521"/>
  <c r="H71" i="536"/>
  <c r="B71" i="536"/>
  <c r="Y71" i="536"/>
  <c r="AB71" i="536"/>
  <c r="BA71" i="536"/>
  <c r="AC71" i="536"/>
  <c r="BB71" i="536"/>
  <c r="AB71" i="476"/>
  <c r="B71" i="476"/>
  <c r="AC71" i="476"/>
  <c r="U71" i="476"/>
  <c r="W71" i="476" s="1"/>
  <c r="Y71" i="476" s="1"/>
  <c r="U71" i="558"/>
  <c r="W71" i="558" s="1"/>
  <c r="Y71" i="558" s="1"/>
  <c r="AC71" i="558"/>
  <c r="B71" i="558"/>
  <c r="AB71" i="558"/>
  <c r="B71" i="539"/>
  <c r="AE71" i="539"/>
  <c r="AF71" i="539"/>
  <c r="G71" i="469"/>
  <c r="G71" i="472" s="1"/>
  <c r="BE71" i="474"/>
  <c r="BF71" i="474"/>
  <c r="BC71" i="474"/>
  <c r="BD71" i="474"/>
  <c r="C71" i="528"/>
  <c r="E71" i="527"/>
  <c r="B71" i="527"/>
  <c r="I71" i="527"/>
  <c r="F70" i="473"/>
  <c r="BD70" i="473" s="1"/>
  <c r="F70" i="475"/>
  <c r="C70" i="521"/>
  <c r="C70" i="526"/>
  <c r="F70" i="471"/>
  <c r="B70" i="471" s="1"/>
  <c r="F70" i="474"/>
  <c r="F70" i="536"/>
  <c r="G70" i="536" s="1"/>
  <c r="F70" i="558"/>
  <c r="B70" i="558" s="1"/>
  <c r="C70" i="539"/>
  <c r="AF70" i="539" s="1"/>
  <c r="F70" i="472"/>
  <c r="AC70" i="472" s="1"/>
  <c r="F70" i="469"/>
  <c r="G70" i="469" s="1"/>
  <c r="C70" i="370"/>
  <c r="C70" i="522"/>
  <c r="B70" i="522" s="1"/>
  <c r="F70" i="476"/>
  <c r="AC70" i="476" s="1"/>
  <c r="C70" i="527"/>
  <c r="C69" i="527"/>
  <c r="C69" i="526"/>
  <c r="G69" i="526" s="1"/>
  <c r="H69" i="526" s="1"/>
  <c r="F69" i="472"/>
  <c r="AB69" i="472" s="1"/>
  <c r="F69" i="536"/>
  <c r="C69" i="522"/>
  <c r="B69" i="522" s="1"/>
  <c r="F69" i="474"/>
  <c r="F69" i="469"/>
  <c r="G69" i="469" s="1"/>
  <c r="C69" i="539"/>
  <c r="F69" i="475"/>
  <c r="G69" i="475" s="1"/>
  <c r="F69" i="473"/>
  <c r="BB69" i="473" s="1"/>
  <c r="C69" i="521"/>
  <c r="F69" i="558"/>
  <c r="B69" i="558" s="1"/>
  <c r="F69" i="476"/>
  <c r="U69" i="476" s="1"/>
  <c r="W69" i="476" s="1"/>
  <c r="Y69" i="476" s="1"/>
  <c r="C69" i="370"/>
  <c r="F69" i="471"/>
  <c r="AC69" i="471" s="1"/>
  <c r="F68" i="536"/>
  <c r="C68" i="522"/>
  <c r="BB68" i="522" s="1"/>
  <c r="C68" i="527"/>
  <c r="C68" i="539"/>
  <c r="AF68" i="539" s="1"/>
  <c r="F68" i="476"/>
  <c r="AC68" i="476" s="1"/>
  <c r="F68" i="473"/>
  <c r="U68" i="473" s="1"/>
  <c r="F68" i="558"/>
  <c r="AB68" i="558" s="1"/>
  <c r="F68" i="472"/>
  <c r="B68" i="472" s="1"/>
  <c r="F68" i="475"/>
  <c r="C68" i="526"/>
  <c r="B68" i="526" s="1"/>
  <c r="C68" i="521"/>
  <c r="B68" i="521" s="1"/>
  <c r="F68" i="471"/>
  <c r="G68" i="471" s="1"/>
  <c r="U68" i="471" s="1"/>
  <c r="F68" i="469"/>
  <c r="G68" i="469" s="1"/>
  <c r="F68" i="474"/>
  <c r="F67" i="475"/>
  <c r="F67" i="474"/>
  <c r="F67" i="473"/>
  <c r="BB67" i="473" s="1"/>
  <c r="C67" i="521"/>
  <c r="AE67" i="521" s="1"/>
  <c r="F67" i="469"/>
  <c r="G67" i="469" s="1"/>
  <c r="C67" i="539"/>
  <c r="C67" i="370"/>
  <c r="F67" i="472"/>
  <c r="AC67" i="472" s="1"/>
  <c r="C67" i="526"/>
  <c r="B67" i="526" s="1"/>
  <c r="F67" i="558"/>
  <c r="U67" i="558" s="1"/>
  <c r="F67" i="476"/>
  <c r="U67" i="476" s="1"/>
  <c r="F67" i="471"/>
  <c r="AC67" i="471" s="1"/>
  <c r="C67" i="522"/>
  <c r="B67" i="522" s="1"/>
  <c r="F67" i="536"/>
  <c r="C67" i="527"/>
  <c r="F40" i="476"/>
  <c r="C40" i="370"/>
  <c r="F40" i="536"/>
  <c r="C40" i="522"/>
  <c r="B40" i="522" s="1"/>
  <c r="F40" i="471"/>
  <c r="AB40" i="471" s="1"/>
  <c r="AD40" i="521"/>
  <c r="F40" i="469"/>
  <c r="G40" i="469" s="1"/>
  <c r="F40" i="475"/>
  <c r="C40" i="539"/>
  <c r="AE40" i="539" s="1"/>
  <c r="C40" i="527"/>
  <c r="B40" i="521"/>
  <c r="F40" i="558"/>
  <c r="AB40" i="558" s="1"/>
  <c r="F40" i="474"/>
  <c r="F40" i="472"/>
  <c r="AC40" i="472" s="1"/>
  <c r="F40" i="473"/>
  <c r="BC40" i="473" s="1"/>
  <c r="C40" i="526"/>
  <c r="C39" i="527"/>
  <c r="F38" i="471"/>
  <c r="AC38" i="471" s="1"/>
  <c r="C38" i="521"/>
  <c r="AD38" i="521" s="1"/>
  <c r="F38" i="474"/>
  <c r="C38" i="370"/>
  <c r="F38" i="536"/>
  <c r="F38" i="472"/>
  <c r="B38" i="472" s="1"/>
  <c r="F38" i="475"/>
  <c r="C38" i="526"/>
  <c r="C38" i="539"/>
  <c r="AF38" i="539" s="1"/>
  <c r="F38" i="473"/>
  <c r="BD38" i="473" s="1"/>
  <c r="C38" i="522"/>
  <c r="BB38" i="522" s="1"/>
  <c r="C38" i="527"/>
  <c r="F38" i="558"/>
  <c r="B38" i="558" s="1"/>
  <c r="F38" i="476"/>
  <c r="U38" i="476" s="1"/>
  <c r="W38" i="476" s="1"/>
  <c r="Y38" i="476" s="1"/>
  <c r="F50" i="472"/>
  <c r="B50" i="472" s="1"/>
  <c r="F50" i="469"/>
  <c r="G50" i="469" s="1"/>
  <c r="C50" i="370"/>
  <c r="C50" i="521"/>
  <c r="AE50" i="521" s="1"/>
  <c r="C50" i="526"/>
  <c r="B50" i="526" s="1"/>
  <c r="C50" i="527"/>
  <c r="F50" i="536"/>
  <c r="F50" i="471"/>
  <c r="F50" i="475"/>
  <c r="G50" i="475" s="1"/>
  <c r="F50" i="474"/>
  <c r="C50" i="522"/>
  <c r="C50" i="539"/>
  <c r="AF50" i="539" s="1"/>
  <c r="F50" i="476"/>
  <c r="AC50" i="476" s="1"/>
  <c r="F50" i="473"/>
  <c r="BB50" i="473" s="1"/>
  <c r="AB50" i="558"/>
  <c r="U50" i="558"/>
  <c r="W50" i="558" s="1"/>
  <c r="Y50" i="558" s="1"/>
  <c r="B50" i="558"/>
  <c r="AC50" i="558"/>
  <c r="F39" i="476"/>
  <c r="U39" i="476" s="1"/>
  <c r="F39" i="475"/>
  <c r="F39" i="472"/>
  <c r="AC39" i="472" s="1"/>
  <c r="F39" i="473"/>
  <c r="U39" i="473" s="1"/>
  <c r="C39" i="370"/>
  <c r="C39" i="521"/>
  <c r="AD39" i="521" s="1"/>
  <c r="F39" i="471"/>
  <c r="AC39" i="471" s="1"/>
  <c r="F42" i="473"/>
  <c r="BD42" i="473" s="1"/>
  <c r="F35" i="476"/>
  <c r="U35" i="476" s="1"/>
  <c r="W35" i="476" s="1"/>
  <c r="Y35" i="476" s="1"/>
  <c r="BC35" i="474"/>
  <c r="BD35" i="474"/>
  <c r="BF35" i="474"/>
  <c r="BE35" i="474"/>
  <c r="C35" i="521"/>
  <c r="AE35" i="521" s="1"/>
  <c r="BF66" i="474"/>
  <c r="BC66" i="474"/>
  <c r="BD66" i="474"/>
  <c r="BE66" i="474"/>
  <c r="C47" i="539"/>
  <c r="F56" i="536"/>
  <c r="F56" i="473"/>
  <c r="C56" i="539"/>
  <c r="AE56" i="539" s="1"/>
  <c r="F56" i="474"/>
  <c r="F57" i="474"/>
  <c r="C57" i="521"/>
  <c r="B57" i="521" s="1"/>
  <c r="F57" i="473"/>
  <c r="BD57" i="473" s="1"/>
  <c r="F57" i="472"/>
  <c r="AC57" i="472" s="1"/>
  <c r="C57" i="370"/>
  <c r="C57" i="539"/>
  <c r="F57" i="471"/>
  <c r="AC57" i="471" s="1"/>
  <c r="F61" i="471"/>
  <c r="AC61" i="471" s="1"/>
  <c r="C61" i="370"/>
  <c r="C61" i="526"/>
  <c r="G61" i="526" s="1"/>
  <c r="F61" i="473"/>
  <c r="U61" i="473" s="1"/>
  <c r="F61" i="469"/>
  <c r="S61" i="469" s="1"/>
  <c r="F61" i="475"/>
  <c r="U61" i="475" s="1"/>
  <c r="F61" i="474"/>
  <c r="F61" i="472"/>
  <c r="G61" i="472" s="1"/>
  <c r="F52" i="476"/>
  <c r="AC52" i="476" s="1"/>
  <c r="F52" i="471"/>
  <c r="B52" i="471" s="1"/>
  <c r="C52" i="527"/>
  <c r="F52" i="558"/>
  <c r="B52" i="558" s="1"/>
  <c r="F52" i="474"/>
  <c r="F52" i="469"/>
  <c r="G52" i="469" s="1"/>
  <c r="C52" i="522"/>
  <c r="B52" i="522" s="1"/>
  <c r="F52" i="472"/>
  <c r="AB52" i="472" s="1"/>
  <c r="F52" i="473"/>
  <c r="C52" i="521"/>
  <c r="AD52" i="521" s="1"/>
  <c r="F52" i="536"/>
  <c r="C52" i="370"/>
  <c r="F52" i="475"/>
  <c r="C52" i="526"/>
  <c r="B52" i="526" s="1"/>
  <c r="C51" i="526"/>
  <c r="F51" i="475"/>
  <c r="C51" i="522"/>
  <c r="F51" i="472"/>
  <c r="AC51" i="472" s="1"/>
  <c r="F49" i="474"/>
  <c r="C49" i="370"/>
  <c r="C49" i="521"/>
  <c r="F49" i="536"/>
  <c r="C49" i="539"/>
  <c r="AE49" i="539" s="1"/>
  <c r="C49" i="526"/>
  <c r="G49" i="526" s="1"/>
  <c r="H49" i="526" s="1"/>
  <c r="F48" i="475"/>
  <c r="B48" i="475" s="1"/>
  <c r="F48" i="472"/>
  <c r="G48" i="472" s="1"/>
  <c r="F43" i="558"/>
  <c r="AC43" i="558" s="1"/>
  <c r="F43" i="473"/>
  <c r="BA43" i="473" s="1"/>
  <c r="F43" i="471"/>
  <c r="F43" i="474"/>
  <c r="F43" i="469"/>
  <c r="Z43" i="469" s="1"/>
  <c r="D43" i="370" s="1"/>
  <c r="AH43" i="370" s="1"/>
  <c r="C43" i="522"/>
  <c r="AW43" i="522" s="1"/>
  <c r="F43" i="536"/>
  <c r="C43" i="370"/>
  <c r="AF43" i="370" s="1"/>
  <c r="F43" i="472"/>
  <c r="G43" i="472" s="1"/>
  <c r="F43" i="476"/>
  <c r="AC43" i="476" s="1"/>
  <c r="C43" i="526"/>
  <c r="C43" i="521"/>
  <c r="AI43" i="521" s="1"/>
  <c r="F43" i="475"/>
  <c r="BB43" i="475" s="1"/>
  <c r="C43" i="527"/>
  <c r="C55" i="526"/>
  <c r="B55" i="526" s="1"/>
  <c r="F53" i="558"/>
  <c r="B53" i="558" s="1"/>
  <c r="F53" i="473"/>
  <c r="AC53" i="473" s="1"/>
  <c r="C53" i="521"/>
  <c r="AE53" i="521" s="1"/>
  <c r="C53" i="526"/>
  <c r="G53" i="526" s="1"/>
  <c r="C53" i="522"/>
  <c r="BC53" i="522" s="1"/>
  <c r="C53" i="370"/>
  <c r="C53" i="539"/>
  <c r="AE53" i="539" s="1"/>
  <c r="C53" i="527"/>
  <c r="F53" i="536"/>
  <c r="F53" i="476"/>
  <c r="U53" i="476" s="1"/>
  <c r="F53" i="475"/>
  <c r="F64" i="473"/>
  <c r="AB64" i="473" s="1"/>
  <c r="F64" i="475"/>
  <c r="F64" i="469"/>
  <c r="G64" i="469" s="1"/>
  <c r="G64" i="472" s="1"/>
  <c r="C64" i="527"/>
  <c r="F54" i="475"/>
  <c r="F54" i="473"/>
  <c r="BA54" i="473" s="1"/>
  <c r="C54" i="370"/>
  <c r="F54" i="474"/>
  <c r="C54" i="522"/>
  <c r="BC54" i="522" s="1"/>
  <c r="F54" i="472"/>
  <c r="AC54" i="472" s="1"/>
  <c r="F54" i="469"/>
  <c r="G54" i="469" s="1"/>
  <c r="F54" i="476"/>
  <c r="AB54" i="476" s="1"/>
  <c r="F55" i="536"/>
  <c r="C34" i="527"/>
  <c r="C34" i="521"/>
  <c r="B34" i="521" s="1"/>
  <c r="F34" i="469"/>
  <c r="C34" i="539"/>
  <c r="F34" i="474"/>
  <c r="F34" i="475"/>
  <c r="F34" i="476"/>
  <c r="AC34" i="476" s="1"/>
  <c r="F34" i="536"/>
  <c r="F34" i="558"/>
  <c r="U34" i="558" s="1"/>
  <c r="F34" i="472"/>
  <c r="AC34" i="472" s="1"/>
  <c r="F34" i="473"/>
  <c r="BD34" i="473" s="1"/>
  <c r="C34" i="522"/>
  <c r="B34" i="522" s="1"/>
  <c r="F34" i="471"/>
  <c r="B34" i="471" s="1"/>
  <c r="C34" i="526"/>
  <c r="C64" i="370"/>
  <c r="F64" i="536"/>
  <c r="G64" i="536" s="1"/>
  <c r="F64" i="558"/>
  <c r="AB64" i="558" s="1"/>
  <c r="C64" i="526"/>
  <c r="G64" i="526" s="1"/>
  <c r="H64" i="526" s="1"/>
  <c r="C64" i="521"/>
  <c r="B64" i="521" s="1"/>
  <c r="F64" i="476"/>
  <c r="C64" i="539"/>
  <c r="AF64" i="539" s="1"/>
  <c r="F64" i="471"/>
  <c r="B64" i="471" s="1"/>
  <c r="F64" i="474"/>
  <c r="C64" i="522"/>
  <c r="B64" i="522" s="1"/>
  <c r="U36" i="476"/>
  <c r="W36" i="476" s="1"/>
  <c r="Y36" i="476" s="1"/>
  <c r="B36" i="476"/>
  <c r="C36" i="527"/>
  <c r="F36" i="469"/>
  <c r="G36" i="469" s="1"/>
  <c r="C36" i="522"/>
  <c r="AB36" i="476"/>
  <c r="F36" i="471"/>
  <c r="AC36" i="471" s="1"/>
  <c r="F36" i="475"/>
  <c r="F36" i="472"/>
  <c r="AB36" i="472" s="1"/>
  <c r="C36" i="370"/>
  <c r="C36" i="526"/>
  <c r="F36" i="473"/>
  <c r="BB36" i="473" s="1"/>
  <c r="C36" i="539"/>
  <c r="B36" i="539" s="1"/>
  <c r="F36" i="536"/>
  <c r="C36" i="521"/>
  <c r="F36" i="558"/>
  <c r="F36" i="474"/>
  <c r="C54" i="521"/>
  <c r="AD54" i="521" s="1"/>
  <c r="C54" i="526"/>
  <c r="G54" i="526" s="1"/>
  <c r="H54" i="526" s="1"/>
  <c r="C54" i="527"/>
  <c r="F54" i="536"/>
  <c r="F54" i="558"/>
  <c r="AC54" i="558" s="1"/>
  <c r="C54" i="539"/>
  <c r="AE54" i="539" s="1"/>
  <c r="C65" i="521"/>
  <c r="F65" i="558"/>
  <c r="F65" i="474"/>
  <c r="F65" i="471"/>
  <c r="B65" i="471" s="1"/>
  <c r="C65" i="527"/>
  <c r="F65" i="472"/>
  <c r="AC65" i="472" s="1"/>
  <c r="C65" i="539"/>
  <c r="B65" i="539" s="1"/>
  <c r="C65" i="370"/>
  <c r="F65" i="473"/>
  <c r="AC65" i="473" s="1"/>
  <c r="F65" i="475"/>
  <c r="C65" i="526"/>
  <c r="G65" i="526" s="1"/>
  <c r="C65" i="522"/>
  <c r="F65" i="469"/>
  <c r="G65" i="469" s="1"/>
  <c r="F65" i="536"/>
  <c r="F59" i="474"/>
  <c r="H59" i="474" s="1"/>
  <c r="F59" i="475"/>
  <c r="AC59" i="475" s="1"/>
  <c r="F47" i="471"/>
  <c r="AC47" i="471" s="1"/>
  <c r="C48" i="522"/>
  <c r="AJ48" i="522" s="1"/>
  <c r="AM48" i="522" s="1"/>
  <c r="F49" i="476"/>
  <c r="B49" i="476" s="1"/>
  <c r="C49" i="522"/>
  <c r="BB49" i="522" s="1"/>
  <c r="F53" i="472"/>
  <c r="AC53" i="472" s="1"/>
  <c r="F53" i="474"/>
  <c r="H53" i="474" s="1"/>
  <c r="F53" i="471"/>
  <c r="AC53" i="471" s="1"/>
  <c r="F63" i="558"/>
  <c r="C58" i="539"/>
  <c r="B58" i="539" s="1"/>
  <c r="F59" i="473"/>
  <c r="BD59" i="473" s="1"/>
  <c r="C59" i="370"/>
  <c r="C55" i="539"/>
  <c r="F63" i="475"/>
  <c r="F55" i="558"/>
  <c r="Z55" i="558" s="1"/>
  <c r="K55" i="370" s="1"/>
  <c r="AO55" i="370" s="1"/>
  <c r="C63" i="539"/>
  <c r="B63" i="539" s="1"/>
  <c r="F59" i="471"/>
  <c r="B59" i="471" s="1"/>
  <c r="F59" i="469"/>
  <c r="G59" i="469" s="1"/>
  <c r="F55" i="469"/>
  <c r="G55" i="469" s="1"/>
  <c r="C55" i="527"/>
  <c r="F55" i="476"/>
  <c r="AB55" i="476" s="1"/>
  <c r="F44" i="475"/>
  <c r="F62" i="473"/>
  <c r="C59" i="521"/>
  <c r="F59" i="472"/>
  <c r="AC59" i="472" s="1"/>
  <c r="F55" i="475"/>
  <c r="B55" i="475" s="1"/>
  <c r="F55" i="472"/>
  <c r="G55" i="472" s="1"/>
  <c r="F55" i="474"/>
  <c r="H55" i="474" s="1"/>
  <c r="F55" i="471"/>
  <c r="AC55" i="471" s="1"/>
  <c r="C55" i="521"/>
  <c r="H55" i="521" s="1"/>
  <c r="C55" i="522"/>
  <c r="I55" i="522" s="1"/>
  <c r="F55" i="473"/>
  <c r="BB55" i="473" s="1"/>
  <c r="C51" i="539"/>
  <c r="C51" i="527"/>
  <c r="C56" i="521"/>
  <c r="AD56" i="521" s="1"/>
  <c r="C56" i="370"/>
  <c r="C42" i="370"/>
  <c r="F66" i="472"/>
  <c r="F58" i="469"/>
  <c r="G58" i="469" s="1"/>
  <c r="F42" i="475"/>
  <c r="F51" i="474"/>
  <c r="F51" i="469"/>
  <c r="G51" i="469" s="1"/>
  <c r="C51" i="521"/>
  <c r="C56" i="527"/>
  <c r="F56" i="469"/>
  <c r="G56" i="469" s="1"/>
  <c r="F56" i="471"/>
  <c r="AC56" i="471" s="1"/>
  <c r="C56" i="522"/>
  <c r="BB56" i="522" s="1"/>
  <c r="F57" i="475"/>
  <c r="C57" i="526"/>
  <c r="B57" i="526" s="1"/>
  <c r="F57" i="469"/>
  <c r="F57" i="536"/>
  <c r="C61" i="521"/>
  <c r="AD61" i="521" s="1"/>
  <c r="C61" i="522"/>
  <c r="H61" i="522" s="1"/>
  <c r="K61" i="522" s="1"/>
  <c r="C61" i="539"/>
  <c r="F61" i="536"/>
  <c r="C66" i="522"/>
  <c r="B66" i="522" s="1"/>
  <c r="B65" i="476"/>
  <c r="U65" i="476"/>
  <c r="W65" i="476" s="1"/>
  <c r="Y65" i="476" s="1"/>
  <c r="AB65" i="476"/>
  <c r="AC65" i="476"/>
  <c r="F66" i="558"/>
  <c r="F51" i="476"/>
  <c r="AB51" i="476" s="1"/>
  <c r="C51" i="370"/>
  <c r="F56" i="558"/>
  <c r="F56" i="476"/>
  <c r="AB56" i="476" s="1"/>
  <c r="C41" i="370"/>
  <c r="C42" i="522"/>
  <c r="BC42" i="522" s="1"/>
  <c r="F47" i="558"/>
  <c r="AC47" i="558" s="1"/>
  <c r="F48" i="474"/>
  <c r="H48" i="474" s="1"/>
  <c r="F51" i="473"/>
  <c r="BB51" i="473" s="1"/>
  <c r="F51" i="471"/>
  <c r="AC51" i="471" s="1"/>
  <c r="F51" i="536"/>
  <c r="G51" i="536" s="1"/>
  <c r="C56" i="526"/>
  <c r="F56" i="475"/>
  <c r="F56" i="472"/>
  <c r="C57" i="522"/>
  <c r="F57" i="558"/>
  <c r="C57" i="527"/>
  <c r="F61" i="476"/>
  <c r="C61" i="527"/>
  <c r="C58" i="526"/>
  <c r="B58" i="526" s="1"/>
  <c r="AF55" i="370"/>
  <c r="AE55" i="370"/>
  <c r="D55" i="521" s="1"/>
  <c r="AF55" i="521" s="1"/>
  <c r="AD55" i="370"/>
  <c r="C59" i="526"/>
  <c r="B59" i="526" s="1"/>
  <c r="C59" i="539"/>
  <c r="C59" i="522"/>
  <c r="BB59" i="522" s="1"/>
  <c r="F59" i="536"/>
  <c r="G59" i="536" s="1"/>
  <c r="F59" i="558"/>
  <c r="AC59" i="558" s="1"/>
  <c r="C59" i="527"/>
  <c r="AC59" i="476"/>
  <c r="AB59" i="476"/>
  <c r="U59" i="476"/>
  <c r="W59" i="476" s="1"/>
  <c r="Y59" i="476" s="1"/>
  <c r="B59" i="476"/>
  <c r="C60" i="522"/>
  <c r="BB60" i="522" s="1"/>
  <c r="F60" i="536"/>
  <c r="C60" i="527"/>
  <c r="F60" i="558"/>
  <c r="B60" i="558" s="1"/>
  <c r="F60" i="476"/>
  <c r="B60" i="476" s="1"/>
  <c r="F60" i="471"/>
  <c r="AB60" i="471" s="1"/>
  <c r="C60" i="539"/>
  <c r="AF60" i="539" s="1"/>
  <c r="F60" i="469"/>
  <c r="G60" i="469" s="1"/>
  <c r="F60" i="473"/>
  <c r="BB60" i="473" s="1"/>
  <c r="F60" i="474"/>
  <c r="F60" i="472"/>
  <c r="AB60" i="472" s="1"/>
  <c r="F60" i="475"/>
  <c r="C60" i="526"/>
  <c r="G60" i="526" s="1"/>
  <c r="H60" i="526" s="1"/>
  <c r="C60" i="521"/>
  <c r="AD60" i="521" s="1"/>
  <c r="F58" i="472"/>
  <c r="AB58" i="472" s="1"/>
  <c r="F58" i="473"/>
  <c r="F58" i="558"/>
  <c r="AC58" i="558" s="1"/>
  <c r="F58" i="475"/>
  <c r="C58" i="522"/>
  <c r="BB58" i="522" s="1"/>
  <c r="F58" i="474"/>
  <c r="H58" i="474" s="1"/>
  <c r="F58" i="471"/>
  <c r="AC58" i="471" s="1"/>
  <c r="F58" i="536"/>
  <c r="C58" i="527"/>
  <c r="C58" i="370"/>
  <c r="C58" i="521"/>
  <c r="B58" i="476"/>
  <c r="AC58" i="476"/>
  <c r="U58" i="476"/>
  <c r="W58" i="476" s="1"/>
  <c r="Y58" i="476" s="1"/>
  <c r="AB58" i="476"/>
  <c r="F66" i="475"/>
  <c r="G66" i="475" s="1"/>
  <c r="F66" i="536"/>
  <c r="C66" i="527"/>
  <c r="C66" i="521"/>
  <c r="B66" i="521" s="1"/>
  <c r="F66" i="476"/>
  <c r="C66" i="526"/>
  <c r="G66" i="526" s="1"/>
  <c r="H66" i="526" s="1"/>
  <c r="C66" i="539"/>
  <c r="AE66" i="539" s="1"/>
  <c r="F66" i="473"/>
  <c r="F66" i="471"/>
  <c r="B66" i="471" s="1"/>
  <c r="C66" i="370"/>
  <c r="F66" i="469"/>
  <c r="G66" i="469" s="1"/>
  <c r="F63" i="473"/>
  <c r="BB63" i="473" s="1"/>
  <c r="F63" i="471"/>
  <c r="AC63" i="471" s="1"/>
  <c r="F63" i="469"/>
  <c r="G63" i="469" s="1"/>
  <c r="F63" i="472"/>
  <c r="AC63" i="472" s="1"/>
  <c r="C63" i="370"/>
  <c r="F63" i="536"/>
  <c r="F63" i="474"/>
  <c r="C63" i="522"/>
  <c r="B63" i="522" s="1"/>
  <c r="C63" i="526"/>
  <c r="B63" i="526" s="1"/>
  <c r="F63" i="476"/>
  <c r="AB63" i="476" s="1"/>
  <c r="C63" i="521"/>
  <c r="B63" i="521" s="1"/>
  <c r="E63" i="527"/>
  <c r="I63" i="527"/>
  <c r="C63" i="528"/>
  <c r="B63" i="527"/>
  <c r="G53" i="469"/>
  <c r="F62" i="472"/>
  <c r="B62" i="472" s="1"/>
  <c r="F62" i="474"/>
  <c r="F62" i="475"/>
  <c r="G62" i="475" s="1"/>
  <c r="F49" i="472"/>
  <c r="AC49" i="472" s="1"/>
  <c r="F49" i="558"/>
  <c r="AC49" i="558" s="1"/>
  <c r="C49" i="527"/>
  <c r="F49" i="475"/>
  <c r="F49" i="469"/>
  <c r="F49" i="471"/>
  <c r="AC49" i="471" s="1"/>
  <c r="F48" i="471"/>
  <c r="U48" i="471" s="1"/>
  <c r="C48" i="526"/>
  <c r="Y48" i="526" s="1"/>
  <c r="F48" i="558"/>
  <c r="C48" i="370"/>
  <c r="AE48" i="370" s="1"/>
  <c r="D48" i="521" s="1"/>
  <c r="AF48" i="521" s="1"/>
  <c r="C48" i="521"/>
  <c r="AE48" i="521" s="1"/>
  <c r="C48" i="527"/>
  <c r="F48" i="536"/>
  <c r="C48" i="539"/>
  <c r="L48" i="539" s="1"/>
  <c r="F48" i="473"/>
  <c r="BB48" i="473" s="1"/>
  <c r="F48" i="469"/>
  <c r="G48" i="469" s="1"/>
  <c r="C47" i="526"/>
  <c r="B47" i="526" s="1"/>
  <c r="F47" i="474"/>
  <c r="F47" i="469"/>
  <c r="G47" i="469" s="1"/>
  <c r="F47" i="475"/>
  <c r="C47" i="527"/>
  <c r="C47" i="370"/>
  <c r="F47" i="472"/>
  <c r="AC47" i="472" s="1"/>
  <c r="F47" i="473"/>
  <c r="BC47" i="473" s="1"/>
  <c r="F47" i="476"/>
  <c r="B47" i="476" s="1"/>
  <c r="F47" i="536"/>
  <c r="C47" i="522"/>
  <c r="B47" i="522" s="1"/>
  <c r="C44" i="370"/>
  <c r="F44" i="536"/>
  <c r="F44" i="472"/>
  <c r="AB44" i="472" s="1"/>
  <c r="C42" i="521"/>
  <c r="B42" i="521" s="1"/>
  <c r="F42" i="536"/>
  <c r="F42" i="558"/>
  <c r="F42" i="474"/>
  <c r="C42" i="527"/>
  <c r="C42" i="539"/>
  <c r="B42" i="539" s="1"/>
  <c r="C42" i="526"/>
  <c r="G42" i="526" s="1"/>
  <c r="H42" i="526" s="1"/>
  <c r="F42" i="471"/>
  <c r="B42" i="471" s="1"/>
  <c r="F42" i="472"/>
  <c r="AB42" i="472" s="1"/>
  <c r="F42" i="469"/>
  <c r="G42" i="469" s="1"/>
  <c r="F41" i="476"/>
  <c r="B41" i="476" s="1"/>
  <c r="C41" i="527"/>
  <c r="F41" i="474"/>
  <c r="F39" i="558"/>
  <c r="W39" i="558" s="1"/>
  <c r="F39" i="469"/>
  <c r="C39" i="526"/>
  <c r="F39" i="474"/>
  <c r="C39" i="539"/>
  <c r="L39" i="539" s="1"/>
  <c r="C39" i="522"/>
  <c r="BB39" i="522" s="1"/>
  <c r="G37" i="469"/>
  <c r="F35" i="471"/>
  <c r="AC35" i="471" s="1"/>
  <c r="C35" i="526"/>
  <c r="C35" i="527"/>
  <c r="F35" i="469"/>
  <c r="C35" i="370"/>
  <c r="F35" i="558"/>
  <c r="C35" i="522"/>
  <c r="B35" i="522" s="1"/>
  <c r="F35" i="473"/>
  <c r="B35" i="473" s="1"/>
  <c r="F35" i="475"/>
  <c r="C35" i="539"/>
  <c r="AE35" i="539" s="1"/>
  <c r="F35" i="536"/>
  <c r="F35" i="472"/>
  <c r="AC35" i="472" s="1"/>
  <c r="C62" i="370"/>
  <c r="F62" i="469"/>
  <c r="G62" i="469" s="1"/>
  <c r="F62" i="536"/>
  <c r="C62" i="522"/>
  <c r="BB62" i="522" s="1"/>
  <c r="C62" i="526"/>
  <c r="C62" i="521"/>
  <c r="B62" i="521" s="1"/>
  <c r="F62" i="476"/>
  <c r="F62" i="558"/>
  <c r="AB62" i="558" s="1"/>
  <c r="C62" i="539"/>
  <c r="B62" i="539" s="1"/>
  <c r="C62" i="527"/>
  <c r="F62" i="471"/>
  <c r="AC62" i="471" s="1"/>
  <c r="AB61" i="558"/>
  <c r="AC61" i="558"/>
  <c r="Y61" i="558"/>
  <c r="W61" i="558"/>
  <c r="Z61" i="558"/>
  <c r="K61" i="370" s="1"/>
  <c r="AO61" i="370" s="1"/>
  <c r="U61" i="558"/>
  <c r="B61" i="558"/>
  <c r="U57" i="476"/>
  <c r="W57" i="476" s="1"/>
  <c r="Y57" i="476" s="1"/>
  <c r="AB57" i="476"/>
  <c r="B57" i="476"/>
  <c r="AC57" i="476"/>
  <c r="AE52" i="539"/>
  <c r="B52" i="539"/>
  <c r="AF52" i="539"/>
  <c r="AB51" i="558"/>
  <c r="U51" i="558"/>
  <c r="W51" i="558" s="1"/>
  <c r="Y51" i="558" s="1"/>
  <c r="B51" i="558"/>
  <c r="AC51" i="558"/>
  <c r="BB49" i="473"/>
  <c r="BC49" i="473"/>
  <c r="BD49" i="473"/>
  <c r="BA49" i="473"/>
  <c r="Y48" i="476"/>
  <c r="AC48" i="476"/>
  <c r="W48" i="476"/>
  <c r="Z48" i="476"/>
  <c r="J48" i="370" s="1"/>
  <c r="AN48" i="370" s="1"/>
  <c r="U48" i="476"/>
  <c r="AB48" i="476"/>
  <c r="B48" i="476"/>
  <c r="AE47" i="521"/>
  <c r="AD47" i="521"/>
  <c r="B47" i="521"/>
  <c r="F45" i="472"/>
  <c r="C45" i="521"/>
  <c r="C45" i="527"/>
  <c r="F45" i="558"/>
  <c r="C45" i="370"/>
  <c r="C45" i="539"/>
  <c r="F45" i="471"/>
  <c r="F45" i="469"/>
  <c r="G45" i="469" s="1"/>
  <c r="F45" i="474"/>
  <c r="F45" i="473"/>
  <c r="BD45" i="473" s="1"/>
  <c r="F45" i="475"/>
  <c r="G45" i="475" s="1"/>
  <c r="C45" i="526"/>
  <c r="F45" i="536"/>
  <c r="G45" i="536" s="1"/>
  <c r="C45" i="522"/>
  <c r="AC45" i="476"/>
  <c r="U45" i="476"/>
  <c r="W45" i="476" s="1"/>
  <c r="Y45" i="476" s="1"/>
  <c r="B45" i="476"/>
  <c r="AB45" i="476"/>
  <c r="C44" i="526"/>
  <c r="B44" i="526" s="1"/>
  <c r="C44" i="521"/>
  <c r="G44" i="521" s="1"/>
  <c r="C44" i="539"/>
  <c r="AE44" i="539" s="1"/>
  <c r="C44" i="522"/>
  <c r="B44" i="522" s="1"/>
  <c r="C44" i="527"/>
  <c r="F44" i="476"/>
  <c r="AC44" i="476" s="1"/>
  <c r="F44" i="469"/>
  <c r="G44" i="469" s="1"/>
  <c r="F44" i="558"/>
  <c r="AB44" i="558" s="1"/>
  <c r="F44" i="473"/>
  <c r="BC44" i="473" s="1"/>
  <c r="F44" i="474"/>
  <c r="H44" i="474" s="1"/>
  <c r="F44" i="471"/>
  <c r="AC44" i="471" s="1"/>
  <c r="L43" i="539"/>
  <c r="I43" i="539"/>
  <c r="B43" i="539"/>
  <c r="AE43" i="539"/>
  <c r="AF43" i="539"/>
  <c r="Z43" i="539"/>
  <c r="J43" i="539"/>
  <c r="G43" i="539"/>
  <c r="K43" i="539"/>
  <c r="Y43" i="539"/>
  <c r="U42" i="476"/>
  <c r="W42" i="476" s="1"/>
  <c r="Y42" i="476" s="1"/>
  <c r="AB42" i="476"/>
  <c r="B42" i="476"/>
  <c r="AC42" i="476"/>
  <c r="F41" i="471"/>
  <c r="F41" i="472"/>
  <c r="AC41" i="472" s="1"/>
  <c r="F41" i="475"/>
  <c r="C41" i="522"/>
  <c r="C41" i="526"/>
  <c r="B41" i="526" s="1"/>
  <c r="F41" i="473"/>
  <c r="AB41" i="473" s="1"/>
  <c r="C41" i="521"/>
  <c r="B41" i="521" s="1"/>
  <c r="F41" i="558"/>
  <c r="AB41" i="558" s="1"/>
  <c r="F41" i="536"/>
  <c r="F41" i="469"/>
  <c r="C41" i="539"/>
  <c r="B41" i="539" s="1"/>
  <c r="W39" i="536"/>
  <c r="B39" i="536"/>
  <c r="AB39" i="536"/>
  <c r="H39" i="536"/>
  <c r="BA39" i="536"/>
  <c r="Y39" i="536"/>
  <c r="U39" i="536"/>
  <c r="BB39" i="536"/>
  <c r="AC39" i="536"/>
  <c r="Z39" i="536"/>
  <c r="Z74" i="475"/>
  <c r="I74" i="370" s="1"/>
  <c r="AM74" i="370" s="1"/>
  <c r="Z104" i="475"/>
  <c r="I104" i="370" s="1"/>
  <c r="AM104" i="370" s="1"/>
  <c r="Z108" i="475"/>
  <c r="I108" i="370" s="1"/>
  <c r="AM108" i="370" s="1"/>
  <c r="Z109" i="475"/>
  <c r="I109" i="370" s="1"/>
  <c r="AM109" i="370" s="1"/>
  <c r="Z110" i="475"/>
  <c r="I110" i="370" s="1"/>
  <c r="AM110" i="370" s="1"/>
  <c r="Z111" i="475"/>
  <c r="I111" i="370" s="1"/>
  <c r="AM111" i="370" s="1"/>
  <c r="Z112" i="475"/>
  <c r="I112" i="370" s="1"/>
  <c r="AM112" i="370" s="1"/>
  <c r="Z113" i="475"/>
  <c r="I113" i="370" s="1"/>
  <c r="AM113" i="370" s="1"/>
  <c r="Z114" i="475"/>
  <c r="I114" i="370" s="1"/>
  <c r="AM114" i="370" s="1"/>
  <c r="Z115" i="475"/>
  <c r="I115" i="370" s="1"/>
  <c r="AM115" i="370" s="1"/>
  <c r="Z116" i="475"/>
  <c r="I116" i="370" s="1"/>
  <c r="AM116" i="370" s="1"/>
  <c r="Z117" i="475"/>
  <c r="I117" i="370" s="1"/>
  <c r="AM117" i="370" s="1"/>
  <c r="Z118" i="475"/>
  <c r="I118" i="370" s="1"/>
  <c r="AM118" i="370" s="1"/>
  <c r="Z119" i="475"/>
  <c r="I119" i="370" s="1"/>
  <c r="AM119" i="370" s="1"/>
  <c r="Z120" i="475"/>
  <c r="I120" i="370" s="1"/>
  <c r="AM120" i="370" s="1"/>
  <c r="Z121" i="475"/>
  <c r="I121" i="370" s="1"/>
  <c r="AM121" i="370" s="1"/>
  <c r="Z122" i="475"/>
  <c r="I122" i="370" s="1"/>
  <c r="AM122" i="370" s="1"/>
  <c r="Z123" i="475"/>
  <c r="I123" i="370" s="1"/>
  <c r="AM123" i="370" s="1"/>
  <c r="Z124" i="475"/>
  <c r="I124" i="370" s="1"/>
  <c r="AM124" i="370" s="1"/>
  <c r="Z125" i="475"/>
  <c r="I125" i="370" s="1"/>
  <c r="AM125" i="370" s="1"/>
  <c r="Z126" i="475"/>
  <c r="I126" i="370" s="1"/>
  <c r="AM126" i="370" s="1"/>
  <c r="Z127" i="475"/>
  <c r="I127" i="370" s="1"/>
  <c r="AM127" i="370" s="1"/>
  <c r="Z128" i="475"/>
  <c r="I128" i="370" s="1"/>
  <c r="AM128" i="370" s="1"/>
  <c r="Z129" i="475"/>
  <c r="I129" i="370" s="1"/>
  <c r="AM129" i="370" s="1"/>
  <c r="Z130" i="475"/>
  <c r="I130" i="370" s="1"/>
  <c r="AM130" i="370" s="1"/>
  <c r="F6" i="475"/>
  <c r="G6" i="475"/>
  <c r="G5" i="475"/>
  <c r="F5" i="475"/>
  <c r="G4" i="475"/>
  <c r="F4" i="475"/>
  <c r="W129" i="475"/>
  <c r="W127" i="475"/>
  <c r="W125" i="475"/>
  <c r="W123" i="475"/>
  <c r="W121" i="475"/>
  <c r="W119" i="475"/>
  <c r="AB118" i="475"/>
  <c r="AA117" i="475"/>
  <c r="W117" i="475"/>
  <c r="W115" i="475"/>
  <c r="AB114" i="475"/>
  <c r="W113" i="475"/>
  <c r="W112" i="475"/>
  <c r="W111" i="475"/>
  <c r="W110" i="475"/>
  <c r="W109" i="475"/>
  <c r="W108" i="475"/>
  <c r="AB105" i="475"/>
  <c r="B105" i="475"/>
  <c r="AC77" i="475"/>
  <c r="B77" i="475"/>
  <c r="AC74" i="475"/>
  <c r="Y74" i="475"/>
  <c r="B74" i="475"/>
  <c r="AC71" i="475"/>
  <c r="B71" i="475"/>
  <c r="AV30" i="475"/>
  <c r="AU30" i="475"/>
  <c r="AT30" i="475"/>
  <c r="AS30" i="475"/>
  <c r="AR30" i="475"/>
  <c r="AQ30" i="475"/>
  <c r="AP30" i="475"/>
  <c r="AO30" i="475"/>
  <c r="AN30" i="475"/>
  <c r="AM30" i="475"/>
  <c r="AL30" i="475"/>
  <c r="AK30" i="475"/>
  <c r="AJ30" i="475"/>
  <c r="AI30" i="475"/>
  <c r="AH30" i="475"/>
  <c r="AG30" i="475"/>
  <c r="AF30" i="475"/>
  <c r="AV29" i="475"/>
  <c r="AU29" i="475"/>
  <c r="AT29" i="475"/>
  <c r="AS29" i="475"/>
  <c r="AR29" i="475"/>
  <c r="AM29" i="475"/>
  <c r="AL29" i="475"/>
  <c r="AK29" i="475"/>
  <c r="AJ29" i="475"/>
  <c r="AI29" i="475"/>
  <c r="AH29" i="475"/>
  <c r="AG29" i="475"/>
  <c r="AF29" i="475"/>
  <c r="AQ29" i="475"/>
  <c r="S29" i="475"/>
  <c r="AP29" i="475" s="1"/>
  <c r="R29" i="475"/>
  <c r="AO29" i="475" s="1"/>
  <c r="Q29" i="475"/>
  <c r="AN29" i="475" s="1"/>
  <c r="E29" i="475"/>
  <c r="D29" i="475"/>
  <c r="C29" i="475"/>
  <c r="Z3" i="475"/>
  <c r="Y3" i="475"/>
  <c r="U3" i="475"/>
  <c r="Z2" i="475"/>
  <c r="Y2" i="475"/>
  <c r="U2" i="475"/>
  <c r="B1" i="475"/>
  <c r="G23" i="475" s="1"/>
  <c r="B160" i="1"/>
  <c r="J6" i="474"/>
  <c r="J5" i="474"/>
  <c r="I6" i="474"/>
  <c r="I5" i="474"/>
  <c r="J4" i="474"/>
  <c r="I4" i="474"/>
  <c r="AC130" i="474"/>
  <c r="AB130" i="474"/>
  <c r="H130" i="370" s="1"/>
  <c r="AL130" i="370" s="1"/>
  <c r="AE130" i="474"/>
  <c r="AC129" i="474"/>
  <c r="AB129" i="474"/>
  <c r="H129" i="370" s="1"/>
  <c r="AL129" i="370" s="1"/>
  <c r="AE129" i="474"/>
  <c r="AC128" i="474"/>
  <c r="AB128" i="474"/>
  <c r="H128" i="370" s="1"/>
  <c r="AL128" i="370" s="1"/>
  <c r="AE128" i="474"/>
  <c r="AC127" i="474"/>
  <c r="AB127" i="474"/>
  <c r="H127" i="370" s="1"/>
  <c r="AL127" i="370" s="1"/>
  <c r="AE127" i="474"/>
  <c r="AC126" i="474"/>
  <c r="AB126" i="474"/>
  <c r="H126" i="370" s="1"/>
  <c r="AL126" i="370" s="1"/>
  <c r="AE126" i="474"/>
  <c r="AC125" i="474"/>
  <c r="AB125" i="474"/>
  <c r="H125" i="370" s="1"/>
  <c r="AL125" i="370" s="1"/>
  <c r="AE125" i="474"/>
  <c r="AC124" i="474"/>
  <c r="AB124" i="474"/>
  <c r="H124" i="370" s="1"/>
  <c r="AL124" i="370" s="1"/>
  <c r="AE124" i="474"/>
  <c r="AC123" i="474"/>
  <c r="AB123" i="474"/>
  <c r="H123" i="370" s="1"/>
  <c r="AL123" i="370" s="1"/>
  <c r="AE123" i="474"/>
  <c r="AC122" i="474"/>
  <c r="AB122" i="474"/>
  <c r="H122" i="370" s="1"/>
  <c r="AL122" i="370" s="1"/>
  <c r="AE122" i="474"/>
  <c r="AC121" i="474"/>
  <c r="AB121" i="474"/>
  <c r="H121" i="370" s="1"/>
  <c r="AL121" i="370" s="1"/>
  <c r="AC120" i="474"/>
  <c r="AB120" i="474"/>
  <c r="H120" i="370" s="1"/>
  <c r="AL120" i="370" s="1"/>
  <c r="Y120" i="474"/>
  <c r="AC119" i="474"/>
  <c r="AB119" i="474"/>
  <c r="H119" i="370" s="1"/>
  <c r="AL119" i="370" s="1"/>
  <c r="AC118" i="474"/>
  <c r="AB118" i="474"/>
  <c r="H118" i="370" s="1"/>
  <c r="AL118" i="370" s="1"/>
  <c r="Y118" i="474"/>
  <c r="AC117" i="474"/>
  <c r="AB117" i="474"/>
  <c r="H117" i="370" s="1"/>
  <c r="AL117" i="370" s="1"/>
  <c r="AC116" i="474"/>
  <c r="AB116" i="474"/>
  <c r="H116" i="370" s="1"/>
  <c r="AL116" i="370" s="1"/>
  <c r="Y116" i="474"/>
  <c r="AC115" i="474"/>
  <c r="AB115" i="474"/>
  <c r="H115" i="370" s="1"/>
  <c r="AL115" i="370" s="1"/>
  <c r="AC114" i="474"/>
  <c r="AB114" i="474"/>
  <c r="H114" i="370" s="1"/>
  <c r="AL114" i="370" s="1"/>
  <c r="Y114" i="474"/>
  <c r="AC113" i="474"/>
  <c r="AB113" i="474"/>
  <c r="H113" i="370" s="1"/>
  <c r="AL113" i="370" s="1"/>
  <c r="AC112" i="474"/>
  <c r="AB112" i="474"/>
  <c r="H112" i="370" s="1"/>
  <c r="AL112" i="370" s="1"/>
  <c r="Y112" i="474"/>
  <c r="AC111" i="474"/>
  <c r="AB111" i="474"/>
  <c r="H111" i="370" s="1"/>
  <c r="AL111" i="370" s="1"/>
  <c r="AC110" i="474"/>
  <c r="AB110" i="474"/>
  <c r="H110" i="370" s="1"/>
  <c r="AL110" i="370" s="1"/>
  <c r="Y110" i="474"/>
  <c r="AC109" i="474"/>
  <c r="AB109" i="474"/>
  <c r="H109" i="370" s="1"/>
  <c r="AL109" i="370" s="1"/>
  <c r="AC108" i="474"/>
  <c r="AB108" i="474"/>
  <c r="H108" i="370" s="1"/>
  <c r="AL108" i="370" s="1"/>
  <c r="Y108" i="474"/>
  <c r="AC107" i="474"/>
  <c r="AC106" i="474"/>
  <c r="W106" i="474" s="1"/>
  <c r="AC105" i="474"/>
  <c r="AD105" i="474"/>
  <c r="AC104" i="474"/>
  <c r="AD104" i="474"/>
  <c r="Y104" i="474"/>
  <c r="B104" i="474"/>
  <c r="AC103" i="474"/>
  <c r="AC102" i="474"/>
  <c r="AC101" i="474"/>
  <c r="AC100" i="474"/>
  <c r="AC99" i="474"/>
  <c r="AC98" i="474"/>
  <c r="AC97" i="474"/>
  <c r="AC96" i="474"/>
  <c r="AC95" i="474"/>
  <c r="AC94" i="474"/>
  <c r="AC93" i="474"/>
  <c r="AC92" i="474"/>
  <c r="AC91" i="474"/>
  <c r="AC90" i="474"/>
  <c r="AC89" i="474"/>
  <c r="AC88" i="474"/>
  <c r="AC87" i="474"/>
  <c r="AC86" i="474"/>
  <c r="AC85" i="474"/>
  <c r="AC84" i="474"/>
  <c r="AC83" i="474"/>
  <c r="AC82" i="474"/>
  <c r="AE82" i="474"/>
  <c r="AD82" i="474"/>
  <c r="B82" i="474"/>
  <c r="AC81" i="474"/>
  <c r="AC80" i="474"/>
  <c r="AC79" i="474"/>
  <c r="AC78" i="474"/>
  <c r="AC77" i="474"/>
  <c r="AE77" i="474"/>
  <c r="AD77" i="474"/>
  <c r="B77" i="474"/>
  <c r="AC76" i="474"/>
  <c r="AC75" i="474"/>
  <c r="AC74" i="474"/>
  <c r="AE74" i="474"/>
  <c r="AB74" i="474"/>
  <c r="H74" i="370" s="1"/>
  <c r="AL74" i="370" s="1"/>
  <c r="AA74" i="474"/>
  <c r="AD74" i="474"/>
  <c r="B74" i="474"/>
  <c r="AC73" i="474"/>
  <c r="AC72" i="474"/>
  <c r="AC71" i="474"/>
  <c r="W71" i="474" s="1"/>
  <c r="AE71" i="474"/>
  <c r="AC70" i="474"/>
  <c r="AC69" i="474"/>
  <c r="AC68" i="474"/>
  <c r="AC67" i="474"/>
  <c r="AC66" i="474"/>
  <c r="AE66" i="474"/>
  <c r="AC65" i="474"/>
  <c r="AC64" i="474"/>
  <c r="AC63" i="474"/>
  <c r="AC62" i="474"/>
  <c r="AC61" i="474"/>
  <c r="AC60" i="474"/>
  <c r="AC59" i="474"/>
  <c r="AC58" i="474"/>
  <c r="AC57" i="474"/>
  <c r="AC56" i="474"/>
  <c r="AC55" i="474"/>
  <c r="AC54" i="474"/>
  <c r="AC53" i="474"/>
  <c r="AC52" i="474"/>
  <c r="AC51" i="474"/>
  <c r="AC50" i="474"/>
  <c r="AC49" i="474"/>
  <c r="AC48" i="474"/>
  <c r="AC47" i="474"/>
  <c r="AC46" i="474"/>
  <c r="AC45" i="474"/>
  <c r="AC44" i="474"/>
  <c r="AC43" i="474"/>
  <c r="AC42" i="474"/>
  <c r="AC41" i="474"/>
  <c r="AC40" i="474"/>
  <c r="AC39" i="474"/>
  <c r="AC38" i="474"/>
  <c r="AC37" i="474"/>
  <c r="AC36" i="474"/>
  <c r="AC35" i="474"/>
  <c r="AE35" i="474"/>
  <c r="AC34" i="474"/>
  <c r="AC33" i="474"/>
  <c r="AC32" i="474"/>
  <c r="AC31" i="474"/>
  <c r="AX30" i="474"/>
  <c r="AW30" i="474"/>
  <c r="AV30" i="474"/>
  <c r="AU30" i="474"/>
  <c r="AT30" i="474"/>
  <c r="AS30" i="474"/>
  <c r="AR30" i="474"/>
  <c r="AQ30" i="474"/>
  <c r="AP30" i="474"/>
  <c r="AO30" i="474"/>
  <c r="AN30" i="474"/>
  <c r="AM30" i="474"/>
  <c r="AL30" i="474"/>
  <c r="AK30" i="474"/>
  <c r="AJ30" i="474"/>
  <c r="AI30" i="474"/>
  <c r="AH30" i="474"/>
  <c r="AG30" i="474"/>
  <c r="AX29" i="474"/>
  <c r="AW29" i="474"/>
  <c r="AV29" i="474"/>
  <c r="AU29" i="474"/>
  <c r="AT29" i="474"/>
  <c r="AO29" i="474"/>
  <c r="AN29" i="474"/>
  <c r="AM29" i="474"/>
  <c r="AL29" i="474"/>
  <c r="AK29" i="474"/>
  <c r="AJ29" i="474"/>
  <c r="AI29" i="474"/>
  <c r="AH29" i="474"/>
  <c r="AG29" i="474"/>
  <c r="V29" i="474"/>
  <c r="AS29" i="474" s="1"/>
  <c r="U29" i="474"/>
  <c r="AR29" i="474" s="1"/>
  <c r="T29" i="474"/>
  <c r="AQ29" i="474" s="1"/>
  <c r="S29" i="474"/>
  <c r="AP29" i="474" s="1"/>
  <c r="E29" i="474"/>
  <c r="D29" i="474"/>
  <c r="C29" i="474"/>
  <c r="AB3" i="474"/>
  <c r="AA3" i="474"/>
  <c r="W3" i="474"/>
  <c r="AM2" i="474"/>
  <c r="AL2" i="474"/>
  <c r="AK2" i="474"/>
  <c r="AJ2" i="474"/>
  <c r="AI2" i="474"/>
  <c r="AH2" i="474"/>
  <c r="AG2" i="474"/>
  <c r="AB2" i="474"/>
  <c r="AA2" i="474"/>
  <c r="W2" i="474"/>
  <c r="B1" i="474"/>
  <c r="I23" i="474" s="1"/>
  <c r="B140" i="1"/>
  <c r="G5" i="473"/>
  <c r="F5" i="473"/>
  <c r="G4" i="473"/>
  <c r="F4" i="473"/>
  <c r="B120" i="1"/>
  <c r="B100" i="1"/>
  <c r="B60" i="1"/>
  <c r="B80" i="1"/>
  <c r="AA130" i="473"/>
  <c r="AC130" i="473"/>
  <c r="AB130" i="473"/>
  <c r="Y130" i="473"/>
  <c r="W130" i="473"/>
  <c r="Z130" i="473"/>
  <c r="G130" i="370" s="1"/>
  <c r="AK130" i="370" s="1"/>
  <c r="B130" i="473"/>
  <c r="AA129" i="473"/>
  <c r="AC129" i="473"/>
  <c r="Y129" i="473"/>
  <c r="AB129" i="473"/>
  <c r="B129" i="473"/>
  <c r="AA128" i="473"/>
  <c r="AC128" i="473"/>
  <c r="AB128" i="473"/>
  <c r="Y128" i="473"/>
  <c r="W128" i="473"/>
  <c r="Z128" i="473"/>
  <c r="G128" i="370" s="1"/>
  <c r="AK128" i="370" s="1"/>
  <c r="B128" i="473"/>
  <c r="AA127" i="473"/>
  <c r="AC127" i="473"/>
  <c r="Y127" i="473"/>
  <c r="AB127" i="473"/>
  <c r="B127" i="473"/>
  <c r="AA126" i="473"/>
  <c r="AC126" i="473"/>
  <c r="AB126" i="473"/>
  <c r="Y126" i="473"/>
  <c r="W126" i="473"/>
  <c r="Z126" i="473"/>
  <c r="G126" i="370" s="1"/>
  <c r="AK126" i="370" s="1"/>
  <c r="B126" i="473"/>
  <c r="AA125" i="473"/>
  <c r="AC125" i="473"/>
  <c r="Y125" i="473"/>
  <c r="AB125" i="473"/>
  <c r="B125" i="473"/>
  <c r="AA124" i="473"/>
  <c r="AC124" i="473"/>
  <c r="AB124" i="473"/>
  <c r="Y124" i="473"/>
  <c r="W124" i="473"/>
  <c r="Z124" i="473"/>
  <c r="G124" i="370" s="1"/>
  <c r="AK124" i="370" s="1"/>
  <c r="B124" i="473"/>
  <c r="AA123" i="473"/>
  <c r="AC123" i="473"/>
  <c r="Y123" i="473"/>
  <c r="AB123" i="473"/>
  <c r="B123" i="473"/>
  <c r="AA122" i="473"/>
  <c r="AC122" i="473"/>
  <c r="AB122" i="473"/>
  <c r="Y122" i="473"/>
  <c r="W122" i="473"/>
  <c r="Z122" i="473"/>
  <c r="G122" i="370" s="1"/>
  <c r="AK122" i="370" s="1"/>
  <c r="B122" i="473"/>
  <c r="AA121" i="473"/>
  <c r="AC121" i="473"/>
  <c r="Y121" i="473"/>
  <c r="AB121" i="473"/>
  <c r="B121" i="473"/>
  <c r="AA120" i="473"/>
  <c r="AC120" i="473"/>
  <c r="AB120" i="473"/>
  <c r="Y120" i="473"/>
  <c r="W120" i="473"/>
  <c r="Z120" i="473"/>
  <c r="G120" i="370" s="1"/>
  <c r="AK120" i="370" s="1"/>
  <c r="B120" i="473"/>
  <c r="AA119" i="473"/>
  <c r="AC119" i="473"/>
  <c r="Y119" i="473"/>
  <c r="AB119" i="473"/>
  <c r="B119" i="473"/>
  <c r="AA118" i="473"/>
  <c r="AC118" i="473"/>
  <c r="AB118" i="473"/>
  <c r="Y118" i="473"/>
  <c r="W118" i="473"/>
  <c r="Z118" i="473"/>
  <c r="G118" i="370" s="1"/>
  <c r="AK118" i="370" s="1"/>
  <c r="B118" i="473"/>
  <c r="AA117" i="473"/>
  <c r="AC117" i="473"/>
  <c r="Y117" i="473"/>
  <c r="AB117" i="473"/>
  <c r="B117" i="473"/>
  <c r="AA116" i="473"/>
  <c r="AC116" i="473"/>
  <c r="AB116" i="473"/>
  <c r="Y116" i="473"/>
  <c r="W116" i="473"/>
  <c r="Z116" i="473"/>
  <c r="G116" i="370" s="1"/>
  <c r="AK116" i="370" s="1"/>
  <c r="B116" i="473"/>
  <c r="AA115" i="473"/>
  <c r="AC115" i="473"/>
  <c r="Y115" i="473"/>
  <c r="AB115" i="473"/>
  <c r="B115" i="473"/>
  <c r="AA114" i="473"/>
  <c r="AC114" i="473"/>
  <c r="AB114" i="473"/>
  <c r="Y114" i="473"/>
  <c r="W114" i="473"/>
  <c r="Z114" i="473"/>
  <c r="G114" i="370" s="1"/>
  <c r="AK114" i="370" s="1"/>
  <c r="B114" i="473"/>
  <c r="AA113" i="473"/>
  <c r="AC113" i="473"/>
  <c r="Y113" i="473"/>
  <c r="AB113" i="473"/>
  <c r="B113" i="473"/>
  <c r="AA112" i="473"/>
  <c r="AC112" i="473"/>
  <c r="AB112" i="473"/>
  <c r="Y112" i="473"/>
  <c r="W112" i="473"/>
  <c r="Z112" i="473"/>
  <c r="G112" i="370" s="1"/>
  <c r="AK112" i="370" s="1"/>
  <c r="B112" i="473"/>
  <c r="AA111" i="473"/>
  <c r="AC111" i="473"/>
  <c r="Y111" i="473"/>
  <c r="AB111" i="473"/>
  <c r="B111" i="473"/>
  <c r="AA110" i="473"/>
  <c r="AC110" i="473"/>
  <c r="AB110" i="473"/>
  <c r="Y110" i="473"/>
  <c r="W110" i="473"/>
  <c r="Z110" i="473"/>
  <c r="G110" i="370" s="1"/>
  <c r="AK110" i="370" s="1"/>
  <c r="B110" i="473"/>
  <c r="AA109" i="473"/>
  <c r="AC109" i="473"/>
  <c r="Y109" i="473"/>
  <c r="AB109" i="473"/>
  <c r="B109" i="473"/>
  <c r="AA108" i="473"/>
  <c r="AC108" i="473"/>
  <c r="AB108" i="473"/>
  <c r="Y108" i="473"/>
  <c r="W108" i="473"/>
  <c r="Z108" i="473"/>
  <c r="G108" i="370" s="1"/>
  <c r="AK108" i="370" s="1"/>
  <c r="B108" i="473"/>
  <c r="AA107" i="473"/>
  <c r="AC107" i="473"/>
  <c r="AB107" i="473"/>
  <c r="B107" i="473"/>
  <c r="AA106" i="473"/>
  <c r="AC106" i="473"/>
  <c r="AB106" i="473"/>
  <c r="B106" i="473"/>
  <c r="AA105" i="473"/>
  <c r="AC105" i="473"/>
  <c r="AB105" i="473"/>
  <c r="B105" i="473"/>
  <c r="AA104" i="473"/>
  <c r="AC104" i="473"/>
  <c r="AB104" i="473"/>
  <c r="Y104" i="473"/>
  <c r="W104" i="473"/>
  <c r="Z104" i="473"/>
  <c r="G104" i="370" s="1"/>
  <c r="AK104" i="370" s="1"/>
  <c r="B104" i="473"/>
  <c r="AA103" i="473"/>
  <c r="AA102" i="473"/>
  <c r="AA101" i="473"/>
  <c r="AA100" i="473"/>
  <c r="AA99" i="473"/>
  <c r="AA98" i="473"/>
  <c r="AA97" i="473"/>
  <c r="AA96" i="473"/>
  <c r="AA95" i="473"/>
  <c r="AA94" i="473"/>
  <c r="AA93" i="473"/>
  <c r="AA92" i="473"/>
  <c r="AA91" i="473"/>
  <c r="AA90" i="473"/>
  <c r="AA89" i="473"/>
  <c r="AA88" i="473"/>
  <c r="AA87" i="473"/>
  <c r="AA86" i="473"/>
  <c r="AA85" i="473"/>
  <c r="AA84" i="473"/>
  <c r="AA83" i="473"/>
  <c r="AA82" i="473"/>
  <c r="AA81" i="473"/>
  <c r="AA80" i="473"/>
  <c r="AA79" i="473"/>
  <c r="AC79" i="473"/>
  <c r="AA78" i="473"/>
  <c r="AA77" i="473"/>
  <c r="U77" i="473" s="1"/>
  <c r="AC77" i="473"/>
  <c r="B77" i="473"/>
  <c r="AA76" i="473"/>
  <c r="AA75" i="473"/>
  <c r="AA74" i="473"/>
  <c r="AB74" i="473"/>
  <c r="Z74" i="473"/>
  <c r="G74" i="370" s="1"/>
  <c r="AK74" i="370" s="1"/>
  <c r="AA73" i="473"/>
  <c r="AA72" i="473"/>
  <c r="AA71" i="473"/>
  <c r="AC71" i="473"/>
  <c r="AB71" i="473"/>
  <c r="B71" i="473"/>
  <c r="AA70" i="473"/>
  <c r="AA69" i="473"/>
  <c r="AA68" i="473"/>
  <c r="AA67" i="473"/>
  <c r="AA66" i="473"/>
  <c r="AA65" i="473"/>
  <c r="AA64" i="473"/>
  <c r="AA63" i="473"/>
  <c r="AA62" i="473"/>
  <c r="AA61" i="473"/>
  <c r="AA60" i="473"/>
  <c r="AA59" i="473"/>
  <c r="AA58" i="473"/>
  <c r="AA57" i="473"/>
  <c r="AA56" i="473"/>
  <c r="AA55" i="473"/>
  <c r="AA54" i="473"/>
  <c r="AA53" i="473"/>
  <c r="AA52" i="473"/>
  <c r="AA51" i="473"/>
  <c r="AA50" i="473"/>
  <c r="AA49" i="473"/>
  <c r="AC49" i="473"/>
  <c r="AB49" i="473"/>
  <c r="B49" i="473"/>
  <c r="AA48" i="473"/>
  <c r="AA47" i="473"/>
  <c r="AA46" i="473"/>
  <c r="AA45" i="473"/>
  <c r="AA44" i="473"/>
  <c r="AA43" i="473"/>
  <c r="AA42" i="473"/>
  <c r="AA41" i="473"/>
  <c r="AA40" i="473"/>
  <c r="AA39" i="473"/>
  <c r="AA38" i="473"/>
  <c r="AA37" i="473"/>
  <c r="AA36" i="473"/>
  <c r="AA35" i="473"/>
  <c r="AA34" i="473"/>
  <c r="AA33" i="473"/>
  <c r="AA32" i="473"/>
  <c r="AA31" i="473"/>
  <c r="AV30" i="473"/>
  <c r="AU30" i="473"/>
  <c r="AT30" i="473"/>
  <c r="AS30" i="473"/>
  <c r="AR30" i="473"/>
  <c r="AQ30" i="473"/>
  <c r="AP30" i="473"/>
  <c r="AO30" i="473"/>
  <c r="AN30" i="473"/>
  <c r="AM30" i="473"/>
  <c r="AL30" i="473"/>
  <c r="AK30" i="473"/>
  <c r="AJ30" i="473"/>
  <c r="AI30" i="473"/>
  <c r="AH30" i="473"/>
  <c r="AG30" i="473"/>
  <c r="AF30" i="473"/>
  <c r="AE30" i="473"/>
  <c r="AV29" i="473"/>
  <c r="AU29" i="473"/>
  <c r="AT29" i="473"/>
  <c r="AS29" i="473"/>
  <c r="AR29" i="473"/>
  <c r="AL29" i="473"/>
  <c r="AK29" i="473"/>
  <c r="AJ29" i="473"/>
  <c r="AI29" i="473"/>
  <c r="AH29" i="473"/>
  <c r="AG29" i="473"/>
  <c r="AF29" i="473"/>
  <c r="AE29" i="473"/>
  <c r="T29" i="473"/>
  <c r="AQ29" i="473" s="1"/>
  <c r="S29" i="473"/>
  <c r="AP29" i="473" s="1"/>
  <c r="R29" i="473"/>
  <c r="AO29" i="473" s="1"/>
  <c r="Q29" i="473"/>
  <c r="AN29" i="473" s="1"/>
  <c r="AM29" i="473"/>
  <c r="E29" i="473"/>
  <c r="D29" i="473"/>
  <c r="C29" i="473"/>
  <c r="Z3" i="473"/>
  <c r="Y3" i="473"/>
  <c r="Z2" i="473"/>
  <c r="Y2" i="473"/>
  <c r="B1" i="473"/>
  <c r="G23" i="473" s="1"/>
  <c r="F6" i="472"/>
  <c r="G6" i="472"/>
  <c r="G5" i="472"/>
  <c r="F5" i="472"/>
  <c r="G4" i="472"/>
  <c r="F4" i="472"/>
  <c r="AA130" i="472"/>
  <c r="Z130" i="472"/>
  <c r="F130" i="370" s="1"/>
  <c r="AA129" i="472"/>
  <c r="AC129" i="472"/>
  <c r="AB129" i="472"/>
  <c r="Y129" i="472"/>
  <c r="W129" i="472"/>
  <c r="B129" i="472"/>
  <c r="AA128" i="472"/>
  <c r="Z128" i="472"/>
  <c r="F128" i="370" s="1"/>
  <c r="AA127" i="472"/>
  <c r="AC127" i="472"/>
  <c r="AB127" i="472"/>
  <c r="Y127" i="472"/>
  <c r="W127" i="472"/>
  <c r="B127" i="472"/>
  <c r="AA126" i="472"/>
  <c r="Z126" i="472"/>
  <c r="F126" i="370" s="1"/>
  <c r="AA125" i="472"/>
  <c r="AC125" i="472"/>
  <c r="AB125" i="472"/>
  <c r="Y125" i="472"/>
  <c r="W125" i="472"/>
  <c r="B125" i="472"/>
  <c r="AA124" i="472"/>
  <c r="Z124" i="472"/>
  <c r="F124" i="370" s="1"/>
  <c r="AA123" i="472"/>
  <c r="AC123" i="472"/>
  <c r="AB123" i="472"/>
  <c r="Y123" i="472"/>
  <c r="W123" i="472"/>
  <c r="B123" i="472"/>
  <c r="AA122" i="472"/>
  <c r="Z122" i="472"/>
  <c r="F122" i="370" s="1"/>
  <c r="AA121" i="472"/>
  <c r="AC121" i="472"/>
  <c r="AB121" i="472"/>
  <c r="Y121" i="472"/>
  <c r="W121" i="472"/>
  <c r="B121" i="472"/>
  <c r="AA120" i="472"/>
  <c r="AA119" i="472"/>
  <c r="AC119" i="472"/>
  <c r="AB119" i="472"/>
  <c r="Y119" i="472"/>
  <c r="W119" i="472"/>
  <c r="B119" i="472"/>
  <c r="AA118" i="472"/>
  <c r="AA117" i="472"/>
  <c r="AC117" i="472"/>
  <c r="Z117" i="472"/>
  <c r="F117" i="370" s="1"/>
  <c r="W117" i="472"/>
  <c r="B117" i="472"/>
  <c r="AA116" i="472"/>
  <c r="AB116" i="472"/>
  <c r="Z116" i="472"/>
  <c r="F116" i="370" s="1"/>
  <c r="AA115" i="472"/>
  <c r="Y115" i="472"/>
  <c r="AA114" i="472"/>
  <c r="W114" i="472"/>
  <c r="Z114" i="472"/>
  <c r="F114" i="370" s="1"/>
  <c r="AA113" i="472"/>
  <c r="AC113" i="472"/>
  <c r="Z113" i="472"/>
  <c r="F113" i="370" s="1"/>
  <c r="Y113" i="472"/>
  <c r="W113" i="472"/>
  <c r="B113" i="472"/>
  <c r="AA112" i="472"/>
  <c r="AB112" i="472"/>
  <c r="Z112" i="472"/>
  <c r="F112" i="370" s="1"/>
  <c r="W112" i="472"/>
  <c r="AA111" i="472"/>
  <c r="AA110" i="472"/>
  <c r="AA109" i="472"/>
  <c r="AC109" i="472"/>
  <c r="Z109" i="472"/>
  <c r="F109" i="370" s="1"/>
  <c r="W109" i="472"/>
  <c r="B109" i="472"/>
  <c r="AA108" i="472"/>
  <c r="AB108" i="472"/>
  <c r="Z108" i="472"/>
  <c r="F108" i="370" s="1"/>
  <c r="AA107" i="472"/>
  <c r="U107" i="472" s="1"/>
  <c r="AA106" i="472"/>
  <c r="AA105" i="472"/>
  <c r="U105" i="472" s="1"/>
  <c r="AC105" i="472"/>
  <c r="B105" i="472"/>
  <c r="AA104" i="472"/>
  <c r="AB104" i="472"/>
  <c r="Z104" i="472"/>
  <c r="F104" i="370" s="1"/>
  <c r="W104" i="472"/>
  <c r="AA103" i="472"/>
  <c r="AA102" i="472"/>
  <c r="AA101" i="472"/>
  <c r="AA100" i="472"/>
  <c r="AA99" i="472"/>
  <c r="AA98" i="472"/>
  <c r="AA97" i="472"/>
  <c r="AA96" i="472"/>
  <c r="AA95" i="472"/>
  <c r="AC95" i="472"/>
  <c r="AB95" i="472"/>
  <c r="B95" i="472"/>
  <c r="AA94" i="472"/>
  <c r="AA93" i="472"/>
  <c r="AA92" i="472"/>
  <c r="AA91" i="472"/>
  <c r="AA90" i="472"/>
  <c r="AA89" i="472"/>
  <c r="AA88" i="472"/>
  <c r="AA87" i="472"/>
  <c r="AA86" i="472"/>
  <c r="AA85" i="472"/>
  <c r="AA84" i="472"/>
  <c r="AA83" i="472"/>
  <c r="AC83" i="472"/>
  <c r="AB83" i="472"/>
  <c r="B83" i="472"/>
  <c r="AA82" i="472"/>
  <c r="AA81" i="472"/>
  <c r="AA80" i="472"/>
  <c r="AA79" i="472"/>
  <c r="AA78" i="472"/>
  <c r="AA77" i="472"/>
  <c r="AC77" i="472"/>
  <c r="AB77" i="472"/>
  <c r="B77" i="472"/>
  <c r="AA76" i="472"/>
  <c r="AC76" i="472"/>
  <c r="AB76" i="472"/>
  <c r="B76" i="472"/>
  <c r="AA75" i="472"/>
  <c r="AA74" i="472"/>
  <c r="AC74" i="472"/>
  <c r="AA73" i="472"/>
  <c r="AA72" i="472"/>
  <c r="AA71" i="472"/>
  <c r="AC71" i="472"/>
  <c r="AB71" i="472"/>
  <c r="B71" i="472"/>
  <c r="AA70" i="472"/>
  <c r="AA69" i="472"/>
  <c r="AA68" i="472"/>
  <c r="AA67" i="472"/>
  <c r="AA66" i="472"/>
  <c r="AA65" i="472"/>
  <c r="AA64" i="472"/>
  <c r="AC64" i="472"/>
  <c r="AA63" i="472"/>
  <c r="AA62" i="472"/>
  <c r="AA61" i="472"/>
  <c r="AA60" i="472"/>
  <c r="AA59" i="472"/>
  <c r="AA58" i="472"/>
  <c r="AA57" i="472"/>
  <c r="AA56" i="472"/>
  <c r="AA55" i="472"/>
  <c r="AA54" i="472"/>
  <c r="AA53" i="472"/>
  <c r="AA52" i="472"/>
  <c r="AA51" i="472"/>
  <c r="AA50" i="472"/>
  <c r="AA49" i="472"/>
  <c r="AA48" i="472"/>
  <c r="AA47" i="472"/>
  <c r="AA46" i="472"/>
  <c r="AA45" i="472"/>
  <c r="AA44" i="472"/>
  <c r="AA43" i="472"/>
  <c r="AA42" i="472"/>
  <c r="AA41" i="472"/>
  <c r="AA40" i="472"/>
  <c r="AA39" i="472"/>
  <c r="AA38" i="472"/>
  <c r="AA37" i="472"/>
  <c r="AA36" i="472"/>
  <c r="AA35" i="472"/>
  <c r="AA34" i="472"/>
  <c r="AA33" i="472"/>
  <c r="AA32" i="472"/>
  <c r="AA31" i="472"/>
  <c r="BJ30" i="472"/>
  <c r="BI30" i="472"/>
  <c r="BH30" i="472"/>
  <c r="BG30" i="472"/>
  <c r="BF30" i="472"/>
  <c r="BE30" i="472"/>
  <c r="BD30" i="472"/>
  <c r="BC30" i="472"/>
  <c r="BB30" i="472"/>
  <c r="BA30" i="472"/>
  <c r="AV30" i="472"/>
  <c r="AU30" i="472"/>
  <c r="AT30" i="472"/>
  <c r="AS30" i="472"/>
  <c r="AR30" i="472"/>
  <c r="AQ30" i="472"/>
  <c r="AP30" i="472"/>
  <c r="AO30" i="472"/>
  <c r="AN30" i="472"/>
  <c r="AM30" i="472"/>
  <c r="AL30" i="472"/>
  <c r="AK30" i="472"/>
  <c r="AJ30" i="472"/>
  <c r="AI30" i="472"/>
  <c r="AH30" i="472"/>
  <c r="AG30" i="472"/>
  <c r="AF30" i="472"/>
  <c r="AE30" i="472"/>
  <c r="AV29" i="472"/>
  <c r="AU29" i="472"/>
  <c r="AT29" i="472"/>
  <c r="AS29" i="472"/>
  <c r="AR29" i="472"/>
  <c r="AL29" i="472"/>
  <c r="AK29" i="472"/>
  <c r="AJ29" i="472"/>
  <c r="AI29" i="472"/>
  <c r="AH29" i="472"/>
  <c r="AG29" i="472"/>
  <c r="AF29" i="472"/>
  <c r="AE29" i="472"/>
  <c r="T29" i="472"/>
  <c r="AQ29" i="472" s="1"/>
  <c r="S29" i="472"/>
  <c r="AP29" i="472" s="1"/>
  <c r="R29" i="472"/>
  <c r="AO29" i="472" s="1"/>
  <c r="Q29" i="472"/>
  <c r="AN29" i="472" s="1"/>
  <c r="AM29" i="472"/>
  <c r="E29" i="472"/>
  <c r="D29" i="472"/>
  <c r="C29" i="472"/>
  <c r="Z3" i="472"/>
  <c r="Y3" i="472"/>
  <c r="U3" i="472"/>
  <c r="Z2" i="472"/>
  <c r="Y2" i="472"/>
  <c r="U2" i="472"/>
  <c r="B1" i="472"/>
  <c r="G23" i="472" s="1"/>
  <c r="Z74" i="469"/>
  <c r="D74" i="370" s="1"/>
  <c r="AH74" i="370" s="1"/>
  <c r="Z104" i="469"/>
  <c r="D104" i="370" s="1"/>
  <c r="AH104" i="370" s="1"/>
  <c r="Z108" i="469"/>
  <c r="D108" i="370" s="1"/>
  <c r="AH108" i="370" s="1"/>
  <c r="Z109" i="469"/>
  <c r="D109" i="370" s="1"/>
  <c r="AH109" i="370" s="1"/>
  <c r="Z110" i="469"/>
  <c r="D110" i="370" s="1"/>
  <c r="AH110" i="370" s="1"/>
  <c r="Z111" i="469"/>
  <c r="D111" i="370" s="1"/>
  <c r="AH111" i="370" s="1"/>
  <c r="Z112" i="469"/>
  <c r="D112" i="370" s="1"/>
  <c r="AH112" i="370" s="1"/>
  <c r="Z113" i="469"/>
  <c r="D113" i="370" s="1"/>
  <c r="AH113" i="370" s="1"/>
  <c r="Z114" i="469"/>
  <c r="D114" i="370" s="1"/>
  <c r="AH114" i="370" s="1"/>
  <c r="Z115" i="469"/>
  <c r="D115" i="370" s="1"/>
  <c r="AH115" i="370" s="1"/>
  <c r="Z116" i="469"/>
  <c r="D116" i="370" s="1"/>
  <c r="AH116" i="370" s="1"/>
  <c r="Z117" i="469"/>
  <c r="D117" i="370" s="1"/>
  <c r="AH117" i="370" s="1"/>
  <c r="Z118" i="469"/>
  <c r="D118" i="370" s="1"/>
  <c r="AH118" i="370" s="1"/>
  <c r="Z119" i="469"/>
  <c r="D119" i="370" s="1"/>
  <c r="AH119" i="370" s="1"/>
  <c r="Z120" i="469"/>
  <c r="D120" i="370" s="1"/>
  <c r="AH120" i="370" s="1"/>
  <c r="Z121" i="469"/>
  <c r="D121" i="370" s="1"/>
  <c r="AH121" i="370" s="1"/>
  <c r="Z122" i="469"/>
  <c r="D122" i="370" s="1"/>
  <c r="AH122" i="370" s="1"/>
  <c r="Z123" i="469"/>
  <c r="D123" i="370" s="1"/>
  <c r="AH123" i="370" s="1"/>
  <c r="Z124" i="469"/>
  <c r="D124" i="370" s="1"/>
  <c r="AH124" i="370" s="1"/>
  <c r="Z125" i="469"/>
  <c r="D125" i="370" s="1"/>
  <c r="AH125" i="370" s="1"/>
  <c r="Z126" i="469"/>
  <c r="D126" i="370" s="1"/>
  <c r="AH126" i="370" s="1"/>
  <c r="Z127" i="469"/>
  <c r="D127" i="370" s="1"/>
  <c r="AH127" i="370" s="1"/>
  <c r="Z128" i="469"/>
  <c r="D128" i="370" s="1"/>
  <c r="AH128" i="370" s="1"/>
  <c r="Z129" i="469"/>
  <c r="D129" i="370" s="1"/>
  <c r="AH129" i="370" s="1"/>
  <c r="Z130" i="469"/>
  <c r="D130" i="370" s="1"/>
  <c r="AH130" i="370" s="1"/>
  <c r="Z74" i="471"/>
  <c r="E74" i="370" s="1"/>
  <c r="AI74" i="370" s="1"/>
  <c r="Z104" i="471"/>
  <c r="E104" i="370" s="1"/>
  <c r="AI104" i="370" s="1"/>
  <c r="Z108" i="471"/>
  <c r="E108" i="370" s="1"/>
  <c r="AI108" i="370" s="1"/>
  <c r="Z109" i="471"/>
  <c r="E109" i="370" s="1"/>
  <c r="AI109" i="370" s="1"/>
  <c r="Z110" i="471"/>
  <c r="E110" i="370" s="1"/>
  <c r="AI110" i="370" s="1"/>
  <c r="Z111" i="471"/>
  <c r="E111" i="370" s="1"/>
  <c r="AI111" i="370" s="1"/>
  <c r="Z112" i="471"/>
  <c r="E112" i="370" s="1"/>
  <c r="AI112" i="370" s="1"/>
  <c r="Z113" i="471"/>
  <c r="E113" i="370" s="1"/>
  <c r="AI113" i="370" s="1"/>
  <c r="Z114" i="471"/>
  <c r="E114" i="370" s="1"/>
  <c r="AI114" i="370" s="1"/>
  <c r="Z115" i="471"/>
  <c r="E115" i="370" s="1"/>
  <c r="AI115" i="370" s="1"/>
  <c r="Z116" i="471"/>
  <c r="E116" i="370" s="1"/>
  <c r="AI116" i="370" s="1"/>
  <c r="Z117" i="471"/>
  <c r="E117" i="370" s="1"/>
  <c r="AI117" i="370" s="1"/>
  <c r="Z118" i="471"/>
  <c r="E118" i="370" s="1"/>
  <c r="AI118" i="370" s="1"/>
  <c r="Z119" i="471"/>
  <c r="E119" i="370" s="1"/>
  <c r="AI119" i="370" s="1"/>
  <c r="Z120" i="471"/>
  <c r="E120" i="370" s="1"/>
  <c r="AI120" i="370" s="1"/>
  <c r="Z121" i="471"/>
  <c r="E121" i="370" s="1"/>
  <c r="AI121" i="370" s="1"/>
  <c r="Z122" i="471"/>
  <c r="E122" i="370" s="1"/>
  <c r="AI122" i="370" s="1"/>
  <c r="Z123" i="471"/>
  <c r="E123" i="370" s="1"/>
  <c r="AI123" i="370" s="1"/>
  <c r="Z124" i="471"/>
  <c r="E124" i="370" s="1"/>
  <c r="AI124" i="370" s="1"/>
  <c r="Z125" i="471"/>
  <c r="E125" i="370" s="1"/>
  <c r="AI125" i="370" s="1"/>
  <c r="Z126" i="471"/>
  <c r="E126" i="370" s="1"/>
  <c r="AI126" i="370" s="1"/>
  <c r="Z127" i="471"/>
  <c r="E127" i="370" s="1"/>
  <c r="AI127" i="370" s="1"/>
  <c r="Z128" i="471"/>
  <c r="E128" i="370" s="1"/>
  <c r="AI128" i="370" s="1"/>
  <c r="Z129" i="471"/>
  <c r="E129" i="370" s="1"/>
  <c r="AI129" i="370" s="1"/>
  <c r="Z130" i="471"/>
  <c r="E130" i="370" s="1"/>
  <c r="AI130" i="370" s="1"/>
  <c r="G4" i="471"/>
  <c r="F4" i="471"/>
  <c r="F5" i="471"/>
  <c r="G5" i="471"/>
  <c r="AA130" i="471"/>
  <c r="AB130" i="471"/>
  <c r="W130" i="471"/>
  <c r="AA129" i="471"/>
  <c r="AA128" i="471"/>
  <c r="AB128" i="471"/>
  <c r="W128" i="471"/>
  <c r="AA127" i="471"/>
  <c r="AA126" i="471"/>
  <c r="AB126" i="471"/>
  <c r="W126" i="471"/>
  <c r="AA125" i="471"/>
  <c r="AA124" i="471"/>
  <c r="AB124" i="471"/>
  <c r="W124" i="471"/>
  <c r="AA123" i="471"/>
  <c r="AA122" i="471"/>
  <c r="AB122" i="471"/>
  <c r="W122" i="471"/>
  <c r="AA121" i="471"/>
  <c r="AA120" i="471"/>
  <c r="AB120" i="471"/>
  <c r="W120" i="471"/>
  <c r="AA119" i="471"/>
  <c r="AB119" i="471"/>
  <c r="W119" i="471"/>
  <c r="AA118" i="471"/>
  <c r="AB118" i="471"/>
  <c r="AA117" i="471"/>
  <c r="AB117" i="471"/>
  <c r="AA116" i="471"/>
  <c r="AB116" i="471"/>
  <c r="W116" i="471"/>
  <c r="AA115" i="471"/>
  <c r="AB115" i="471"/>
  <c r="W115" i="471"/>
  <c r="AA114" i="471"/>
  <c r="AB114" i="471"/>
  <c r="AA113" i="471"/>
  <c r="AB113" i="471"/>
  <c r="AA112" i="471"/>
  <c r="AB112" i="471"/>
  <c r="W112" i="471"/>
  <c r="AA111" i="471"/>
  <c r="AB111" i="471"/>
  <c r="W111" i="471"/>
  <c r="AA110" i="471"/>
  <c r="AB110" i="471"/>
  <c r="AA109" i="471"/>
  <c r="AB109" i="471"/>
  <c r="AA108" i="471"/>
  <c r="AB108" i="471"/>
  <c r="W108" i="471"/>
  <c r="AA107" i="471"/>
  <c r="G107" i="471" s="1"/>
  <c r="U107" i="471" s="1"/>
  <c r="AB107" i="471"/>
  <c r="AA106" i="471"/>
  <c r="G106" i="471" s="1"/>
  <c r="U106" i="471" s="1"/>
  <c r="AB106" i="471"/>
  <c r="AA105" i="471"/>
  <c r="G105" i="471" s="1"/>
  <c r="U105" i="471" s="1"/>
  <c r="AB105" i="471"/>
  <c r="AA104" i="471"/>
  <c r="AB104" i="471"/>
  <c r="W104" i="471"/>
  <c r="AA103" i="471"/>
  <c r="AA102" i="471"/>
  <c r="AA101" i="471"/>
  <c r="AA100" i="471"/>
  <c r="AA99" i="471"/>
  <c r="AA98" i="471"/>
  <c r="AA97" i="471"/>
  <c r="AA96" i="471"/>
  <c r="AA95" i="471"/>
  <c r="AA94" i="471"/>
  <c r="AA93" i="471"/>
  <c r="AA92" i="471"/>
  <c r="AA91" i="471"/>
  <c r="AA90" i="471"/>
  <c r="AA89" i="471"/>
  <c r="AA88" i="471"/>
  <c r="AA87" i="471"/>
  <c r="AA86" i="471"/>
  <c r="AA85" i="471"/>
  <c r="AA84" i="471"/>
  <c r="AA83" i="471"/>
  <c r="AA82" i="471"/>
  <c r="AA81" i="471"/>
  <c r="AA80" i="471"/>
  <c r="AA79" i="471"/>
  <c r="AA78" i="471"/>
  <c r="AA77" i="471"/>
  <c r="G77" i="471" s="1"/>
  <c r="U77" i="471" s="1"/>
  <c r="AC77" i="471"/>
  <c r="B77" i="471"/>
  <c r="AA76" i="471"/>
  <c r="AA75" i="471"/>
  <c r="AA74" i="471"/>
  <c r="AC74" i="471"/>
  <c r="AB74" i="471"/>
  <c r="Y74" i="471"/>
  <c r="W74" i="471"/>
  <c r="B74" i="471"/>
  <c r="AA73" i="471"/>
  <c r="AA72" i="471"/>
  <c r="AA71" i="471"/>
  <c r="G71" i="471" s="1"/>
  <c r="U71" i="471" s="1"/>
  <c r="AC71" i="471"/>
  <c r="B71" i="471"/>
  <c r="AA70" i="471"/>
  <c r="AA69" i="471"/>
  <c r="AA68" i="471"/>
  <c r="AA67" i="471"/>
  <c r="AA66" i="471"/>
  <c r="AA65" i="471"/>
  <c r="AA64" i="471"/>
  <c r="AA63" i="471"/>
  <c r="AA62" i="471"/>
  <c r="AA61" i="471"/>
  <c r="AA60" i="471"/>
  <c r="AA59" i="471"/>
  <c r="AA58" i="471"/>
  <c r="AA57" i="471"/>
  <c r="AA56" i="471"/>
  <c r="AA55" i="471"/>
  <c r="AA54" i="471"/>
  <c r="G54" i="471" s="1"/>
  <c r="AC54" i="471"/>
  <c r="AB54" i="471"/>
  <c r="B54" i="471"/>
  <c r="AA53" i="471"/>
  <c r="AA52" i="471"/>
  <c r="AA51" i="471"/>
  <c r="AA50" i="471"/>
  <c r="AA49" i="471"/>
  <c r="AA48" i="471"/>
  <c r="AA47" i="471"/>
  <c r="AA46" i="471"/>
  <c r="AA45" i="471"/>
  <c r="AA44" i="471"/>
  <c r="AA43" i="471"/>
  <c r="AA42" i="471"/>
  <c r="AA41" i="471"/>
  <c r="AA40" i="471"/>
  <c r="AA39" i="471"/>
  <c r="AA38" i="471"/>
  <c r="AA37" i="471"/>
  <c r="AA36" i="471"/>
  <c r="AA35" i="471"/>
  <c r="AA34" i="471"/>
  <c r="AA33" i="471"/>
  <c r="AA32" i="471"/>
  <c r="AA31" i="471"/>
  <c r="BJ30" i="471"/>
  <c r="BI30" i="471"/>
  <c r="BH30" i="471"/>
  <c r="BG30" i="471"/>
  <c r="BF30" i="471"/>
  <c r="BE30" i="471"/>
  <c r="BD30" i="471"/>
  <c r="BC30" i="471"/>
  <c r="BB30" i="471"/>
  <c r="BA30" i="471"/>
  <c r="AV30" i="471"/>
  <c r="AU30" i="471"/>
  <c r="AT30" i="471"/>
  <c r="AS30" i="471"/>
  <c r="AR30" i="471"/>
  <c r="AQ30" i="471"/>
  <c r="AP30" i="471"/>
  <c r="AO30" i="471"/>
  <c r="AN30" i="471"/>
  <c r="AM30" i="471"/>
  <c r="AL30" i="471"/>
  <c r="AK30" i="471"/>
  <c r="AJ30" i="471"/>
  <c r="AI30" i="471"/>
  <c r="AH30" i="471"/>
  <c r="AG30" i="471"/>
  <c r="AF30" i="471"/>
  <c r="AE30" i="471"/>
  <c r="AV29" i="471"/>
  <c r="AU29" i="471"/>
  <c r="AT29" i="471"/>
  <c r="AS29" i="471"/>
  <c r="AR29" i="471"/>
  <c r="AL29" i="471"/>
  <c r="AK29" i="471"/>
  <c r="AJ29" i="471"/>
  <c r="AI29" i="471"/>
  <c r="AH29" i="471"/>
  <c r="AG29" i="471"/>
  <c r="AF29" i="471"/>
  <c r="AE29" i="471"/>
  <c r="T29" i="471"/>
  <c r="AQ29" i="471" s="1"/>
  <c r="S29" i="471"/>
  <c r="AP29" i="471" s="1"/>
  <c r="R29" i="471"/>
  <c r="AO29" i="471" s="1"/>
  <c r="Q29" i="471"/>
  <c r="AN29" i="471" s="1"/>
  <c r="AM29" i="471"/>
  <c r="E29" i="471"/>
  <c r="D29" i="471"/>
  <c r="C29" i="471"/>
  <c r="Z3" i="471"/>
  <c r="Y3" i="471"/>
  <c r="Z2" i="471"/>
  <c r="Y2" i="471"/>
  <c r="B1" i="471"/>
  <c r="G23" i="471" s="1"/>
  <c r="G5" i="469"/>
  <c r="F5" i="469"/>
  <c r="G4" i="469"/>
  <c r="F4" i="469"/>
  <c r="Z3" i="469"/>
  <c r="Z2" i="469"/>
  <c r="Y3" i="469"/>
  <c r="Y2" i="469"/>
  <c r="B1" i="469"/>
  <c r="G23" i="469" s="1"/>
  <c r="AI29" i="469"/>
  <c r="AF29" i="469"/>
  <c r="AQ29" i="469"/>
  <c r="AJ29" i="469"/>
  <c r="AM29" i="469"/>
  <c r="Q29" i="469"/>
  <c r="AN29" i="469" s="1"/>
  <c r="R29" i="469"/>
  <c r="AO29" i="469" s="1"/>
  <c r="AP29" i="469"/>
  <c r="AE30" i="469"/>
  <c r="AF30" i="469"/>
  <c r="AG30" i="469"/>
  <c r="AH30" i="469"/>
  <c r="AI30" i="469"/>
  <c r="AJ30" i="469"/>
  <c r="AK30" i="469"/>
  <c r="AL30" i="469"/>
  <c r="AM30" i="469"/>
  <c r="AN30" i="469"/>
  <c r="AO30" i="469"/>
  <c r="AP30" i="469"/>
  <c r="AQ30" i="469"/>
  <c r="AR30" i="469"/>
  <c r="AS30" i="469"/>
  <c r="AT30" i="469"/>
  <c r="AU30" i="469"/>
  <c r="AV30" i="469"/>
  <c r="AE29" i="469"/>
  <c r="AG29" i="469"/>
  <c r="AH29" i="469"/>
  <c r="AK29" i="469"/>
  <c r="AL29" i="469"/>
  <c r="AR29" i="469"/>
  <c r="AS29" i="469"/>
  <c r="AT29" i="469"/>
  <c r="AU29" i="469"/>
  <c r="AV29" i="469"/>
  <c r="BB30" i="469"/>
  <c r="BC30" i="469"/>
  <c r="BD30" i="469"/>
  <c r="BE30" i="469"/>
  <c r="BF30" i="469"/>
  <c r="BG30" i="469"/>
  <c r="BH30" i="469"/>
  <c r="BI30" i="469"/>
  <c r="BJ30" i="469"/>
  <c r="BA30" i="469"/>
  <c r="H67" i="536" l="1"/>
  <c r="G67" i="536"/>
  <c r="Y72" i="536"/>
  <c r="G72" i="536"/>
  <c r="AC47" i="536"/>
  <c r="G47" i="536"/>
  <c r="BA55" i="536"/>
  <c r="G55" i="536"/>
  <c r="H69" i="536"/>
  <c r="G69" i="536"/>
  <c r="H84" i="536"/>
  <c r="G84" i="536"/>
  <c r="BA81" i="536"/>
  <c r="G81" i="536"/>
  <c r="U61" i="536"/>
  <c r="G61" i="536"/>
  <c r="AC54" i="536"/>
  <c r="G54" i="536"/>
  <c r="G52" i="475"/>
  <c r="G85" i="475"/>
  <c r="G47" i="475"/>
  <c r="AB66" i="536"/>
  <c r="G66" i="536"/>
  <c r="H40" i="536"/>
  <c r="U40" i="536" s="1"/>
  <c r="W40" i="536" s="1"/>
  <c r="G40" i="536"/>
  <c r="AC89" i="536"/>
  <c r="G89" i="536"/>
  <c r="AB52" i="536"/>
  <c r="G52" i="536"/>
  <c r="BB57" i="536"/>
  <c r="G57" i="536"/>
  <c r="G57" i="475" s="1"/>
  <c r="BA83" i="536"/>
  <c r="G83" i="536"/>
  <c r="Y62" i="536"/>
  <c r="G62" i="536"/>
  <c r="B43" i="536"/>
  <c r="G43" i="536"/>
  <c r="B85" i="536"/>
  <c r="G85" i="536"/>
  <c r="AB44" i="536"/>
  <c r="G44" i="536"/>
  <c r="AC75" i="536"/>
  <c r="G75" i="536"/>
  <c r="G75" i="475" s="1"/>
  <c r="Y60" i="536"/>
  <c r="G60" i="536"/>
  <c r="H36" i="536"/>
  <c r="G36" i="536"/>
  <c r="G36" i="475" s="1"/>
  <c r="AC38" i="536"/>
  <c r="G38" i="536"/>
  <c r="G38" i="475" s="1"/>
  <c r="BA86" i="536"/>
  <c r="G86" i="536"/>
  <c r="B65" i="536"/>
  <c r="G65" i="536"/>
  <c r="G65" i="475" s="1"/>
  <c r="Y56" i="536"/>
  <c r="G56" i="536"/>
  <c r="G56" i="475" s="1"/>
  <c r="BB102" i="536"/>
  <c r="G102" i="536"/>
  <c r="BA41" i="536"/>
  <c r="G41" i="536"/>
  <c r="G41" i="475" s="1"/>
  <c r="U35" i="536"/>
  <c r="G35" i="536"/>
  <c r="W48" i="536"/>
  <c r="G48" i="536"/>
  <c r="BB68" i="536"/>
  <c r="G68" i="536"/>
  <c r="BB78" i="536"/>
  <c r="G78" i="536"/>
  <c r="G78" i="475" s="1"/>
  <c r="H37" i="536"/>
  <c r="G37" i="536"/>
  <c r="U37" i="536" s="1"/>
  <c r="W37" i="536" s="1"/>
  <c r="Y46" i="536"/>
  <c r="G46" i="536"/>
  <c r="Y63" i="536"/>
  <c r="G63" i="536"/>
  <c r="BB58" i="536"/>
  <c r="G58" i="536"/>
  <c r="G58" i="475" s="1"/>
  <c r="B91" i="536"/>
  <c r="G91" i="536"/>
  <c r="G91" i="475" s="1"/>
  <c r="Y53" i="536"/>
  <c r="G53" i="536"/>
  <c r="G53" i="475" s="1"/>
  <c r="Y34" i="536"/>
  <c r="G34" i="536"/>
  <c r="G34" i="475" s="1"/>
  <c r="BB79" i="536"/>
  <c r="G79" i="536"/>
  <c r="BA42" i="536"/>
  <c r="G42" i="536"/>
  <c r="G42" i="475" s="1"/>
  <c r="BB95" i="536"/>
  <c r="G95" i="536"/>
  <c r="G95" i="475" s="1"/>
  <c r="BA50" i="536"/>
  <c r="G50" i="536"/>
  <c r="Z80" i="536"/>
  <c r="V80" i="469" s="1"/>
  <c r="G80" i="536"/>
  <c r="AB82" i="536"/>
  <c r="G82" i="536"/>
  <c r="G82" i="475" s="1"/>
  <c r="BB49" i="536"/>
  <c r="G49" i="536"/>
  <c r="B87" i="536"/>
  <c r="G87" i="536"/>
  <c r="G87" i="475" s="1"/>
  <c r="B85" i="558"/>
  <c r="BC37" i="474"/>
  <c r="B46" i="471"/>
  <c r="AB46" i="536"/>
  <c r="AC46" i="536"/>
  <c r="B46" i="539"/>
  <c r="B46" i="476"/>
  <c r="B46" i="536"/>
  <c r="BA46" i="536"/>
  <c r="AB85" i="475"/>
  <c r="U85" i="558"/>
  <c r="W85" i="558" s="1"/>
  <c r="Y85" i="558" s="1"/>
  <c r="W107" i="471"/>
  <c r="Y107" i="471" s="1"/>
  <c r="U106" i="472"/>
  <c r="W106" i="472" s="1"/>
  <c r="Y106" i="472" s="1"/>
  <c r="U107" i="473"/>
  <c r="W107" i="473" s="1"/>
  <c r="Y107" i="473" s="1"/>
  <c r="W107" i="474"/>
  <c r="Y107" i="474" s="1"/>
  <c r="AA107" i="474" s="1"/>
  <c r="W105" i="474"/>
  <c r="Y105" i="474" s="1"/>
  <c r="AA105" i="474" s="1"/>
  <c r="K107" i="530"/>
  <c r="BB46" i="522"/>
  <c r="BC46" i="473"/>
  <c r="BB46" i="473"/>
  <c r="U46" i="476"/>
  <c r="W46" i="476" s="1"/>
  <c r="Y46" i="476" s="1"/>
  <c r="AC46" i="471"/>
  <c r="B46" i="472"/>
  <c r="BA46" i="473"/>
  <c r="AC46" i="476"/>
  <c r="B85" i="522"/>
  <c r="B46" i="522"/>
  <c r="G46" i="471"/>
  <c r="AC92" i="472"/>
  <c r="U105" i="473"/>
  <c r="W105" i="473" s="1"/>
  <c r="Y105" i="473" s="1"/>
  <c r="U106" i="473"/>
  <c r="W106" i="473" s="1"/>
  <c r="Y106" i="473" s="1"/>
  <c r="BB85" i="522"/>
  <c r="B102" i="474"/>
  <c r="AB102" i="471"/>
  <c r="B107" i="531"/>
  <c r="D107" i="531"/>
  <c r="AE100" i="474"/>
  <c r="H100" i="474"/>
  <c r="BE102" i="474"/>
  <c r="H102" i="474"/>
  <c r="AD99" i="474"/>
  <c r="H99" i="474"/>
  <c r="AD101" i="474"/>
  <c r="H101" i="474"/>
  <c r="AD94" i="474"/>
  <c r="H94" i="474"/>
  <c r="BC87" i="474"/>
  <c r="H87" i="474"/>
  <c r="AC75" i="475"/>
  <c r="AC46" i="475"/>
  <c r="Y106" i="474"/>
  <c r="AA106" i="474" s="1"/>
  <c r="K106" i="530"/>
  <c r="W105" i="472"/>
  <c r="Y105" i="472" s="1"/>
  <c r="K105" i="530"/>
  <c r="BE91" i="474"/>
  <c r="H91" i="474"/>
  <c r="AE92" i="474"/>
  <c r="H92" i="474"/>
  <c r="AE98" i="474"/>
  <c r="H98" i="474"/>
  <c r="AC85" i="471"/>
  <c r="G85" i="471"/>
  <c r="U85" i="471" s="1"/>
  <c r="B75" i="474"/>
  <c r="BC88" i="474"/>
  <c r="H88" i="474"/>
  <c r="BF86" i="474"/>
  <c r="H86" i="474"/>
  <c r="BF83" i="474"/>
  <c r="H83" i="474"/>
  <c r="BD84" i="474"/>
  <c r="H84" i="474"/>
  <c r="BE81" i="474"/>
  <c r="H81" i="474"/>
  <c r="W80" i="474"/>
  <c r="H80" i="474"/>
  <c r="BC79" i="474"/>
  <c r="H79" i="474"/>
  <c r="BD76" i="474"/>
  <c r="H76" i="474"/>
  <c r="BD72" i="474"/>
  <c r="H72" i="474"/>
  <c r="BF68" i="474"/>
  <c r="H68" i="474"/>
  <c r="BE69" i="474"/>
  <c r="H69" i="474"/>
  <c r="AE64" i="474"/>
  <c r="H64" i="474"/>
  <c r="AE62" i="474"/>
  <c r="H62" i="474"/>
  <c r="AE60" i="474"/>
  <c r="H60" i="474"/>
  <c r="W61" i="474"/>
  <c r="H61" i="474"/>
  <c r="AE63" i="474"/>
  <c r="H63" i="474"/>
  <c r="BE50" i="474"/>
  <c r="H50" i="474"/>
  <c r="AE49" i="474"/>
  <c r="H49" i="474"/>
  <c r="W43" i="474"/>
  <c r="H43" i="474"/>
  <c r="W39" i="474"/>
  <c r="H39" i="474"/>
  <c r="D106" i="531"/>
  <c r="B106" i="531"/>
  <c r="D105" i="531"/>
  <c r="B105" i="531"/>
  <c r="J104" i="531"/>
  <c r="U104" i="531"/>
  <c r="B104" i="531"/>
  <c r="M104" i="531"/>
  <c r="I104" i="531"/>
  <c r="H104" i="531"/>
  <c r="F104" i="531"/>
  <c r="X104" i="531" s="1"/>
  <c r="P104" i="531"/>
  <c r="O104" i="531"/>
  <c r="D104" i="531"/>
  <c r="V104" i="531"/>
  <c r="W104" i="531" s="1"/>
  <c r="E104" i="531"/>
  <c r="R104" i="531"/>
  <c r="S104" i="531"/>
  <c r="L104" i="531"/>
  <c r="BD46" i="474"/>
  <c r="H46" i="474"/>
  <c r="AE45" i="474"/>
  <c r="H45" i="474"/>
  <c r="AE96" i="474"/>
  <c r="H96" i="474"/>
  <c r="BD95" i="474"/>
  <c r="H95" i="474"/>
  <c r="AD90" i="474"/>
  <c r="H90" i="474"/>
  <c r="BC89" i="474"/>
  <c r="H89" i="474"/>
  <c r="BC85" i="474"/>
  <c r="H85" i="474"/>
  <c r="BE85" i="474"/>
  <c r="B85" i="474"/>
  <c r="AD85" i="474"/>
  <c r="AE85" i="474"/>
  <c r="AC85" i="473"/>
  <c r="BC78" i="474"/>
  <c r="H78" i="474"/>
  <c r="AD75" i="474"/>
  <c r="BD75" i="474"/>
  <c r="G75" i="521"/>
  <c r="F75" i="522" s="1"/>
  <c r="B75" i="521"/>
  <c r="BF75" i="474"/>
  <c r="H75" i="474"/>
  <c r="AE75" i="521"/>
  <c r="BC73" i="474"/>
  <c r="H73" i="474"/>
  <c r="BF70" i="474"/>
  <c r="H70" i="474"/>
  <c r="BF67" i="474"/>
  <c r="H67" i="474"/>
  <c r="AE65" i="474"/>
  <c r="H65" i="474"/>
  <c r="AE57" i="474"/>
  <c r="H57" i="474"/>
  <c r="AE56" i="474"/>
  <c r="H56" i="474"/>
  <c r="AE54" i="474"/>
  <c r="H54" i="474"/>
  <c r="AE52" i="474"/>
  <c r="H52" i="474"/>
  <c r="AE51" i="474"/>
  <c r="H51" i="474"/>
  <c r="AE47" i="474"/>
  <c r="H47" i="474"/>
  <c r="AE42" i="474"/>
  <c r="H42" i="474"/>
  <c r="AE41" i="474"/>
  <c r="H41" i="474"/>
  <c r="BD40" i="474"/>
  <c r="H40" i="474"/>
  <c r="BC38" i="474"/>
  <c r="H38" i="474"/>
  <c r="BF37" i="474"/>
  <c r="H37" i="474"/>
  <c r="AE36" i="474"/>
  <c r="H36" i="474"/>
  <c r="AE34" i="474"/>
  <c r="H34" i="474"/>
  <c r="AE37" i="474"/>
  <c r="BB37" i="473"/>
  <c r="BB46" i="536"/>
  <c r="B46" i="521"/>
  <c r="AC85" i="558"/>
  <c r="AC37" i="473"/>
  <c r="AC37" i="471"/>
  <c r="BA37" i="473"/>
  <c r="H46" i="536"/>
  <c r="AD46" i="521"/>
  <c r="AC85" i="472"/>
  <c r="B85" i="472"/>
  <c r="U85" i="476"/>
  <c r="W85" i="476" s="1"/>
  <c r="Y85" i="476" s="1"/>
  <c r="AE46" i="521"/>
  <c r="Y85" i="536"/>
  <c r="AC85" i="536"/>
  <c r="H85" i="536"/>
  <c r="U85" i="536" s="1"/>
  <c r="Z85" i="536" s="1"/>
  <c r="V85" i="473" s="1"/>
  <c r="BA85" i="536"/>
  <c r="AB85" i="536"/>
  <c r="AB85" i="476"/>
  <c r="BB85" i="536"/>
  <c r="AB37" i="536"/>
  <c r="AC83" i="471"/>
  <c r="BB85" i="475"/>
  <c r="BA85" i="475"/>
  <c r="E48" i="527"/>
  <c r="H48" i="527"/>
  <c r="G48" i="527"/>
  <c r="I58" i="527"/>
  <c r="C38" i="528"/>
  <c r="C38" i="529" s="1"/>
  <c r="C38" i="530" s="1"/>
  <c r="C38" i="531" s="1"/>
  <c r="E87" i="527"/>
  <c r="B95" i="527"/>
  <c r="H76" i="527"/>
  <c r="G76" i="527"/>
  <c r="G44" i="527"/>
  <c r="H44" i="527"/>
  <c r="B42" i="527"/>
  <c r="C55" i="528"/>
  <c r="U55" i="528" s="1"/>
  <c r="D55" i="529" s="1"/>
  <c r="H55" i="527"/>
  <c r="E55" i="528" s="1"/>
  <c r="G55" i="527"/>
  <c r="I52" i="527"/>
  <c r="I73" i="527"/>
  <c r="I91" i="527"/>
  <c r="C86" i="528"/>
  <c r="B86" i="528" s="1"/>
  <c r="G86" i="527"/>
  <c r="H86" i="527"/>
  <c r="H97" i="527"/>
  <c r="G97" i="527"/>
  <c r="C51" i="528"/>
  <c r="C51" i="529" s="1"/>
  <c r="E53" i="527"/>
  <c r="C40" i="528"/>
  <c r="C40" i="529" s="1"/>
  <c r="C40" i="530" s="1"/>
  <c r="C40" i="531" s="1"/>
  <c r="B89" i="527"/>
  <c r="G100" i="527"/>
  <c r="H100" i="527"/>
  <c r="G99" i="527"/>
  <c r="H99" i="527"/>
  <c r="E46" i="527"/>
  <c r="G103" i="527"/>
  <c r="H103" i="527"/>
  <c r="C65" i="528"/>
  <c r="B65" i="528" s="1"/>
  <c r="B79" i="527"/>
  <c r="G79" i="527"/>
  <c r="H79" i="527"/>
  <c r="G61" i="527"/>
  <c r="H61" i="527"/>
  <c r="E61" i="528" s="1"/>
  <c r="BD85" i="474"/>
  <c r="I47" i="527"/>
  <c r="B66" i="527"/>
  <c r="G66" i="527"/>
  <c r="H66" i="527"/>
  <c r="E57" i="527"/>
  <c r="E68" i="527"/>
  <c r="G68" i="527"/>
  <c r="H68" i="527"/>
  <c r="BC75" i="474"/>
  <c r="B88" i="527"/>
  <c r="G88" i="527"/>
  <c r="H88" i="527"/>
  <c r="G101" i="527"/>
  <c r="H101" i="527"/>
  <c r="I50" i="527"/>
  <c r="G50" i="527"/>
  <c r="H50" i="527"/>
  <c r="C69" i="528"/>
  <c r="C69" i="529" s="1"/>
  <c r="G69" i="527"/>
  <c r="H69" i="527"/>
  <c r="G62" i="527"/>
  <c r="H62" i="527"/>
  <c r="I49" i="527"/>
  <c r="H49" i="527"/>
  <c r="G49" i="527"/>
  <c r="C56" i="528"/>
  <c r="AC56" i="528" s="1"/>
  <c r="I70" i="527"/>
  <c r="C82" i="528"/>
  <c r="B82" i="528" s="1"/>
  <c r="C37" i="528"/>
  <c r="C37" i="529" s="1"/>
  <c r="C37" i="530" s="1"/>
  <c r="C37" i="531" s="1"/>
  <c r="B41" i="527"/>
  <c r="I81" i="527"/>
  <c r="H81" i="527"/>
  <c r="G81" i="527"/>
  <c r="E85" i="527"/>
  <c r="G59" i="527"/>
  <c r="H59" i="527"/>
  <c r="B80" i="527"/>
  <c r="F80" i="527" s="1"/>
  <c r="H80" i="527"/>
  <c r="G80" i="527"/>
  <c r="C75" i="528"/>
  <c r="AC75" i="528" s="1"/>
  <c r="E36" i="527"/>
  <c r="G43" i="527"/>
  <c r="H43" i="527"/>
  <c r="E43" i="528" s="1"/>
  <c r="G83" i="527"/>
  <c r="H83" i="527"/>
  <c r="I60" i="527"/>
  <c r="G60" i="527"/>
  <c r="H60" i="527"/>
  <c r="C35" i="528"/>
  <c r="C35" i="529" s="1"/>
  <c r="C35" i="530" s="1"/>
  <c r="C35" i="531" s="1"/>
  <c r="G35" i="527"/>
  <c r="H35" i="527"/>
  <c r="E64" i="527"/>
  <c r="H64" i="527"/>
  <c r="G64" i="527"/>
  <c r="G39" i="527"/>
  <c r="H39" i="527"/>
  <c r="G102" i="527"/>
  <c r="H102" i="527"/>
  <c r="BE75" i="474"/>
  <c r="B85" i="539"/>
  <c r="AF85" i="539"/>
  <c r="C85" i="528"/>
  <c r="AC85" i="528" s="1"/>
  <c r="B94" i="472"/>
  <c r="AC46" i="472"/>
  <c r="AB94" i="472"/>
  <c r="AE46" i="474"/>
  <c r="BC46" i="474"/>
  <c r="B85" i="476"/>
  <c r="BF85" i="474"/>
  <c r="G89" i="471"/>
  <c r="U89" i="471" s="1"/>
  <c r="B85" i="473"/>
  <c r="B95" i="474"/>
  <c r="BB85" i="473"/>
  <c r="G85" i="472"/>
  <c r="U85" i="472" s="1"/>
  <c r="W85" i="472" s="1"/>
  <c r="Y85" i="472" s="1"/>
  <c r="AC75" i="471"/>
  <c r="G75" i="471"/>
  <c r="U75" i="471" s="1"/>
  <c r="AD95" i="474"/>
  <c r="BF46" i="474"/>
  <c r="B85" i="526"/>
  <c r="BC85" i="473"/>
  <c r="I85" i="527"/>
  <c r="AE95" i="474"/>
  <c r="U37" i="558"/>
  <c r="W37" i="558" s="1"/>
  <c r="Y37" i="558" s="1"/>
  <c r="BB46" i="475"/>
  <c r="BE46" i="474"/>
  <c r="E75" i="527"/>
  <c r="BD85" i="473"/>
  <c r="B85" i="527"/>
  <c r="B46" i="475"/>
  <c r="G37" i="472"/>
  <c r="U37" i="472" s="1"/>
  <c r="W37" i="472" s="1"/>
  <c r="Y37" i="472" s="1"/>
  <c r="G46" i="472"/>
  <c r="U46" i="472" s="1"/>
  <c r="W46" i="472" s="1"/>
  <c r="Y46" i="472" s="1"/>
  <c r="BA46" i="475"/>
  <c r="I75" i="527"/>
  <c r="B102" i="526"/>
  <c r="B96" i="474"/>
  <c r="Y102" i="536"/>
  <c r="AC102" i="536"/>
  <c r="AB102" i="536"/>
  <c r="AC82" i="473"/>
  <c r="B75" i="527"/>
  <c r="AE46" i="539"/>
  <c r="AB95" i="558"/>
  <c r="H102" i="536"/>
  <c r="U102" i="536" s="1"/>
  <c r="Z102" i="536" s="1"/>
  <c r="V102" i="471" s="1"/>
  <c r="BA102" i="536"/>
  <c r="BC81" i="474"/>
  <c r="B102" i="536"/>
  <c r="D79" i="527"/>
  <c r="AC82" i="471"/>
  <c r="U79" i="536"/>
  <c r="W79" i="536" s="1"/>
  <c r="W46" i="474"/>
  <c r="BB86" i="475"/>
  <c r="G87" i="472"/>
  <c r="U87" i="472" s="1"/>
  <c r="W87" i="472" s="1"/>
  <c r="Y87" i="472" s="1"/>
  <c r="BB37" i="536"/>
  <c r="BA37" i="536"/>
  <c r="B75" i="558"/>
  <c r="B37" i="536"/>
  <c r="AB75" i="558"/>
  <c r="G69" i="472"/>
  <c r="AC75" i="558"/>
  <c r="B75" i="526"/>
  <c r="B73" i="474"/>
  <c r="AD98" i="474"/>
  <c r="AB84" i="475"/>
  <c r="AB84" i="473"/>
  <c r="AC84" i="473"/>
  <c r="BB75" i="473"/>
  <c r="AB80" i="471"/>
  <c r="B84" i="473"/>
  <c r="B82" i="472"/>
  <c r="AB102" i="473"/>
  <c r="AC56" i="475"/>
  <c r="B75" i="536"/>
  <c r="U79" i="476"/>
  <c r="W79" i="476" s="1"/>
  <c r="Y79" i="476" s="1"/>
  <c r="BC86" i="474"/>
  <c r="B93" i="471"/>
  <c r="Y80" i="472"/>
  <c r="B92" i="472"/>
  <c r="H75" i="536"/>
  <c r="AC81" i="471"/>
  <c r="B67" i="473"/>
  <c r="AD86" i="474"/>
  <c r="AC95" i="536"/>
  <c r="BB102" i="473"/>
  <c r="B95" i="471"/>
  <c r="AC75" i="472"/>
  <c r="AC102" i="473"/>
  <c r="AE86" i="474"/>
  <c r="B43" i="475"/>
  <c r="BC37" i="522"/>
  <c r="BB75" i="536"/>
  <c r="Y75" i="536"/>
  <c r="BC75" i="473"/>
  <c r="AF79" i="539"/>
  <c r="U86" i="558"/>
  <c r="W86" i="558" s="1"/>
  <c r="Y86" i="558" s="1"/>
  <c r="Y95" i="536"/>
  <c r="B102" i="522"/>
  <c r="BD102" i="473"/>
  <c r="B61" i="471"/>
  <c r="Z61" i="471"/>
  <c r="E61" i="370" s="1"/>
  <c r="AI61" i="370" s="1"/>
  <c r="B82" i="473"/>
  <c r="AC98" i="473"/>
  <c r="U102" i="473"/>
  <c r="W102" i="473" s="1"/>
  <c r="Y102" i="473" s="1"/>
  <c r="Y43" i="475"/>
  <c r="B37" i="522"/>
  <c r="AB75" i="536"/>
  <c r="BA75" i="473"/>
  <c r="B79" i="539"/>
  <c r="BC102" i="522"/>
  <c r="BA102" i="473"/>
  <c r="B82" i="471"/>
  <c r="B78" i="471"/>
  <c r="AB82" i="473"/>
  <c r="B102" i="473"/>
  <c r="B86" i="474"/>
  <c r="BA75" i="536"/>
  <c r="AB79" i="476"/>
  <c r="AB95" i="536"/>
  <c r="C46" i="528"/>
  <c r="AC46" i="528" s="1"/>
  <c r="U46" i="558"/>
  <c r="W46" i="558" s="1"/>
  <c r="Y46" i="558" s="1"/>
  <c r="B46" i="527"/>
  <c r="B46" i="526"/>
  <c r="B46" i="558"/>
  <c r="I46" i="527"/>
  <c r="AC46" i="558"/>
  <c r="W59" i="474"/>
  <c r="Z80" i="471"/>
  <c r="E80" i="370" s="1"/>
  <c r="AI80" i="370" s="1"/>
  <c r="AB57" i="473"/>
  <c r="B76" i="473"/>
  <c r="B80" i="475"/>
  <c r="AB67" i="473"/>
  <c r="U95" i="472"/>
  <c r="W95" i="472" s="1"/>
  <c r="Y95" i="472" s="1"/>
  <c r="AC67" i="473"/>
  <c r="AD73" i="474"/>
  <c r="B80" i="474"/>
  <c r="Y80" i="475"/>
  <c r="BB56" i="475"/>
  <c r="Y80" i="471"/>
  <c r="B78" i="474"/>
  <c r="AE80" i="474"/>
  <c r="B56" i="475"/>
  <c r="B84" i="475"/>
  <c r="Z48" i="522"/>
  <c r="W73" i="474"/>
  <c r="Y73" i="474" s="1"/>
  <c r="AA73" i="474" s="1"/>
  <c r="BA47" i="536"/>
  <c r="AC79" i="476"/>
  <c r="AC61" i="475"/>
  <c r="BB75" i="522"/>
  <c r="B92" i="471"/>
  <c r="AC45" i="473"/>
  <c r="AC37" i="475"/>
  <c r="U37" i="476"/>
  <c r="W37" i="476" s="1"/>
  <c r="Y37" i="476" s="1"/>
  <c r="G37" i="471"/>
  <c r="U37" i="471" s="1"/>
  <c r="B37" i="539"/>
  <c r="AB37" i="476"/>
  <c r="B37" i="473"/>
  <c r="AE37" i="539"/>
  <c r="BA37" i="475"/>
  <c r="Y37" i="536"/>
  <c r="AC37" i="536"/>
  <c r="BC37" i="473"/>
  <c r="AC37" i="476"/>
  <c r="BD37" i="474"/>
  <c r="AB37" i="473"/>
  <c r="B37" i="475"/>
  <c r="BB37" i="475"/>
  <c r="AD37" i="521"/>
  <c r="AE37" i="521"/>
  <c r="B75" i="476"/>
  <c r="AD81" i="474"/>
  <c r="AE81" i="474"/>
  <c r="U81" i="476"/>
  <c r="W81" i="476" s="1"/>
  <c r="Y81" i="476" s="1"/>
  <c r="BD81" i="474"/>
  <c r="BA48" i="473"/>
  <c r="AB86" i="536"/>
  <c r="AC86" i="536"/>
  <c r="AE39" i="539"/>
  <c r="I48" i="526"/>
  <c r="G95" i="471"/>
  <c r="U95" i="471" s="1"/>
  <c r="W87" i="474"/>
  <c r="Y87" i="474" s="1"/>
  <c r="AA87" i="474" s="1"/>
  <c r="B75" i="522"/>
  <c r="AC75" i="476"/>
  <c r="U75" i="476"/>
  <c r="W75" i="476" s="1"/>
  <c r="Y75" i="476" s="1"/>
  <c r="U102" i="471"/>
  <c r="W102" i="536"/>
  <c r="U102" i="476"/>
  <c r="B102" i="476"/>
  <c r="BC102" i="474"/>
  <c r="S102" i="469"/>
  <c r="BF102" i="474"/>
  <c r="AB102" i="476"/>
  <c r="BB102" i="475"/>
  <c r="BA102" i="475"/>
  <c r="G102" i="469"/>
  <c r="G102" i="472" s="1"/>
  <c r="U102" i="472" s="1"/>
  <c r="W102" i="476"/>
  <c r="Y102" i="476" s="1"/>
  <c r="BD102" i="474"/>
  <c r="AC102" i="476"/>
  <c r="Y102" i="558"/>
  <c r="W102" i="474"/>
  <c r="C102" i="528"/>
  <c r="B102" i="528" s="1"/>
  <c r="B102" i="558"/>
  <c r="B102" i="527"/>
  <c r="I102" i="527"/>
  <c r="U102" i="558"/>
  <c r="B102" i="521"/>
  <c r="AB102" i="558"/>
  <c r="G102" i="521"/>
  <c r="D102" i="527" s="1"/>
  <c r="E102" i="527"/>
  <c r="W102" i="558"/>
  <c r="AD102" i="521"/>
  <c r="B100" i="474"/>
  <c r="B100" i="473"/>
  <c r="AB100" i="473"/>
  <c r="AC100" i="473"/>
  <c r="B99" i="474"/>
  <c r="AE99" i="474"/>
  <c r="B98" i="473"/>
  <c r="B97" i="474"/>
  <c r="AE97" i="474"/>
  <c r="AD97" i="474"/>
  <c r="B96" i="471"/>
  <c r="AB96" i="471"/>
  <c r="U95" i="473"/>
  <c r="BC95" i="522"/>
  <c r="BB95" i="522"/>
  <c r="H95" i="536"/>
  <c r="B95" i="536"/>
  <c r="BA95" i="475"/>
  <c r="AC95" i="476"/>
  <c r="U95" i="476"/>
  <c r="W95" i="476" s="1"/>
  <c r="Y95" i="476" s="1"/>
  <c r="BC95" i="473"/>
  <c r="AB95" i="476"/>
  <c r="AC95" i="558"/>
  <c r="C95" i="528"/>
  <c r="AC95" i="528" s="1"/>
  <c r="U95" i="558"/>
  <c r="W95" i="558" s="1"/>
  <c r="Y95" i="558" s="1"/>
  <c r="BB95" i="475"/>
  <c r="BA95" i="536"/>
  <c r="BD95" i="473"/>
  <c r="BB95" i="473"/>
  <c r="B95" i="522"/>
  <c r="BA95" i="473"/>
  <c r="E95" i="527"/>
  <c r="B95" i="521"/>
  <c r="W95" i="474"/>
  <c r="Y95" i="474" s="1"/>
  <c r="AA95" i="474" s="1"/>
  <c r="AD95" i="521"/>
  <c r="BF95" i="474"/>
  <c r="BE95" i="474"/>
  <c r="I95" i="527"/>
  <c r="G95" i="521"/>
  <c r="BC95" i="474"/>
  <c r="B95" i="539"/>
  <c r="G95" i="526"/>
  <c r="H95" i="526" s="1"/>
  <c r="AE95" i="539"/>
  <c r="B95" i="526"/>
  <c r="B94" i="473"/>
  <c r="AB94" i="473"/>
  <c r="B60" i="471"/>
  <c r="AB99" i="471"/>
  <c r="B93" i="472"/>
  <c r="AB93" i="472"/>
  <c r="AC81" i="473"/>
  <c r="AC94" i="473"/>
  <c r="B38" i="522"/>
  <c r="C39" i="528"/>
  <c r="C39" i="529" s="1"/>
  <c r="C39" i="530" s="1"/>
  <c r="C39" i="531" s="1"/>
  <c r="E37" i="527"/>
  <c r="B37" i="558"/>
  <c r="AD79" i="521"/>
  <c r="AE102" i="539"/>
  <c r="AC93" i="472"/>
  <c r="B97" i="472"/>
  <c r="AC97" i="472"/>
  <c r="AC89" i="473"/>
  <c r="AC93" i="473"/>
  <c r="B96" i="473"/>
  <c r="AB96" i="473"/>
  <c r="B94" i="474"/>
  <c r="AE94" i="474"/>
  <c r="B101" i="474"/>
  <c r="AE101" i="474"/>
  <c r="AB103" i="475"/>
  <c r="AB37" i="558"/>
  <c r="BB75" i="475"/>
  <c r="AC89" i="471"/>
  <c r="W68" i="474"/>
  <c r="B98" i="474"/>
  <c r="AC72" i="475"/>
  <c r="B75" i="475"/>
  <c r="BA75" i="475"/>
  <c r="AC79" i="536"/>
  <c r="B102" i="539"/>
  <c r="B92" i="474"/>
  <c r="AD92" i="474"/>
  <c r="AC91" i="471"/>
  <c r="AD91" i="474"/>
  <c r="B91" i="471"/>
  <c r="B91" i="474"/>
  <c r="AE91" i="474"/>
  <c r="B92" i="539"/>
  <c r="AE92" i="539"/>
  <c r="AF92" i="539"/>
  <c r="B98" i="522"/>
  <c r="BB98" i="522"/>
  <c r="BC98" i="522"/>
  <c r="B98" i="526"/>
  <c r="G98" i="526"/>
  <c r="H98" i="526" s="1"/>
  <c r="U93" i="476"/>
  <c r="W93" i="476" s="1"/>
  <c r="Y93" i="476" s="1"/>
  <c r="B93" i="476"/>
  <c r="AB93" i="476"/>
  <c r="AC93" i="476"/>
  <c r="H93" i="536"/>
  <c r="U93" i="536" s="1"/>
  <c r="W93" i="536" s="1"/>
  <c r="AB93" i="536"/>
  <c r="AC93" i="536"/>
  <c r="B93" i="536"/>
  <c r="BB93" i="536"/>
  <c r="BA93" i="536"/>
  <c r="Y93" i="536"/>
  <c r="U99" i="473"/>
  <c r="BA99" i="473"/>
  <c r="BB99" i="473"/>
  <c r="BD99" i="473"/>
  <c r="BC99" i="473"/>
  <c r="AB99" i="536"/>
  <c r="BA99" i="536"/>
  <c r="Y99" i="536"/>
  <c r="BB99" i="536"/>
  <c r="U99" i="536"/>
  <c r="W99" i="536" s="1"/>
  <c r="B99" i="536"/>
  <c r="H99" i="536"/>
  <c r="AC99" i="536"/>
  <c r="G94" i="471"/>
  <c r="U94" i="471" s="1"/>
  <c r="AE94" i="521"/>
  <c r="B94" i="521"/>
  <c r="G94" i="521"/>
  <c r="F94" i="522" s="1"/>
  <c r="AD94" i="521"/>
  <c r="B103" i="526"/>
  <c r="G103" i="526"/>
  <c r="H103" i="526"/>
  <c r="B103" i="536"/>
  <c r="BB103" i="536"/>
  <c r="BA103" i="536"/>
  <c r="Y103" i="536"/>
  <c r="AB103" i="536"/>
  <c r="H103" i="536"/>
  <c r="U103" i="536" s="1"/>
  <c r="AC103" i="536"/>
  <c r="B101" i="526"/>
  <c r="G101" i="526"/>
  <c r="H101" i="526" s="1"/>
  <c r="G97" i="469"/>
  <c r="G97" i="472" s="1"/>
  <c r="U97" i="472" s="1"/>
  <c r="W97" i="472" s="1"/>
  <c r="Y97" i="472" s="1"/>
  <c r="AC96" i="472"/>
  <c r="B87" i="474"/>
  <c r="AD100" i="474"/>
  <c r="B53" i="521"/>
  <c r="G75" i="472"/>
  <c r="U75" i="472" s="1"/>
  <c r="W75" i="472" s="1"/>
  <c r="Y75" i="472" s="1"/>
  <c r="U92" i="473"/>
  <c r="BA92" i="473"/>
  <c r="BD92" i="473"/>
  <c r="BB92" i="473"/>
  <c r="BC92" i="473"/>
  <c r="G92" i="471"/>
  <c r="U92" i="471" s="1"/>
  <c r="G92" i="469"/>
  <c r="G92" i="472" s="1"/>
  <c r="U92" i="472" s="1"/>
  <c r="W92" i="472" s="1"/>
  <c r="Y92" i="472" s="1"/>
  <c r="AC96" i="476"/>
  <c r="U96" i="476"/>
  <c r="W96" i="476" s="1"/>
  <c r="Y96" i="476" s="1"/>
  <c r="B96" i="476"/>
  <c r="AB96" i="476"/>
  <c r="BC96" i="522"/>
  <c r="B96" i="522"/>
  <c r="BB96" i="522"/>
  <c r="AC96" i="536"/>
  <c r="BA96" i="536"/>
  <c r="BB96" i="536"/>
  <c r="Y96" i="536"/>
  <c r="AB96" i="536"/>
  <c r="H96" i="536"/>
  <c r="U96" i="536" s="1"/>
  <c r="B96" i="536"/>
  <c r="AD96" i="521"/>
  <c r="AE96" i="521"/>
  <c r="B96" i="521"/>
  <c r="G96" i="521"/>
  <c r="D96" i="527" s="1"/>
  <c r="AE98" i="539"/>
  <c r="B98" i="539"/>
  <c r="AF98" i="539"/>
  <c r="U98" i="473"/>
  <c r="BC98" i="473"/>
  <c r="BA98" i="473"/>
  <c r="BD98" i="473"/>
  <c r="BB98" i="473"/>
  <c r="I98" i="527"/>
  <c r="B98" i="527"/>
  <c r="E98" i="527"/>
  <c r="C98" i="528"/>
  <c r="AB98" i="476"/>
  <c r="U98" i="476"/>
  <c r="W98" i="476" s="1"/>
  <c r="Y98" i="476" s="1"/>
  <c r="B98" i="476"/>
  <c r="AC98" i="476"/>
  <c r="G93" i="475"/>
  <c r="BB93" i="475"/>
  <c r="BA93" i="475"/>
  <c r="U93" i="558"/>
  <c r="W93" i="558" s="1"/>
  <c r="Y93" i="558" s="1"/>
  <c r="AB93" i="558"/>
  <c r="AC93" i="558"/>
  <c r="B93" i="558"/>
  <c r="C93" i="528"/>
  <c r="E93" i="527"/>
  <c r="I93" i="527"/>
  <c r="B93" i="527"/>
  <c r="B99" i="476"/>
  <c r="U99" i="476"/>
  <c r="W99" i="476" s="1"/>
  <c r="Y99" i="476" s="1"/>
  <c r="AB99" i="476"/>
  <c r="AC99" i="476"/>
  <c r="B99" i="521"/>
  <c r="G99" i="521"/>
  <c r="AE99" i="521"/>
  <c r="AD99" i="521"/>
  <c r="AE99" i="539"/>
  <c r="AF99" i="539"/>
  <c r="B99" i="539"/>
  <c r="E99" i="527"/>
  <c r="C99" i="528"/>
  <c r="B99" i="527"/>
  <c r="I99" i="527"/>
  <c r="AB94" i="558"/>
  <c r="U94" i="558"/>
  <c r="W94" i="558" s="1"/>
  <c r="Y94" i="558" s="1"/>
  <c r="AC94" i="558"/>
  <c r="B94" i="558"/>
  <c r="G94" i="526"/>
  <c r="H94" i="526" s="1"/>
  <c r="B94" i="526"/>
  <c r="AE94" i="539"/>
  <c r="B94" i="539"/>
  <c r="AF94" i="539"/>
  <c r="AC94" i="476"/>
  <c r="U94" i="476"/>
  <c r="W94" i="476" s="1"/>
  <c r="Y94" i="476" s="1"/>
  <c r="B94" i="476"/>
  <c r="AB94" i="476"/>
  <c r="AB103" i="558"/>
  <c r="AC103" i="558"/>
  <c r="U103" i="558"/>
  <c r="W103" i="558" s="1"/>
  <c r="Y103" i="558" s="1"/>
  <c r="Z103" i="558" s="1"/>
  <c r="K103" i="370" s="1"/>
  <c r="AO103" i="370" s="1"/>
  <c r="B103" i="558"/>
  <c r="U103" i="476"/>
  <c r="W103" i="476" s="1"/>
  <c r="Y103" i="476" s="1"/>
  <c r="Z103" i="476" s="1"/>
  <c r="J103" i="370" s="1"/>
  <c r="AN103" i="370" s="1"/>
  <c r="B103" i="476"/>
  <c r="AC103" i="476"/>
  <c r="AB103" i="476"/>
  <c r="AF103" i="539"/>
  <c r="B103" i="539"/>
  <c r="AE103" i="539"/>
  <c r="C101" i="528"/>
  <c r="D101" i="527"/>
  <c r="E101" i="527"/>
  <c r="B101" i="527"/>
  <c r="I101" i="527"/>
  <c r="U101" i="558"/>
  <c r="W101" i="558" s="1"/>
  <c r="Y101" i="558" s="1"/>
  <c r="AB101" i="558"/>
  <c r="AC101" i="558"/>
  <c r="B101" i="558"/>
  <c r="B101" i="521"/>
  <c r="AE101" i="521"/>
  <c r="G101" i="521"/>
  <c r="AD101" i="521"/>
  <c r="B101" i="522"/>
  <c r="BC101" i="522"/>
  <c r="BB101" i="522"/>
  <c r="F101" i="522"/>
  <c r="U97" i="476"/>
  <c r="W97" i="476" s="1"/>
  <c r="Y97" i="476" s="1"/>
  <c r="B97" i="476"/>
  <c r="AB97" i="476"/>
  <c r="AC97" i="476"/>
  <c r="BC97" i="522"/>
  <c r="B97" i="522"/>
  <c r="BB97" i="522"/>
  <c r="G96" i="526"/>
  <c r="H96" i="526" s="1"/>
  <c r="B96" i="526"/>
  <c r="BD96" i="474"/>
  <c r="BF96" i="474"/>
  <c r="W96" i="474"/>
  <c r="Y96" i="474" s="1"/>
  <c r="AA96" i="474" s="1"/>
  <c r="BE96" i="474"/>
  <c r="BC96" i="474"/>
  <c r="B98" i="558"/>
  <c r="U98" i="558"/>
  <c r="W98" i="558" s="1"/>
  <c r="Y98" i="558" s="1"/>
  <c r="AB98" i="558"/>
  <c r="AC98" i="558"/>
  <c r="BD93" i="474"/>
  <c r="BE93" i="474"/>
  <c r="BF93" i="474"/>
  <c r="BC93" i="474"/>
  <c r="W93" i="474"/>
  <c r="Y93" i="474" s="1"/>
  <c r="AA93" i="474" s="1"/>
  <c r="BC93" i="522"/>
  <c r="BB93" i="522"/>
  <c r="B93" i="522"/>
  <c r="BC99" i="522"/>
  <c r="BB99" i="522"/>
  <c r="B99" i="522"/>
  <c r="G99" i="526"/>
  <c r="H99" i="526" s="1"/>
  <c r="B99" i="526"/>
  <c r="B94" i="522"/>
  <c r="BB94" i="522"/>
  <c r="BC94" i="522"/>
  <c r="BA94" i="536"/>
  <c r="H94" i="536"/>
  <c r="U94" i="536" s="1"/>
  <c r="Z94" i="536" s="1"/>
  <c r="B94" i="536"/>
  <c r="AB94" i="536"/>
  <c r="Y94" i="536"/>
  <c r="BB94" i="536"/>
  <c r="AC94" i="536"/>
  <c r="AD103" i="521"/>
  <c r="AE103" i="521"/>
  <c r="B103" i="521"/>
  <c r="G103" i="521"/>
  <c r="F103" i="522"/>
  <c r="BC103" i="522"/>
  <c r="BB103" i="522"/>
  <c r="B103" i="522"/>
  <c r="B101" i="536"/>
  <c r="AC101" i="536"/>
  <c r="BA101" i="536"/>
  <c r="AB101" i="536"/>
  <c r="H101" i="536"/>
  <c r="U101" i="536" s="1"/>
  <c r="Y101" i="536"/>
  <c r="BB101" i="536"/>
  <c r="G97" i="526"/>
  <c r="H97" i="526" s="1"/>
  <c r="B97" i="526"/>
  <c r="G97" i="471"/>
  <c r="U97" i="471" s="1"/>
  <c r="AB34" i="471"/>
  <c r="B63" i="471"/>
  <c r="AD96" i="474"/>
  <c r="H86" i="536"/>
  <c r="U86" i="536" s="1"/>
  <c r="W86" i="536" s="1"/>
  <c r="BD92" i="474"/>
  <c r="BF92" i="474"/>
  <c r="BE92" i="474"/>
  <c r="BC92" i="474"/>
  <c r="W92" i="474"/>
  <c r="Y92" i="474" s="1"/>
  <c r="AA92" i="474" s="1"/>
  <c r="U97" i="473"/>
  <c r="BD97" i="473"/>
  <c r="BC97" i="473"/>
  <c r="BA97" i="473"/>
  <c r="BB97" i="473"/>
  <c r="AB72" i="471"/>
  <c r="B80" i="471"/>
  <c r="AC80" i="471"/>
  <c r="AB92" i="471"/>
  <c r="B75" i="472"/>
  <c r="B78" i="472"/>
  <c r="AB89" i="472"/>
  <c r="AB72" i="473"/>
  <c r="AB76" i="473"/>
  <c r="AC86" i="473"/>
  <c r="B92" i="473"/>
  <c r="AB92" i="473"/>
  <c r="AC97" i="473"/>
  <c r="AB61" i="474"/>
  <c r="H61" i="370" s="1"/>
  <c r="AL61" i="370" s="1"/>
  <c r="AE79" i="474"/>
  <c r="W81" i="474"/>
  <c r="AD87" i="474"/>
  <c r="B93" i="474"/>
  <c r="AE93" i="474"/>
  <c r="B59" i="475"/>
  <c r="AC80" i="475"/>
  <c r="C48" i="528"/>
  <c r="J48" i="528" s="1"/>
  <c r="BF81" i="474"/>
  <c r="BB86" i="536"/>
  <c r="B86" i="536"/>
  <c r="B92" i="521"/>
  <c r="AD92" i="521"/>
  <c r="AE92" i="521"/>
  <c r="G92" i="521"/>
  <c r="D92" i="527" s="1"/>
  <c r="G92" i="475"/>
  <c r="BA92" i="475"/>
  <c r="BB92" i="475"/>
  <c r="G96" i="471"/>
  <c r="U96" i="471" s="1"/>
  <c r="B96" i="558"/>
  <c r="U96" i="558"/>
  <c r="W96" i="558" s="1"/>
  <c r="Y96" i="558" s="1"/>
  <c r="AC96" i="558"/>
  <c r="AB96" i="558"/>
  <c r="E96" i="527"/>
  <c r="C96" i="528"/>
  <c r="I96" i="527"/>
  <c r="B96" i="527"/>
  <c r="G98" i="475"/>
  <c r="BA98" i="475"/>
  <c r="BB98" i="475"/>
  <c r="B93" i="526"/>
  <c r="G93" i="526"/>
  <c r="H93" i="526" s="1"/>
  <c r="G93" i="469"/>
  <c r="G93" i="472" s="1"/>
  <c r="U93" i="472" s="1"/>
  <c r="W93" i="472" s="1"/>
  <c r="Y93" i="472" s="1"/>
  <c r="G93" i="471"/>
  <c r="U93" i="471" s="1"/>
  <c r="G99" i="472"/>
  <c r="U99" i="472" s="1"/>
  <c r="W99" i="472" s="1"/>
  <c r="Y99" i="472" s="1"/>
  <c r="U99" i="558"/>
  <c r="W99" i="558" s="1"/>
  <c r="Y99" i="558" s="1"/>
  <c r="AB99" i="558"/>
  <c r="AC99" i="558"/>
  <c r="B99" i="558"/>
  <c r="BD99" i="474"/>
  <c r="BE99" i="474"/>
  <c r="W99" i="474"/>
  <c r="BF99" i="474"/>
  <c r="BC99" i="474"/>
  <c r="G94" i="475"/>
  <c r="BA94" i="475"/>
  <c r="BB94" i="475"/>
  <c r="C94" i="528"/>
  <c r="B94" i="527"/>
  <c r="I94" i="527"/>
  <c r="E94" i="527"/>
  <c r="G103" i="469"/>
  <c r="G103" i="472" s="1"/>
  <c r="U103" i="472" s="1"/>
  <c r="U103" i="471"/>
  <c r="G103" i="471"/>
  <c r="C103" i="528"/>
  <c r="I103" i="527"/>
  <c r="D103" i="527"/>
  <c r="B103" i="527"/>
  <c r="E103" i="527"/>
  <c r="G101" i="469"/>
  <c r="G101" i="472" s="1"/>
  <c r="U101" i="472" s="1"/>
  <c r="W101" i="472" s="1"/>
  <c r="Y101" i="472" s="1"/>
  <c r="U101" i="476"/>
  <c r="W101" i="476" s="1"/>
  <c r="Y101" i="476" s="1"/>
  <c r="B101" i="476"/>
  <c r="AC101" i="476"/>
  <c r="AB101" i="476"/>
  <c r="B101" i="539"/>
  <c r="AE101" i="539"/>
  <c r="AF101" i="539"/>
  <c r="G97" i="475"/>
  <c r="BA97" i="475"/>
  <c r="BB97" i="475"/>
  <c r="BD97" i="474"/>
  <c r="BE97" i="474"/>
  <c r="BF97" i="474"/>
  <c r="BC97" i="474"/>
  <c r="W97" i="474"/>
  <c r="Y97" i="474" s="1"/>
  <c r="AA97" i="474" s="1"/>
  <c r="B97" i="558"/>
  <c r="U97" i="558"/>
  <c r="W97" i="558" s="1"/>
  <c r="Y97" i="558" s="1"/>
  <c r="AC97" i="558"/>
  <c r="AB97" i="558"/>
  <c r="G97" i="521"/>
  <c r="AE97" i="521"/>
  <c r="AD97" i="521"/>
  <c r="B97" i="521"/>
  <c r="U92" i="558"/>
  <c r="W92" i="558" s="1"/>
  <c r="Y92" i="558" s="1"/>
  <c r="AC92" i="558"/>
  <c r="B92" i="558"/>
  <c r="AB92" i="558"/>
  <c r="B92" i="476"/>
  <c r="AC92" i="476"/>
  <c r="U92" i="476"/>
  <c r="W92" i="476" s="1"/>
  <c r="Y92" i="476" s="1"/>
  <c r="AB92" i="476"/>
  <c r="H98" i="536"/>
  <c r="U98" i="536" s="1"/>
  <c r="BB98" i="536"/>
  <c r="Y98" i="536"/>
  <c r="AC98" i="536"/>
  <c r="B98" i="536"/>
  <c r="AB98" i="536"/>
  <c r="BA98" i="536"/>
  <c r="H97" i="536"/>
  <c r="U97" i="536" s="1"/>
  <c r="Y97" i="536"/>
  <c r="BB97" i="536"/>
  <c r="BA97" i="536"/>
  <c r="AB97" i="536"/>
  <c r="B97" i="536"/>
  <c r="AC97" i="536"/>
  <c r="B94" i="471"/>
  <c r="AC94" i="471"/>
  <c r="AB97" i="471"/>
  <c r="B101" i="472"/>
  <c r="Y86" i="536"/>
  <c r="G63" i="471"/>
  <c r="AC72" i="471"/>
  <c r="W80" i="471"/>
  <c r="AB96" i="472"/>
  <c r="AC76" i="473"/>
  <c r="AC92" i="473"/>
  <c r="B97" i="473"/>
  <c r="AC99" i="473"/>
  <c r="AE68" i="474"/>
  <c r="B81" i="474"/>
  <c r="AE87" i="474"/>
  <c r="AD93" i="474"/>
  <c r="AC50" i="475"/>
  <c r="Z80" i="475"/>
  <c r="I80" i="370" s="1"/>
  <c r="AM80" i="370" s="1"/>
  <c r="AD42" i="521"/>
  <c r="Z48" i="526"/>
  <c r="D48" i="539" s="1"/>
  <c r="AC92" i="536"/>
  <c r="H92" i="536"/>
  <c r="U92" i="536" s="1"/>
  <c r="Y92" i="536"/>
  <c r="BA92" i="536"/>
  <c r="B92" i="536"/>
  <c r="AB92" i="536"/>
  <c r="BB92" i="536"/>
  <c r="B92" i="527"/>
  <c r="E92" i="527"/>
  <c r="I92" i="527"/>
  <c r="C92" i="528"/>
  <c r="B92" i="522"/>
  <c r="BC92" i="522"/>
  <c r="BB92" i="522"/>
  <c r="G92" i="526"/>
  <c r="H92" i="526" s="1"/>
  <c r="B92" i="526"/>
  <c r="G96" i="475"/>
  <c r="BB96" i="475"/>
  <c r="BA96" i="475"/>
  <c r="U96" i="473"/>
  <c r="BA96" i="473"/>
  <c r="BD96" i="473"/>
  <c r="BB96" i="473"/>
  <c r="BC96" i="473"/>
  <c r="AF96" i="539"/>
  <c r="AE96" i="539"/>
  <c r="B96" i="539"/>
  <c r="G96" i="469"/>
  <c r="G96" i="472" s="1"/>
  <c r="U96" i="472" s="1"/>
  <c r="W96" i="472" s="1"/>
  <c r="Y96" i="472" s="1"/>
  <c r="BD98" i="474"/>
  <c r="BF98" i="474"/>
  <c r="W98" i="474"/>
  <c r="Y98" i="474" s="1"/>
  <c r="AA98" i="474" s="1"/>
  <c r="BE98" i="474"/>
  <c r="BC98" i="474"/>
  <c r="G98" i="521"/>
  <c r="D98" i="527" s="1"/>
  <c r="AD98" i="521"/>
  <c r="AE98" i="521"/>
  <c r="B98" i="521"/>
  <c r="G98" i="471"/>
  <c r="U98" i="471" s="1"/>
  <c r="G98" i="469"/>
  <c r="G98" i="472" s="1"/>
  <c r="U98" i="472" s="1"/>
  <c r="W98" i="472" s="1"/>
  <c r="Y98" i="472" s="1"/>
  <c r="AE93" i="539"/>
  <c r="B93" i="539"/>
  <c r="AF93" i="539"/>
  <c r="AD93" i="521"/>
  <c r="B93" i="521"/>
  <c r="G93" i="521"/>
  <c r="F93" i="522" s="1"/>
  <c r="AE93" i="521"/>
  <c r="U93" i="473"/>
  <c r="BA93" i="473"/>
  <c r="BB93" i="473"/>
  <c r="BD93" i="473"/>
  <c r="BC93" i="473"/>
  <c r="G99" i="471"/>
  <c r="U99" i="471" s="1"/>
  <c r="S99" i="469"/>
  <c r="G99" i="469"/>
  <c r="G99" i="475"/>
  <c r="BB99" i="475"/>
  <c r="BA99" i="475"/>
  <c r="BD94" i="474"/>
  <c r="W94" i="474"/>
  <c r="Y94" i="474" s="1"/>
  <c r="AA94" i="474" s="1"/>
  <c r="BE94" i="474"/>
  <c r="BF94" i="474"/>
  <c r="BC94" i="474"/>
  <c r="U94" i="473"/>
  <c r="BC94" i="473"/>
  <c r="BA94" i="473"/>
  <c r="BD94" i="473"/>
  <c r="BB94" i="473"/>
  <c r="G94" i="469"/>
  <c r="G94" i="472" s="1"/>
  <c r="U94" i="472" s="1"/>
  <c r="W94" i="472" s="1"/>
  <c r="Y94" i="472" s="1"/>
  <c r="BD103" i="474"/>
  <c r="BE103" i="474"/>
  <c r="BF103" i="474"/>
  <c r="BC103" i="474"/>
  <c r="W103" i="474"/>
  <c r="Y103" i="474" s="1"/>
  <c r="AA103" i="474" s="1"/>
  <c r="AB103" i="474" s="1"/>
  <c r="H103" i="370" s="1"/>
  <c r="AL103" i="370" s="1"/>
  <c r="U103" i="473"/>
  <c r="BD103" i="473"/>
  <c r="BC103" i="473"/>
  <c r="BA103" i="473"/>
  <c r="BB103" i="473"/>
  <c r="G103" i="475"/>
  <c r="BA103" i="475"/>
  <c r="BB103" i="475"/>
  <c r="G101" i="471"/>
  <c r="U101" i="471" s="1"/>
  <c r="G101" i="475"/>
  <c r="BB101" i="475"/>
  <c r="BA101" i="475"/>
  <c r="U101" i="473"/>
  <c r="BA101" i="473"/>
  <c r="BB101" i="473"/>
  <c r="BD101" i="473"/>
  <c r="BC101" i="473"/>
  <c r="BD101" i="474"/>
  <c r="BE101" i="474"/>
  <c r="W101" i="474"/>
  <c r="BF101" i="474"/>
  <c r="BC101" i="474"/>
  <c r="AE97" i="539"/>
  <c r="B97" i="539"/>
  <c r="AF97" i="539"/>
  <c r="B97" i="527"/>
  <c r="C97" i="528"/>
  <c r="I97" i="527"/>
  <c r="E97" i="527"/>
  <c r="BD100" i="474"/>
  <c r="BE100" i="474"/>
  <c r="BF100" i="474"/>
  <c r="BC100" i="474"/>
  <c r="W100" i="474"/>
  <c r="H100" i="536"/>
  <c r="U100" i="536"/>
  <c r="W100" i="536" s="1"/>
  <c r="BA100" i="536"/>
  <c r="AB100" i="536"/>
  <c r="Y100" i="536"/>
  <c r="BB100" i="536"/>
  <c r="AC100" i="536"/>
  <c r="B100" i="536"/>
  <c r="G100" i="526"/>
  <c r="H100" i="526" s="1"/>
  <c r="B100" i="526"/>
  <c r="G100" i="475"/>
  <c r="BB100" i="475"/>
  <c r="BA100" i="475"/>
  <c r="AE100" i="521"/>
  <c r="AD100" i="521"/>
  <c r="G100" i="521"/>
  <c r="B100" i="521"/>
  <c r="U100" i="558"/>
  <c r="W100" i="558" s="1"/>
  <c r="Y100" i="558" s="1"/>
  <c r="AB100" i="558"/>
  <c r="AC100" i="558"/>
  <c r="B100" i="558"/>
  <c r="E100" i="527"/>
  <c r="C100" i="528"/>
  <c r="I100" i="527"/>
  <c r="B100" i="527"/>
  <c r="D100" i="527"/>
  <c r="BC100" i="522"/>
  <c r="BB100" i="522"/>
  <c r="F100" i="522"/>
  <c r="B100" i="522"/>
  <c r="B100" i="539"/>
  <c r="AE100" i="539"/>
  <c r="AF100" i="539"/>
  <c r="G100" i="471"/>
  <c r="U100" i="471" s="1"/>
  <c r="U100" i="473"/>
  <c r="BA100" i="473"/>
  <c r="BD100" i="473"/>
  <c r="BB100" i="473"/>
  <c r="BC100" i="473"/>
  <c r="G100" i="469"/>
  <c r="G100" i="472" s="1"/>
  <c r="U100" i="472" s="1"/>
  <c r="AB100" i="476"/>
  <c r="U100" i="476"/>
  <c r="W100" i="476" s="1"/>
  <c r="Y100" i="476" s="1"/>
  <c r="B100" i="476"/>
  <c r="AC100" i="476"/>
  <c r="B88" i="473"/>
  <c r="AB88" i="473"/>
  <c r="BB88" i="473"/>
  <c r="U88" i="558"/>
  <c r="B88" i="558"/>
  <c r="BD91" i="474"/>
  <c r="AB73" i="472"/>
  <c r="AC73" i="472"/>
  <c r="C73" i="528"/>
  <c r="AC73" i="528" s="1"/>
  <c r="G86" i="526"/>
  <c r="H86" i="526" s="1"/>
  <c r="BA86" i="475"/>
  <c r="AB86" i="473"/>
  <c r="AF48" i="522"/>
  <c r="AI48" i="522" s="1"/>
  <c r="L48" i="522"/>
  <c r="O48" i="522" s="1"/>
  <c r="BB49" i="475"/>
  <c r="G49" i="475"/>
  <c r="BB58" i="475"/>
  <c r="BB59" i="475"/>
  <c r="G59" i="475"/>
  <c r="B64" i="475"/>
  <c r="G64" i="475"/>
  <c r="T48" i="475"/>
  <c r="G48" i="475"/>
  <c r="B61" i="475"/>
  <c r="G61" i="475"/>
  <c r="BA39" i="475"/>
  <c r="G39" i="475"/>
  <c r="B73" i="539"/>
  <c r="BB72" i="475"/>
  <c r="G72" i="475"/>
  <c r="BA79" i="536"/>
  <c r="AB79" i="536"/>
  <c r="AE79" i="521"/>
  <c r="BA79" i="475"/>
  <c r="G79" i="475"/>
  <c r="BA89" i="475"/>
  <c r="G89" i="475"/>
  <c r="AT48" i="522"/>
  <c r="BA54" i="475"/>
  <c r="G54" i="475"/>
  <c r="U43" i="475"/>
  <c r="G43" i="475"/>
  <c r="BA51" i="475"/>
  <c r="G51" i="475"/>
  <c r="BA38" i="475"/>
  <c r="BB40" i="475"/>
  <c r="G40" i="475"/>
  <c r="BB68" i="475"/>
  <c r="G68" i="475"/>
  <c r="BA70" i="475"/>
  <c r="G70" i="475"/>
  <c r="AD73" i="521"/>
  <c r="BA76" i="475"/>
  <c r="G76" i="475"/>
  <c r="B79" i="536"/>
  <c r="Y79" i="536"/>
  <c r="B79" i="521"/>
  <c r="BA81" i="473"/>
  <c r="AF86" i="539"/>
  <c r="U82" i="473"/>
  <c r="AC60" i="475"/>
  <c r="G60" i="475"/>
  <c r="B57" i="475"/>
  <c r="Z55" i="475"/>
  <c r="I55" i="370" s="1"/>
  <c r="AM55" i="370" s="1"/>
  <c r="G55" i="475"/>
  <c r="AC44" i="475"/>
  <c r="G44" i="475"/>
  <c r="AC34" i="475"/>
  <c r="AC53" i="475"/>
  <c r="BA83" i="475"/>
  <c r="G83" i="475"/>
  <c r="U48" i="522"/>
  <c r="B35" i="475"/>
  <c r="G35" i="475"/>
  <c r="BA63" i="475"/>
  <c r="G63" i="475"/>
  <c r="BA65" i="475"/>
  <c r="BB67" i="475"/>
  <c r="G67" i="475"/>
  <c r="AF73" i="539"/>
  <c r="BB73" i="475"/>
  <c r="G73" i="475"/>
  <c r="H79" i="536"/>
  <c r="BB87" i="475"/>
  <c r="G73" i="471"/>
  <c r="U73" i="471" s="1"/>
  <c r="BD81" i="473"/>
  <c r="G81" i="526"/>
  <c r="H81" i="526" s="1"/>
  <c r="BB81" i="473"/>
  <c r="AC87" i="471"/>
  <c r="B38" i="471"/>
  <c r="AC89" i="472"/>
  <c r="BE86" i="474"/>
  <c r="AB86" i="558"/>
  <c r="BD86" i="474"/>
  <c r="B86" i="558"/>
  <c r="G89" i="472"/>
  <c r="U89" i="472" s="1"/>
  <c r="W89" i="472" s="1"/>
  <c r="Y89" i="472" s="1"/>
  <c r="W88" i="558"/>
  <c r="Y88" i="558" s="1"/>
  <c r="BB81" i="522"/>
  <c r="B81" i="522"/>
  <c r="B82" i="558"/>
  <c r="B45" i="473"/>
  <c r="B88" i="471"/>
  <c r="AB82" i="472"/>
  <c r="AE89" i="474"/>
  <c r="W48" i="471"/>
  <c r="AB88" i="471"/>
  <c r="B59" i="473"/>
  <c r="Z48" i="471"/>
  <c r="E48" i="370" s="1"/>
  <c r="AI48" i="370" s="1"/>
  <c r="AB88" i="558"/>
  <c r="B49" i="471"/>
  <c r="W39" i="473"/>
  <c r="Y39" i="473" s="1"/>
  <c r="BD82" i="473"/>
  <c r="BC83" i="522"/>
  <c r="AB51" i="473"/>
  <c r="F79" i="522"/>
  <c r="AC88" i="471"/>
  <c r="BC51" i="473"/>
  <c r="BC79" i="522"/>
  <c r="Z80" i="469"/>
  <c r="D80" i="370" s="1"/>
  <c r="AH80" i="370" s="1"/>
  <c r="B79" i="522"/>
  <c r="E86" i="527"/>
  <c r="I86" i="527"/>
  <c r="C41" i="528"/>
  <c r="C41" i="529" s="1"/>
  <c r="AB87" i="558"/>
  <c r="B81" i="472"/>
  <c r="AB81" i="472"/>
  <c r="AB87" i="472"/>
  <c r="BA72" i="473"/>
  <c r="AC87" i="472"/>
  <c r="I79" i="527"/>
  <c r="AV43" i="522"/>
  <c r="D43" i="526" s="1"/>
  <c r="C79" i="528"/>
  <c r="B79" i="528" s="1"/>
  <c r="B88" i="474"/>
  <c r="E79" i="527"/>
  <c r="G81" i="472"/>
  <c r="B73" i="471"/>
  <c r="AD88" i="474"/>
  <c r="BF87" i="474"/>
  <c r="BB72" i="522"/>
  <c r="AC73" i="471"/>
  <c r="AE88" i="474"/>
  <c r="B79" i="526"/>
  <c r="W88" i="474"/>
  <c r="D88" i="527"/>
  <c r="BC86" i="522"/>
  <c r="BD88" i="474"/>
  <c r="B86" i="522"/>
  <c r="BE88" i="474"/>
  <c r="Y49" i="536"/>
  <c r="AB87" i="476"/>
  <c r="Z55" i="471"/>
  <c r="E55" i="370" s="1"/>
  <c r="AI55" i="370" s="1"/>
  <c r="I80" i="527"/>
  <c r="AC87" i="476"/>
  <c r="B72" i="539"/>
  <c r="U80" i="471"/>
  <c r="B55" i="471"/>
  <c r="B79" i="471"/>
  <c r="I89" i="527"/>
  <c r="Y55" i="471"/>
  <c r="B88" i="522"/>
  <c r="E89" i="527"/>
  <c r="G79" i="471"/>
  <c r="U79" i="471" s="1"/>
  <c r="B39" i="558"/>
  <c r="B86" i="527"/>
  <c r="AE86" i="521"/>
  <c r="B68" i="471"/>
  <c r="B76" i="475"/>
  <c r="BE80" i="474"/>
  <c r="B86" i="521"/>
  <c r="BC89" i="522"/>
  <c r="AC76" i="475"/>
  <c r="G80" i="469"/>
  <c r="B39" i="471"/>
  <c r="T80" i="469"/>
  <c r="BA86" i="473"/>
  <c r="AC63" i="475"/>
  <c r="AB54" i="558"/>
  <c r="X43" i="522"/>
  <c r="AA43" i="522" s="1"/>
  <c r="BB89" i="475"/>
  <c r="B76" i="474"/>
  <c r="D43" i="522"/>
  <c r="AD87" i="521"/>
  <c r="AF88" i="539"/>
  <c r="AD76" i="474"/>
  <c r="BC43" i="522"/>
  <c r="B87" i="521"/>
  <c r="B80" i="473"/>
  <c r="AE76" i="474"/>
  <c r="Z80" i="473"/>
  <c r="G80" i="370" s="1"/>
  <c r="AK80" i="370" s="1"/>
  <c r="AB42" i="471"/>
  <c r="AC42" i="471"/>
  <c r="W80" i="473"/>
  <c r="AE73" i="521"/>
  <c r="BE87" i="474"/>
  <c r="AF89" i="539"/>
  <c r="Y80" i="473"/>
  <c r="BD87" i="474"/>
  <c r="AB80" i="473"/>
  <c r="BD89" i="474"/>
  <c r="AC80" i="473"/>
  <c r="B83" i="474"/>
  <c r="Y80" i="526"/>
  <c r="B87" i="527"/>
  <c r="AD83" i="474"/>
  <c r="W76" i="476"/>
  <c r="Y76" i="476" s="1"/>
  <c r="W80" i="558"/>
  <c r="BA89" i="473"/>
  <c r="AB68" i="473"/>
  <c r="AE83" i="474"/>
  <c r="Z80" i="558"/>
  <c r="K80" i="370" s="1"/>
  <c r="AO80" i="370" s="1"/>
  <c r="W83" i="474"/>
  <c r="B87" i="539"/>
  <c r="B51" i="475"/>
  <c r="AF87" i="539"/>
  <c r="AB78" i="536"/>
  <c r="U43" i="522"/>
  <c r="B78" i="476"/>
  <c r="BD83" i="473"/>
  <c r="AB78" i="476"/>
  <c r="BC83" i="473"/>
  <c r="U87" i="476"/>
  <c r="W87" i="476" s="1"/>
  <c r="Y87" i="476" s="1"/>
  <c r="B76" i="471"/>
  <c r="B79" i="472"/>
  <c r="AB79" i="472"/>
  <c r="AB76" i="471"/>
  <c r="AC79" i="472"/>
  <c r="G68" i="526"/>
  <c r="H68" i="526" s="1"/>
  <c r="G76" i="471"/>
  <c r="U76" i="471" s="1"/>
  <c r="AC56" i="536"/>
  <c r="AB64" i="471"/>
  <c r="AB34" i="476"/>
  <c r="BF73" i="474"/>
  <c r="BE73" i="474"/>
  <c r="AB86" i="472"/>
  <c r="Y82" i="536"/>
  <c r="G88" i="472"/>
  <c r="Z43" i="473"/>
  <c r="G43" i="370" s="1"/>
  <c r="AK43" i="370" s="1"/>
  <c r="I57" i="527"/>
  <c r="BA73" i="475"/>
  <c r="AS80" i="522"/>
  <c r="G88" i="521"/>
  <c r="F88" i="522" s="1"/>
  <c r="W43" i="473"/>
  <c r="C57" i="528"/>
  <c r="C57" i="529" s="1"/>
  <c r="AC80" i="522"/>
  <c r="AC81" i="476"/>
  <c r="AD88" i="521"/>
  <c r="B89" i="521"/>
  <c r="AC43" i="473"/>
  <c r="AT80" i="522"/>
  <c r="B81" i="476"/>
  <c r="AE88" i="521"/>
  <c r="E91" i="527"/>
  <c r="AB88" i="472"/>
  <c r="BE78" i="474"/>
  <c r="AB80" i="536"/>
  <c r="AE82" i="521"/>
  <c r="B83" i="536"/>
  <c r="AC87" i="536"/>
  <c r="BF88" i="474"/>
  <c r="B91" i="521"/>
  <c r="G91" i="471"/>
  <c r="U91" i="471" s="1"/>
  <c r="B91" i="527"/>
  <c r="AD91" i="521"/>
  <c r="BC91" i="474"/>
  <c r="C91" i="528"/>
  <c r="B91" i="528" s="1"/>
  <c r="BF91" i="474"/>
  <c r="H91" i="536"/>
  <c r="B91" i="472"/>
  <c r="BA91" i="536"/>
  <c r="B91" i="476"/>
  <c r="AB91" i="472"/>
  <c r="U91" i="476"/>
  <c r="W91" i="476" s="1"/>
  <c r="Y91" i="476" s="1"/>
  <c r="Y91" i="536"/>
  <c r="AB91" i="476"/>
  <c r="BB91" i="536"/>
  <c r="AC91" i="536"/>
  <c r="AB91" i="536"/>
  <c r="W91" i="474"/>
  <c r="Y91" i="474" s="1"/>
  <c r="AA91" i="474" s="1"/>
  <c r="AB91" i="558"/>
  <c r="G91" i="526"/>
  <c r="H91" i="526" s="1"/>
  <c r="BB91" i="475"/>
  <c r="AF91" i="539"/>
  <c r="G91" i="469"/>
  <c r="G91" i="472" s="1"/>
  <c r="U91" i="472" s="1"/>
  <c r="W91" i="472" s="1"/>
  <c r="Y91" i="472" s="1"/>
  <c r="B91" i="539"/>
  <c r="BB91" i="522"/>
  <c r="BC91" i="473"/>
  <c r="AE91" i="539"/>
  <c r="B91" i="522"/>
  <c r="B91" i="558"/>
  <c r="U91" i="558"/>
  <c r="W91" i="558" s="1"/>
  <c r="Y91" i="558" s="1"/>
  <c r="BA91" i="473"/>
  <c r="BA91" i="475"/>
  <c r="B91" i="526"/>
  <c r="BB91" i="473"/>
  <c r="U91" i="473"/>
  <c r="BC91" i="522"/>
  <c r="U81" i="558"/>
  <c r="B81" i="527"/>
  <c r="AC81" i="475"/>
  <c r="B90" i="474"/>
  <c r="AE90" i="474"/>
  <c r="B90" i="472"/>
  <c r="AC90" i="472"/>
  <c r="AB90" i="471"/>
  <c r="G72" i="471"/>
  <c r="U72" i="471" s="1"/>
  <c r="G84" i="471"/>
  <c r="U84" i="471" s="1"/>
  <c r="B90" i="471"/>
  <c r="AC90" i="471"/>
  <c r="AB78" i="472"/>
  <c r="AB90" i="472"/>
  <c r="AB59" i="473"/>
  <c r="Y61" i="473"/>
  <c r="AC88" i="473"/>
  <c r="B90" i="473"/>
  <c r="AB90" i="473"/>
  <c r="AD78" i="474"/>
  <c r="W86" i="474"/>
  <c r="W89" i="474"/>
  <c r="Y89" i="474" s="1"/>
  <c r="AA89" i="474" s="1"/>
  <c r="Y55" i="475"/>
  <c r="B67" i="475"/>
  <c r="U43" i="558"/>
  <c r="M48" i="522"/>
  <c r="AR48" i="522"/>
  <c r="AU48" i="522" s="1"/>
  <c r="AK48" i="522"/>
  <c r="T48" i="522"/>
  <c r="W48" i="522" s="1"/>
  <c r="AC48" i="536"/>
  <c r="BC72" i="473"/>
  <c r="BF78" i="474"/>
  <c r="BB78" i="475"/>
  <c r="G78" i="472"/>
  <c r="U78" i="472" s="1"/>
  <c r="W78" i="472" s="1"/>
  <c r="Y78" i="472" s="1"/>
  <c r="AB79" i="558"/>
  <c r="C80" i="528"/>
  <c r="K80" i="528" s="1"/>
  <c r="AB80" i="558"/>
  <c r="U80" i="558"/>
  <c r="C81" i="528"/>
  <c r="AC81" i="528" s="1"/>
  <c r="BA81" i="475"/>
  <c r="AB82" i="558"/>
  <c r="AD84" i="521"/>
  <c r="BC86" i="473"/>
  <c r="H87" i="536"/>
  <c r="I88" i="527"/>
  <c r="BA88" i="473"/>
  <c r="BC89" i="473"/>
  <c r="AC69" i="472"/>
  <c r="B84" i="472"/>
  <c r="B87" i="472"/>
  <c r="AC59" i="473"/>
  <c r="B86" i="473"/>
  <c r="AE78" i="474"/>
  <c r="B89" i="474"/>
  <c r="B44" i="475"/>
  <c r="AC67" i="475"/>
  <c r="B78" i="475"/>
  <c r="BA44" i="475"/>
  <c r="G47" i="526"/>
  <c r="H47" i="526" s="1"/>
  <c r="I48" i="522"/>
  <c r="AG48" i="522"/>
  <c r="AN48" i="522"/>
  <c r="AQ48" i="522" s="1"/>
  <c r="AW48" i="522"/>
  <c r="G72" i="526"/>
  <c r="H72" i="526" s="1"/>
  <c r="BB72" i="473"/>
  <c r="BD78" i="474"/>
  <c r="BA78" i="475"/>
  <c r="G78" i="526"/>
  <c r="H78" i="526" s="1"/>
  <c r="B80" i="558"/>
  <c r="Y80" i="536"/>
  <c r="AC81" i="558"/>
  <c r="AF81" i="539"/>
  <c r="AC82" i="558"/>
  <c r="B82" i="521"/>
  <c r="BD86" i="473"/>
  <c r="B87" i="526"/>
  <c r="C88" i="528"/>
  <c r="B88" i="528" s="1"/>
  <c r="B88" i="539"/>
  <c r="BB88" i="475"/>
  <c r="B89" i="539"/>
  <c r="BF89" i="474"/>
  <c r="AC44" i="472"/>
  <c r="AC41" i="473"/>
  <c r="AD89" i="474"/>
  <c r="B73" i="475"/>
  <c r="AC78" i="475"/>
  <c r="B81" i="475"/>
  <c r="J39" i="539"/>
  <c r="N48" i="522"/>
  <c r="AO48" i="522"/>
  <c r="R48" i="522"/>
  <c r="H48" i="522"/>
  <c r="K48" i="522" s="1"/>
  <c r="BC48" i="522"/>
  <c r="AB69" i="476"/>
  <c r="BF79" i="474"/>
  <c r="Y80" i="558"/>
  <c r="B81" i="558"/>
  <c r="AE81" i="539"/>
  <c r="Y87" i="536"/>
  <c r="BA88" i="475"/>
  <c r="BC88" i="473"/>
  <c r="BE89" i="474"/>
  <c r="BD89" i="473"/>
  <c r="BA90" i="475"/>
  <c r="BB90" i="475"/>
  <c r="G90" i="471"/>
  <c r="U90" i="471" s="1"/>
  <c r="U90" i="473"/>
  <c r="BA90" i="473"/>
  <c r="BD90" i="473"/>
  <c r="BB90" i="473"/>
  <c r="BC90" i="473"/>
  <c r="BB69" i="475"/>
  <c r="B90" i="526"/>
  <c r="G90" i="526"/>
  <c r="H90" i="526" s="1"/>
  <c r="BC90" i="474"/>
  <c r="BD90" i="474"/>
  <c r="BE90" i="474"/>
  <c r="BF90" i="474"/>
  <c r="W90" i="474"/>
  <c r="Y90" i="474" s="1"/>
  <c r="AA90" i="474" s="1"/>
  <c r="BC90" i="522"/>
  <c r="B90" i="522"/>
  <c r="BB90" i="522"/>
  <c r="AB80" i="522"/>
  <c r="AE80" i="522" s="1"/>
  <c r="U80" i="536"/>
  <c r="B86" i="539"/>
  <c r="AE90" i="539"/>
  <c r="AF90" i="539"/>
  <c r="B90" i="539"/>
  <c r="AC90" i="536"/>
  <c r="B90" i="536"/>
  <c r="BA90" i="536"/>
  <c r="AB90" i="536"/>
  <c r="BB90" i="536"/>
  <c r="H90" i="536"/>
  <c r="Y90" i="536"/>
  <c r="AE90" i="521"/>
  <c r="AD90" i="521"/>
  <c r="B90" i="521"/>
  <c r="U90" i="476"/>
  <c r="W90" i="476" s="1"/>
  <c r="Y90" i="476" s="1"/>
  <c r="B90" i="476"/>
  <c r="AB90" i="476"/>
  <c r="AC90" i="476"/>
  <c r="U89" i="473"/>
  <c r="BA87" i="536"/>
  <c r="G90" i="469"/>
  <c r="G90" i="472" s="1"/>
  <c r="U90" i="472" s="1"/>
  <c r="W90" i="472" s="1"/>
  <c r="Y90" i="472" s="1"/>
  <c r="U90" i="558"/>
  <c r="W90" i="558" s="1"/>
  <c r="Y90" i="558" s="1"/>
  <c r="AB90" i="558"/>
  <c r="B90" i="558"/>
  <c r="AC90" i="558"/>
  <c r="C90" i="528"/>
  <c r="E90" i="527"/>
  <c r="B90" i="527"/>
  <c r="I90" i="527"/>
  <c r="U78" i="473"/>
  <c r="AC78" i="536"/>
  <c r="BB82" i="536"/>
  <c r="G82" i="526"/>
  <c r="H82" i="526" s="1"/>
  <c r="H83" i="536"/>
  <c r="W42" i="474"/>
  <c r="Y42" i="474" s="1"/>
  <c r="AA42" i="474" s="1"/>
  <c r="W40" i="474"/>
  <c r="Y40" i="474" s="1"/>
  <c r="AA40" i="474" s="1"/>
  <c r="BA40" i="536"/>
  <c r="AE89" i="521"/>
  <c r="AB89" i="536"/>
  <c r="B89" i="522"/>
  <c r="BB89" i="536"/>
  <c r="AB89" i="476"/>
  <c r="AC89" i="476"/>
  <c r="C89" i="528"/>
  <c r="B89" i="528" s="1"/>
  <c r="B89" i="526"/>
  <c r="BA89" i="536"/>
  <c r="B89" i="536"/>
  <c r="U89" i="476"/>
  <c r="W89" i="476" s="1"/>
  <c r="Y89" i="476" s="1"/>
  <c r="Y89" i="536"/>
  <c r="H89" i="536"/>
  <c r="U89" i="536" s="1"/>
  <c r="Z89" i="536" s="1"/>
  <c r="U81" i="473"/>
  <c r="BA80" i="475"/>
  <c r="U83" i="558"/>
  <c r="I82" i="527"/>
  <c r="AB83" i="476"/>
  <c r="G86" i="471"/>
  <c r="U86" i="471" s="1"/>
  <c r="B76" i="476"/>
  <c r="B76" i="522"/>
  <c r="U76" i="476"/>
  <c r="BC76" i="522"/>
  <c r="AC76" i="476"/>
  <c r="G82" i="472"/>
  <c r="U82" i="472" s="1"/>
  <c r="W82" i="472" s="1"/>
  <c r="Y82" i="472" s="1"/>
  <c r="AB84" i="472"/>
  <c r="B83" i="522"/>
  <c r="B83" i="476"/>
  <c r="AE84" i="539"/>
  <c r="B83" i="526"/>
  <c r="BB83" i="475"/>
  <c r="AC83" i="476"/>
  <c r="B84" i="471"/>
  <c r="AB84" i="471"/>
  <c r="B83" i="475"/>
  <c r="U83" i="476"/>
  <c r="Z80" i="526"/>
  <c r="D80" i="539" s="1"/>
  <c r="V80" i="522"/>
  <c r="L80" i="522"/>
  <c r="O80" i="522" s="1"/>
  <c r="AH80" i="522"/>
  <c r="P80" i="522"/>
  <c r="S80" i="522" s="1"/>
  <c r="AW80" i="522"/>
  <c r="J80" i="522"/>
  <c r="BB80" i="522"/>
  <c r="AR80" i="522"/>
  <c r="AU80" i="522" s="1"/>
  <c r="N80" i="522"/>
  <c r="Y80" i="522"/>
  <c r="H80" i="526"/>
  <c r="H80" i="522"/>
  <c r="K80" i="522" s="1"/>
  <c r="AK80" i="522"/>
  <c r="AF80" i="522"/>
  <c r="AI80" i="522" s="1"/>
  <c r="AO80" i="522"/>
  <c r="U80" i="473"/>
  <c r="AC55" i="472"/>
  <c r="Y48" i="471"/>
  <c r="Z48" i="539"/>
  <c r="AC49" i="476"/>
  <c r="AB48" i="471"/>
  <c r="B48" i="471"/>
  <c r="AC48" i="471"/>
  <c r="K39" i="539"/>
  <c r="AC35" i="536"/>
  <c r="BC76" i="474"/>
  <c r="U88" i="473"/>
  <c r="W88" i="473" s="1"/>
  <c r="Y88" i="473" s="1"/>
  <c r="AC88" i="472"/>
  <c r="B88" i="536"/>
  <c r="BB88" i="536"/>
  <c r="B88" i="472"/>
  <c r="E88" i="527"/>
  <c r="U88" i="536"/>
  <c r="AC88" i="476"/>
  <c r="AB88" i="476"/>
  <c r="W88" i="476"/>
  <c r="B88" i="476"/>
  <c r="Y88" i="476"/>
  <c r="BB88" i="522"/>
  <c r="AB88" i="536"/>
  <c r="G88" i="526"/>
  <c r="H88" i="526" s="1"/>
  <c r="AC88" i="536"/>
  <c r="H88" i="536"/>
  <c r="Y88" i="536"/>
  <c r="BA88" i="536"/>
  <c r="U87" i="473"/>
  <c r="BA87" i="475"/>
  <c r="BB87" i="536"/>
  <c r="AB87" i="536"/>
  <c r="AC87" i="473"/>
  <c r="BA87" i="473"/>
  <c r="G87" i="471"/>
  <c r="U87" i="471" s="1"/>
  <c r="AC87" i="558"/>
  <c r="BC87" i="473"/>
  <c r="I87" i="527"/>
  <c r="B87" i="522"/>
  <c r="U87" i="558"/>
  <c r="W87" i="558" s="1"/>
  <c r="Y87" i="558" s="1"/>
  <c r="BD87" i="473"/>
  <c r="C87" i="528"/>
  <c r="C87" i="529" s="1"/>
  <c r="BC87" i="522"/>
  <c r="AB84" i="476"/>
  <c r="G84" i="521"/>
  <c r="D84" i="527" s="1"/>
  <c r="AC84" i="476"/>
  <c r="B84" i="526"/>
  <c r="B84" i="539"/>
  <c r="G81" i="471"/>
  <c r="U81" i="471" s="1"/>
  <c r="H81" i="536"/>
  <c r="B81" i="536"/>
  <c r="W81" i="558"/>
  <c r="Y81" i="558" s="1"/>
  <c r="E81" i="527"/>
  <c r="U81" i="536"/>
  <c r="W81" i="536" s="1"/>
  <c r="AC81" i="536"/>
  <c r="BB81" i="475"/>
  <c r="BB81" i="536"/>
  <c r="Y81" i="536"/>
  <c r="AB81" i="536"/>
  <c r="AC79" i="558"/>
  <c r="BE79" i="474"/>
  <c r="B79" i="474"/>
  <c r="B79" i="475"/>
  <c r="BB79" i="475"/>
  <c r="U79" i="558"/>
  <c r="W79" i="558" s="1"/>
  <c r="Y79" i="558" s="1"/>
  <c r="BD79" i="474"/>
  <c r="AD79" i="474"/>
  <c r="AC79" i="475"/>
  <c r="AB78" i="471"/>
  <c r="B78" i="473"/>
  <c r="AB78" i="473"/>
  <c r="AC78" i="473"/>
  <c r="BC78" i="522"/>
  <c r="AE70" i="474"/>
  <c r="U70" i="476"/>
  <c r="W70" i="476" s="1"/>
  <c r="Y70" i="476" s="1"/>
  <c r="B69" i="471"/>
  <c r="B69" i="472"/>
  <c r="B56" i="471"/>
  <c r="B54" i="472"/>
  <c r="G51" i="471"/>
  <c r="U51" i="471" s="1"/>
  <c r="AF42" i="539"/>
  <c r="AC42" i="472"/>
  <c r="H42" i="536"/>
  <c r="BC38" i="522"/>
  <c r="AC36" i="536"/>
  <c r="H34" i="536"/>
  <c r="AB86" i="471"/>
  <c r="AC86" i="472"/>
  <c r="AC86" i="471"/>
  <c r="G86" i="472"/>
  <c r="U86" i="472" s="1"/>
  <c r="W86" i="472" s="1"/>
  <c r="Y86" i="472" s="1"/>
  <c r="U86" i="473"/>
  <c r="W85" i="474"/>
  <c r="Y85" i="474" s="1"/>
  <c r="AA85" i="474" s="1"/>
  <c r="U85" i="473"/>
  <c r="G83" i="471"/>
  <c r="U83" i="471" s="1"/>
  <c r="B73" i="526"/>
  <c r="B73" i="522"/>
  <c r="AC73" i="558"/>
  <c r="AE76" i="521"/>
  <c r="BB76" i="473"/>
  <c r="G78" i="471"/>
  <c r="U78" i="471" s="1"/>
  <c r="BA80" i="536"/>
  <c r="AC80" i="536"/>
  <c r="BB82" i="522"/>
  <c r="U82" i="476"/>
  <c r="W82" i="476" s="1"/>
  <c r="Y82" i="476" s="1"/>
  <c r="G82" i="471"/>
  <c r="U82" i="471" s="1"/>
  <c r="U75" i="473"/>
  <c r="W70" i="474"/>
  <c r="Y70" i="474" s="1"/>
  <c r="AA70" i="474" s="1"/>
  <c r="W77" i="474"/>
  <c r="W78" i="474"/>
  <c r="Y78" i="474" s="1"/>
  <c r="AA78" i="474" s="1"/>
  <c r="W79" i="474"/>
  <c r="AC55" i="475"/>
  <c r="B65" i="475"/>
  <c r="C42" i="528"/>
  <c r="AC42" i="528" s="1"/>
  <c r="BB42" i="522"/>
  <c r="BB47" i="536"/>
  <c r="J48" i="539"/>
  <c r="Y48" i="522"/>
  <c r="AS48" i="522"/>
  <c r="F48" i="522"/>
  <c r="J48" i="522"/>
  <c r="P48" i="522"/>
  <c r="S48" i="522" s="1"/>
  <c r="AC48" i="522"/>
  <c r="AD48" i="522"/>
  <c r="BB48" i="522"/>
  <c r="AL48" i="522"/>
  <c r="B48" i="521"/>
  <c r="G48" i="471"/>
  <c r="AF49" i="539"/>
  <c r="BA57" i="473"/>
  <c r="BB61" i="473"/>
  <c r="BB63" i="475"/>
  <c r="I69" i="527"/>
  <c r="BC72" i="522"/>
  <c r="BC73" i="522"/>
  <c r="BA72" i="475"/>
  <c r="AB73" i="558"/>
  <c r="BE76" i="474"/>
  <c r="AC76" i="558"/>
  <c r="BD76" i="473"/>
  <c r="F77" i="522"/>
  <c r="D77" i="527"/>
  <c r="H78" i="536"/>
  <c r="Y78" i="536"/>
  <c r="AC78" i="476"/>
  <c r="BD78" i="473"/>
  <c r="U80" i="469"/>
  <c r="B80" i="536"/>
  <c r="BB80" i="536"/>
  <c r="BB80" i="475"/>
  <c r="BC82" i="522"/>
  <c r="BB82" i="473"/>
  <c r="AC82" i="476"/>
  <c r="AB83" i="536"/>
  <c r="BE83" i="474"/>
  <c r="B84" i="476"/>
  <c r="W84" i="476"/>
  <c r="Y84" i="476" s="1"/>
  <c r="U46" i="471"/>
  <c r="U79" i="473"/>
  <c r="B43" i="558"/>
  <c r="AV48" i="522"/>
  <c r="D48" i="526" s="1"/>
  <c r="AH48" i="522"/>
  <c r="V48" i="522"/>
  <c r="AP48" i="522"/>
  <c r="Q48" i="522"/>
  <c r="X48" i="522"/>
  <c r="AA48" i="522" s="1"/>
  <c r="D48" i="522"/>
  <c r="B48" i="522"/>
  <c r="AB48" i="522"/>
  <c r="AE48" i="522" s="1"/>
  <c r="AI48" i="521"/>
  <c r="H49" i="536"/>
  <c r="BA49" i="475"/>
  <c r="C52" i="528"/>
  <c r="AC52" i="528" s="1"/>
  <c r="AF56" i="539"/>
  <c r="B34" i="558"/>
  <c r="AB76" i="558"/>
  <c r="BA78" i="536"/>
  <c r="H80" i="536"/>
  <c r="W80" i="536"/>
  <c r="T80" i="475"/>
  <c r="H82" i="536"/>
  <c r="B82" i="476"/>
  <c r="BD83" i="474"/>
  <c r="F84" i="522"/>
  <c r="BB84" i="475"/>
  <c r="B84" i="558"/>
  <c r="B84" i="522"/>
  <c r="BA84" i="473"/>
  <c r="B84" i="536"/>
  <c r="W84" i="474"/>
  <c r="BC84" i="522"/>
  <c r="BA84" i="475"/>
  <c r="G84" i="472"/>
  <c r="U84" i="472" s="1"/>
  <c r="W84" i="472" s="1"/>
  <c r="Y84" i="472" s="1"/>
  <c r="BC84" i="473"/>
  <c r="BC84" i="474"/>
  <c r="AC84" i="536"/>
  <c r="AD84" i="474"/>
  <c r="B84" i="521"/>
  <c r="U84" i="536"/>
  <c r="BA84" i="536"/>
  <c r="BD84" i="473"/>
  <c r="U84" i="473"/>
  <c r="BE84" i="474"/>
  <c r="AC84" i="558"/>
  <c r="U84" i="558"/>
  <c r="W84" i="558" s="1"/>
  <c r="Y84" i="558" s="1"/>
  <c r="BB84" i="536"/>
  <c r="BF84" i="474"/>
  <c r="B84" i="474"/>
  <c r="AE84" i="474"/>
  <c r="Y84" i="536"/>
  <c r="AB84" i="536"/>
  <c r="C84" i="529"/>
  <c r="AC84" i="528"/>
  <c r="B84" i="528"/>
  <c r="B83" i="521"/>
  <c r="AC83" i="558"/>
  <c r="AB83" i="558"/>
  <c r="B83" i="539"/>
  <c r="BB83" i="536"/>
  <c r="U83" i="536"/>
  <c r="Z83" i="536" s="1"/>
  <c r="V83" i="471" s="1"/>
  <c r="B83" i="558"/>
  <c r="U83" i="473"/>
  <c r="BC83" i="474"/>
  <c r="BB83" i="473"/>
  <c r="C83" i="528"/>
  <c r="AC83" i="528" s="1"/>
  <c r="AF83" i="539"/>
  <c r="G83" i="469"/>
  <c r="G83" i="472" s="1"/>
  <c r="U83" i="472" s="1"/>
  <c r="W83" i="472" s="1"/>
  <c r="Y83" i="472" s="1"/>
  <c r="Y83" i="536"/>
  <c r="AC83" i="536"/>
  <c r="B83" i="527"/>
  <c r="E83" i="527"/>
  <c r="AD83" i="521"/>
  <c r="AE83" i="521"/>
  <c r="I83" i="527"/>
  <c r="G83" i="521"/>
  <c r="W82" i="474"/>
  <c r="Y82" i="474" s="1"/>
  <c r="AA82" i="474" s="1"/>
  <c r="E82" i="527"/>
  <c r="BA82" i="536"/>
  <c r="B82" i="536"/>
  <c r="AC82" i="536"/>
  <c r="BC82" i="473"/>
  <c r="B82" i="539"/>
  <c r="B82" i="527"/>
  <c r="BB82" i="475"/>
  <c r="AC82" i="475"/>
  <c r="AF82" i="539"/>
  <c r="BA82" i="475"/>
  <c r="B82" i="475"/>
  <c r="AE82" i="539"/>
  <c r="U81" i="472"/>
  <c r="W81" i="472" s="1"/>
  <c r="Y81" i="472" s="1"/>
  <c r="Z81" i="536"/>
  <c r="V81" i="469" s="1"/>
  <c r="AD80" i="474"/>
  <c r="H80" i="521"/>
  <c r="BF80" i="474"/>
  <c r="BC80" i="474"/>
  <c r="AA80" i="474"/>
  <c r="AI80" i="521"/>
  <c r="BD80" i="474"/>
  <c r="AH80" i="526"/>
  <c r="B80" i="526"/>
  <c r="R80" i="522"/>
  <c r="U80" i="522"/>
  <c r="AV80" i="522"/>
  <c r="D80" i="526" s="1"/>
  <c r="AP80" i="522"/>
  <c r="X80" i="522"/>
  <c r="AA80" i="522" s="1"/>
  <c r="AG80" i="522"/>
  <c r="B80" i="522"/>
  <c r="Q80" i="522"/>
  <c r="AL80" i="522"/>
  <c r="D80" i="522"/>
  <c r="AB80" i="474"/>
  <c r="H80" i="370" s="1"/>
  <c r="AL80" i="370" s="1"/>
  <c r="I80" i="526"/>
  <c r="AD80" i="522"/>
  <c r="M80" i="522"/>
  <c r="AN80" i="522"/>
  <c r="AQ80" i="522" s="1"/>
  <c r="Z80" i="522"/>
  <c r="BC80" i="522"/>
  <c r="I80" i="522"/>
  <c r="F80" i="522"/>
  <c r="AJ80" i="522"/>
  <c r="AM80" i="522" s="1"/>
  <c r="AF80" i="370"/>
  <c r="AB80" i="476"/>
  <c r="BC80" i="473"/>
  <c r="BA80" i="473"/>
  <c r="D80" i="527"/>
  <c r="E80" i="527"/>
  <c r="Y80" i="476"/>
  <c r="U80" i="476"/>
  <c r="W80" i="476"/>
  <c r="Z80" i="527"/>
  <c r="AD80" i="370"/>
  <c r="AC80" i="476"/>
  <c r="Z80" i="476"/>
  <c r="J80" i="370" s="1"/>
  <c r="AN80" i="370" s="1"/>
  <c r="K80" i="527"/>
  <c r="U80" i="475"/>
  <c r="AC80" i="472"/>
  <c r="Y80" i="521"/>
  <c r="AE80" i="521"/>
  <c r="B80" i="472"/>
  <c r="AD80" i="521"/>
  <c r="G80" i="521"/>
  <c r="U80" i="472"/>
  <c r="BB80" i="473"/>
  <c r="AB80" i="472"/>
  <c r="Z80" i="521"/>
  <c r="U79" i="472"/>
  <c r="W79" i="472" s="1"/>
  <c r="Y79" i="472" s="1"/>
  <c r="Z79" i="536"/>
  <c r="V79" i="473" s="1"/>
  <c r="W78" i="476"/>
  <c r="Y78" i="476" s="1"/>
  <c r="AD78" i="521"/>
  <c r="AB78" i="558"/>
  <c r="AE78" i="539"/>
  <c r="BC78" i="473"/>
  <c r="B78" i="539"/>
  <c r="B78" i="522"/>
  <c r="BB78" i="473"/>
  <c r="B78" i="536"/>
  <c r="AC78" i="558"/>
  <c r="B78" i="527"/>
  <c r="W78" i="558"/>
  <c r="Y78" i="558" s="1"/>
  <c r="B78" i="558"/>
  <c r="AE78" i="521"/>
  <c r="E78" i="527"/>
  <c r="C78" i="528"/>
  <c r="I78" i="527"/>
  <c r="U77" i="472"/>
  <c r="W77" i="472" s="1"/>
  <c r="Y77" i="472" s="1"/>
  <c r="Z77" i="536"/>
  <c r="V77" i="471" s="1"/>
  <c r="W77" i="471" s="1"/>
  <c r="Y77" i="471" s="1"/>
  <c r="AC77" i="528"/>
  <c r="B77" i="528"/>
  <c r="C77" i="529"/>
  <c r="W76" i="474"/>
  <c r="U76" i="473"/>
  <c r="U76" i="472"/>
  <c r="H76" i="526"/>
  <c r="BB76" i="475"/>
  <c r="B76" i="527"/>
  <c r="B76" i="539"/>
  <c r="C76" i="528"/>
  <c r="C76" i="529" s="1"/>
  <c r="I76" i="527"/>
  <c r="B76" i="526"/>
  <c r="BF76" i="474"/>
  <c r="AC76" i="536"/>
  <c r="AB76" i="536"/>
  <c r="W76" i="558"/>
  <c r="Y76" i="558" s="1"/>
  <c r="AD76" i="521"/>
  <c r="BC76" i="473"/>
  <c r="E76" i="527"/>
  <c r="B76" i="536"/>
  <c r="BB76" i="536"/>
  <c r="H76" i="536"/>
  <c r="U76" i="536" s="1"/>
  <c r="AE76" i="539"/>
  <c r="BA76" i="536"/>
  <c r="Y76" i="536"/>
  <c r="B76" i="558"/>
  <c r="G76" i="521"/>
  <c r="F76" i="522" s="1"/>
  <c r="W75" i="474"/>
  <c r="Y75" i="474" s="1"/>
  <c r="AA75" i="474" s="1"/>
  <c r="AC64" i="471"/>
  <c r="E73" i="527"/>
  <c r="U73" i="558"/>
  <c r="W73" i="558" s="1"/>
  <c r="Y73" i="558" s="1"/>
  <c r="G73" i="472"/>
  <c r="U73" i="472" s="1"/>
  <c r="W73" i="472" s="1"/>
  <c r="Y73" i="472" s="1"/>
  <c r="AE73" i="474"/>
  <c r="H73" i="536"/>
  <c r="U73" i="536" s="1"/>
  <c r="BD73" i="474"/>
  <c r="B73" i="527"/>
  <c r="Y73" i="536"/>
  <c r="U73" i="476"/>
  <c r="W73" i="476" s="1"/>
  <c r="Y73" i="476" s="1"/>
  <c r="B73" i="473"/>
  <c r="BB73" i="473"/>
  <c r="AB73" i="473"/>
  <c r="AC73" i="536"/>
  <c r="BA73" i="536"/>
  <c r="BA73" i="473"/>
  <c r="AB73" i="476"/>
  <c r="AC73" i="473"/>
  <c r="BB73" i="536"/>
  <c r="AB73" i="536"/>
  <c r="BC73" i="473"/>
  <c r="AC73" i="476"/>
  <c r="B73" i="536"/>
  <c r="W72" i="474"/>
  <c r="AC72" i="476"/>
  <c r="BC72" i="474"/>
  <c r="BA72" i="536"/>
  <c r="AD72" i="474"/>
  <c r="AC72" i="536"/>
  <c r="H70" i="536"/>
  <c r="U70" i="536" s="1"/>
  <c r="W70" i="536" s="1"/>
  <c r="AB70" i="471"/>
  <c r="B70" i="536"/>
  <c r="G67" i="471"/>
  <c r="U67" i="471" s="1"/>
  <c r="AB66" i="471"/>
  <c r="AC66" i="471"/>
  <c r="G66" i="471"/>
  <c r="AE65" i="539"/>
  <c r="AC65" i="471"/>
  <c r="B58" i="471"/>
  <c r="AB58" i="471"/>
  <c r="AC57" i="475"/>
  <c r="BA57" i="475"/>
  <c r="E56" i="527"/>
  <c r="B53" i="475"/>
  <c r="B53" i="539"/>
  <c r="AC52" i="558"/>
  <c r="B51" i="471"/>
  <c r="I51" i="527"/>
  <c r="BB40" i="473"/>
  <c r="BC42" i="473"/>
  <c r="BC40" i="522"/>
  <c r="AC40" i="471"/>
  <c r="G40" i="471"/>
  <c r="U40" i="471" s="1"/>
  <c r="B40" i="471"/>
  <c r="B40" i="472"/>
  <c r="B38" i="539"/>
  <c r="AB38" i="472"/>
  <c r="B34" i="472"/>
  <c r="G64" i="471"/>
  <c r="B44" i="472"/>
  <c r="B41" i="473"/>
  <c r="Y43" i="473"/>
  <c r="U72" i="473"/>
  <c r="AE69" i="474"/>
  <c r="AC43" i="475"/>
  <c r="AC51" i="475"/>
  <c r="B70" i="475"/>
  <c r="AF39" i="539"/>
  <c r="G39" i="539"/>
  <c r="T43" i="475"/>
  <c r="AR43" i="522"/>
  <c r="AU43" i="522" s="1"/>
  <c r="AD43" i="522"/>
  <c r="AG43" i="522"/>
  <c r="AB43" i="522"/>
  <c r="AE43" i="522" s="1"/>
  <c r="BC43" i="473"/>
  <c r="H47" i="536"/>
  <c r="I48" i="539"/>
  <c r="Y48" i="536"/>
  <c r="H48" i="521"/>
  <c r="AD48" i="370"/>
  <c r="AB49" i="558"/>
  <c r="U49" i="476"/>
  <c r="W49" i="476" s="1"/>
  <c r="Y49" i="476" s="1"/>
  <c r="BA56" i="475"/>
  <c r="BB56" i="536"/>
  <c r="B57" i="527"/>
  <c r="G57" i="526"/>
  <c r="H57" i="526" s="1"/>
  <c r="BA40" i="475"/>
  <c r="AE68" i="521"/>
  <c r="BF69" i="474"/>
  <c r="B70" i="527"/>
  <c r="Y70" i="536"/>
  <c r="D71" i="527"/>
  <c r="B72" i="476"/>
  <c r="BB72" i="536"/>
  <c r="AB72" i="536"/>
  <c r="BF72" i="474"/>
  <c r="G49" i="471"/>
  <c r="B43" i="473"/>
  <c r="AB43" i="473"/>
  <c r="AE39" i="474"/>
  <c r="W69" i="474"/>
  <c r="Y69" i="474" s="1"/>
  <c r="AA69" i="474" s="1"/>
  <c r="AC70" i="475"/>
  <c r="Z43" i="475"/>
  <c r="I43" i="370" s="1"/>
  <c r="AM43" i="370" s="1"/>
  <c r="I39" i="539"/>
  <c r="Y39" i="539"/>
  <c r="BA34" i="473"/>
  <c r="AB39" i="558"/>
  <c r="I42" i="527"/>
  <c r="AE42" i="521"/>
  <c r="BA43" i="475"/>
  <c r="R43" i="522"/>
  <c r="AC43" i="522"/>
  <c r="H43" i="522"/>
  <c r="K43" i="522" s="1"/>
  <c r="BB43" i="522"/>
  <c r="B47" i="536"/>
  <c r="AC47" i="476"/>
  <c r="AF48" i="539"/>
  <c r="U48" i="536"/>
  <c r="AB48" i="536"/>
  <c r="Z48" i="521"/>
  <c r="U49" i="558"/>
  <c r="W49" i="558" s="1"/>
  <c r="Y49" i="558" s="1"/>
  <c r="AB49" i="476"/>
  <c r="BA56" i="536"/>
  <c r="BA59" i="475"/>
  <c r="BA67" i="475"/>
  <c r="B70" i="476"/>
  <c r="AC70" i="536"/>
  <c r="BE70" i="474"/>
  <c r="U72" i="476"/>
  <c r="W72" i="476" s="1"/>
  <c r="Y72" i="476" s="1"/>
  <c r="B72" i="536"/>
  <c r="BE72" i="474"/>
  <c r="G72" i="472"/>
  <c r="U72" i="472" s="1"/>
  <c r="W72" i="472" s="1"/>
  <c r="Y72" i="472" s="1"/>
  <c r="B35" i="476"/>
  <c r="Z39" i="558"/>
  <c r="K39" i="370" s="1"/>
  <c r="AL43" i="522"/>
  <c r="AS43" i="522"/>
  <c r="F43" i="522"/>
  <c r="AT43" i="522"/>
  <c r="H48" i="536"/>
  <c r="B48" i="536"/>
  <c r="BB51" i="475"/>
  <c r="AB70" i="476"/>
  <c r="H72" i="536"/>
  <c r="AE72" i="539"/>
  <c r="BC34" i="473"/>
  <c r="AB45" i="473"/>
  <c r="U47" i="476"/>
  <c r="W47" i="476" s="1"/>
  <c r="Y47" i="476" s="1"/>
  <c r="U73" i="473"/>
  <c r="AD72" i="521"/>
  <c r="AE72" i="521"/>
  <c r="G72" i="521"/>
  <c r="U72" i="558"/>
  <c r="W72" i="558" s="1"/>
  <c r="Y72" i="558" s="1"/>
  <c r="Z88" i="558" s="1"/>
  <c r="K88" i="370" s="1"/>
  <c r="AO88" i="370" s="1"/>
  <c r="B72" i="558"/>
  <c r="AB72" i="558"/>
  <c r="AC72" i="558"/>
  <c r="B53" i="471"/>
  <c r="BA68" i="473"/>
  <c r="BB70" i="536"/>
  <c r="BC68" i="473"/>
  <c r="AB39" i="476"/>
  <c r="B43" i="476"/>
  <c r="W43" i="476"/>
  <c r="B49" i="526"/>
  <c r="AB47" i="473"/>
  <c r="Y43" i="476"/>
  <c r="AE70" i="521"/>
  <c r="AC72" i="528"/>
  <c r="B72" i="528"/>
  <c r="C72" i="529"/>
  <c r="BD60" i="473"/>
  <c r="B70" i="521"/>
  <c r="BA60" i="473"/>
  <c r="BB70" i="475"/>
  <c r="G67" i="526"/>
  <c r="H67" i="526" s="1"/>
  <c r="I67" i="527"/>
  <c r="BD70" i="474"/>
  <c r="B69" i="473"/>
  <c r="AB69" i="473"/>
  <c r="AC69" i="473"/>
  <c r="BA69" i="473"/>
  <c r="B62" i="471"/>
  <c r="AB62" i="471"/>
  <c r="AC59" i="471"/>
  <c r="AB53" i="473"/>
  <c r="AC51" i="473"/>
  <c r="BA51" i="473"/>
  <c r="BD51" i="473"/>
  <c r="B51" i="473"/>
  <c r="AC47" i="475"/>
  <c r="B47" i="527"/>
  <c r="E47" i="527"/>
  <c r="B44" i="471"/>
  <c r="AB44" i="471"/>
  <c r="B42" i="526"/>
  <c r="B40" i="536"/>
  <c r="AF40" i="539"/>
  <c r="AB40" i="536"/>
  <c r="Y40" i="536"/>
  <c r="AC40" i="536"/>
  <c r="BE40" i="474"/>
  <c r="B40" i="539"/>
  <c r="BB40" i="536"/>
  <c r="BF40" i="474"/>
  <c r="BC40" i="474"/>
  <c r="AE40" i="474"/>
  <c r="AC38" i="472"/>
  <c r="G38" i="472"/>
  <c r="U38" i="472" s="1"/>
  <c r="W38" i="472" s="1"/>
  <c r="Y38" i="472" s="1"/>
  <c r="G36" i="471"/>
  <c r="U36" i="471" s="1"/>
  <c r="BB34" i="473"/>
  <c r="AB34" i="473"/>
  <c r="BC68" i="474"/>
  <c r="BD69" i="474"/>
  <c r="H38" i="536"/>
  <c r="U38" i="536" s="1"/>
  <c r="Z38" i="536" s="1"/>
  <c r="V38" i="473" s="1"/>
  <c r="AB38" i="536"/>
  <c r="AC68" i="558"/>
  <c r="B70" i="472"/>
  <c r="BC69" i="473"/>
  <c r="H65" i="536"/>
  <c r="BA59" i="473"/>
  <c r="BB67" i="522"/>
  <c r="BC70" i="474"/>
  <c r="W48" i="472"/>
  <c r="B60" i="536"/>
  <c r="BC59" i="473"/>
  <c r="C68" i="528"/>
  <c r="C68" i="529" s="1"/>
  <c r="AC60" i="536"/>
  <c r="BB59" i="473"/>
  <c r="U48" i="472"/>
  <c r="G52" i="526"/>
  <c r="H52" i="526" s="1"/>
  <c r="H60" i="536"/>
  <c r="BC67" i="522"/>
  <c r="AB50" i="472"/>
  <c r="BB60" i="536"/>
  <c r="B57" i="471"/>
  <c r="B60" i="526"/>
  <c r="G70" i="472"/>
  <c r="U70" i="472" s="1"/>
  <c r="W70" i="472" s="1"/>
  <c r="Y70" i="472" s="1"/>
  <c r="U50" i="473"/>
  <c r="BA68" i="536"/>
  <c r="BD68" i="474"/>
  <c r="U68" i="558"/>
  <c r="W68" i="558" s="1"/>
  <c r="Y68" i="558" s="1"/>
  <c r="B68" i="527"/>
  <c r="AD68" i="521"/>
  <c r="B68" i="558"/>
  <c r="BB68" i="473"/>
  <c r="I68" i="527"/>
  <c r="D68" i="527"/>
  <c r="G68" i="521"/>
  <c r="BE68" i="474"/>
  <c r="BD68" i="473"/>
  <c r="AD43" i="521"/>
  <c r="AE43" i="370"/>
  <c r="D43" i="521" s="1"/>
  <c r="AF43" i="521" s="1"/>
  <c r="Z43" i="521"/>
  <c r="BB39" i="475"/>
  <c r="E39" i="527"/>
  <c r="T39" i="475"/>
  <c r="AV39" i="522"/>
  <c r="D39" i="526" s="1"/>
  <c r="B39" i="539"/>
  <c r="Z39" i="539"/>
  <c r="D39" i="527"/>
  <c r="BA39" i="473"/>
  <c r="H61" i="521"/>
  <c r="G61" i="521"/>
  <c r="AH61" i="526"/>
  <c r="BC35" i="522"/>
  <c r="Y35" i="536"/>
  <c r="H35" i="536"/>
  <c r="E35" i="527"/>
  <c r="B35" i="536"/>
  <c r="BB70" i="473"/>
  <c r="AC34" i="471"/>
  <c r="B36" i="471"/>
  <c r="AB38" i="471"/>
  <c r="AB68" i="471"/>
  <c r="AC70" i="471"/>
  <c r="AB40" i="472"/>
  <c r="Y48" i="472"/>
  <c r="AC50" i="472"/>
  <c r="B63" i="472"/>
  <c r="AC57" i="473"/>
  <c r="U69" i="473"/>
  <c r="B39" i="475"/>
  <c r="B49" i="475"/>
  <c r="AC65" i="475"/>
  <c r="B69" i="475"/>
  <c r="BB40" i="522"/>
  <c r="G35" i="521"/>
  <c r="AE42" i="539"/>
  <c r="Y42" i="536"/>
  <c r="B42" i="536"/>
  <c r="H43" i="521"/>
  <c r="G43" i="521"/>
  <c r="BB47" i="522"/>
  <c r="BD48" i="473"/>
  <c r="D48" i="527"/>
  <c r="B48" i="526"/>
  <c r="H48" i="526"/>
  <c r="AC49" i="536"/>
  <c r="B49" i="536"/>
  <c r="BB52" i="522"/>
  <c r="AE52" i="521"/>
  <c r="B52" i="527"/>
  <c r="B54" i="526"/>
  <c r="U54" i="558"/>
  <c r="W54" i="558" s="1"/>
  <c r="Y54" i="558" s="1"/>
  <c r="B56" i="539"/>
  <c r="BB57" i="473"/>
  <c r="BA61" i="536"/>
  <c r="BA38" i="536"/>
  <c r="BB38" i="536"/>
  <c r="AD66" i="521"/>
  <c r="AF65" i="539"/>
  <c r="BA65" i="536"/>
  <c r="B67" i="558"/>
  <c r="B67" i="536"/>
  <c r="Y67" i="536"/>
  <c r="B69" i="476"/>
  <c r="BA69" i="475"/>
  <c r="BB69" i="522"/>
  <c r="E69" i="527"/>
  <c r="B70" i="539"/>
  <c r="BA70" i="473"/>
  <c r="BA58" i="536"/>
  <c r="AB36" i="471"/>
  <c r="AC68" i="471"/>
  <c r="G70" i="471"/>
  <c r="U70" i="471" s="1"/>
  <c r="B42" i="472"/>
  <c r="B48" i="472"/>
  <c r="AB48" i="472"/>
  <c r="AB63" i="472"/>
  <c r="AB70" i="473"/>
  <c r="AE43" i="474"/>
  <c r="AE67" i="474"/>
  <c r="AC35" i="475"/>
  <c r="Y39" i="475"/>
  <c r="Z39" i="475" s="1"/>
  <c r="I39" i="370" s="1"/>
  <c r="AM39" i="370" s="1"/>
  <c r="AC49" i="475"/>
  <c r="AC58" i="475"/>
  <c r="AC69" i="475"/>
  <c r="AK39" i="522"/>
  <c r="AE38" i="539"/>
  <c r="G39" i="521"/>
  <c r="U39" i="475"/>
  <c r="E40" i="527"/>
  <c r="BB42" i="536"/>
  <c r="AB42" i="536"/>
  <c r="B43" i="521"/>
  <c r="AE43" i="521"/>
  <c r="AD43" i="370"/>
  <c r="BC47" i="522"/>
  <c r="BC48" i="473"/>
  <c r="U48" i="473"/>
  <c r="K48" i="527"/>
  <c r="AH48" i="526"/>
  <c r="AB49" i="536"/>
  <c r="BC52" i="522"/>
  <c r="B52" i="521"/>
  <c r="E52" i="527"/>
  <c r="B54" i="558"/>
  <c r="BA57" i="536"/>
  <c r="BC57" i="473"/>
  <c r="AB61" i="536"/>
  <c r="Y38" i="536"/>
  <c r="E38" i="527"/>
  <c r="BB64" i="522"/>
  <c r="BB65" i="536"/>
  <c r="AB34" i="558"/>
  <c r="AC34" i="558"/>
  <c r="AC67" i="558"/>
  <c r="BE67" i="474"/>
  <c r="B67" i="539"/>
  <c r="AB67" i="536"/>
  <c r="AE68" i="539"/>
  <c r="AB68" i="536"/>
  <c r="AC69" i="476"/>
  <c r="BC69" i="522"/>
  <c r="B69" i="527"/>
  <c r="BC70" i="522"/>
  <c r="AE70" i="539"/>
  <c r="G38" i="471"/>
  <c r="U38" i="471" s="1"/>
  <c r="Z48" i="472"/>
  <c r="F48" i="370" s="1"/>
  <c r="B48" i="370" s="1"/>
  <c r="AC48" i="472"/>
  <c r="AC62" i="472"/>
  <c r="B57" i="473"/>
  <c r="U70" i="473"/>
  <c r="U71" i="473"/>
  <c r="AB43" i="474"/>
  <c r="H43" i="370" s="1"/>
  <c r="AL43" i="370" s="1"/>
  <c r="AE61" i="474"/>
  <c r="AC39" i="475"/>
  <c r="B50" i="475"/>
  <c r="L39" i="522"/>
  <c r="O39" i="522" s="1"/>
  <c r="H39" i="521"/>
  <c r="G40" i="472"/>
  <c r="U40" i="472" s="1"/>
  <c r="W40" i="472" s="1"/>
  <c r="Y40" i="472" s="1"/>
  <c r="AC42" i="536"/>
  <c r="Y43" i="521"/>
  <c r="B48" i="527"/>
  <c r="F48" i="527" s="1"/>
  <c r="G48" i="526"/>
  <c r="BA49" i="536"/>
  <c r="B61" i="526"/>
  <c r="B38" i="536"/>
  <c r="BC64" i="522"/>
  <c r="BB65" i="475"/>
  <c r="AC65" i="536"/>
  <c r="AB65" i="536"/>
  <c r="W34" i="558"/>
  <c r="Y34" i="558" s="1"/>
  <c r="BD67" i="474"/>
  <c r="AF67" i="539"/>
  <c r="B68" i="536"/>
  <c r="G68" i="472"/>
  <c r="BB70" i="522"/>
  <c r="BC70" i="473"/>
  <c r="U71" i="472"/>
  <c r="W71" i="472" s="1"/>
  <c r="Y71" i="472" s="1"/>
  <c r="B63" i="475"/>
  <c r="AF63" i="539"/>
  <c r="AC67" i="476"/>
  <c r="AE63" i="539"/>
  <c r="U71" i="536"/>
  <c r="W71" i="536" s="1"/>
  <c r="C71" i="529"/>
  <c r="AC71" i="528"/>
  <c r="B71" i="528"/>
  <c r="U61" i="476"/>
  <c r="AB61" i="476"/>
  <c r="BC57" i="522"/>
  <c r="B57" i="522"/>
  <c r="H51" i="536"/>
  <c r="Y51" i="536"/>
  <c r="AB51" i="536"/>
  <c r="X61" i="522"/>
  <c r="AA61" i="522" s="1"/>
  <c r="T61" i="522"/>
  <c r="W61" i="522" s="1"/>
  <c r="AT61" i="522"/>
  <c r="AB47" i="558"/>
  <c r="Y61" i="476"/>
  <c r="AC62" i="476"/>
  <c r="U62" i="476"/>
  <c r="W62" i="476" s="1"/>
  <c r="Y62" i="476" s="1"/>
  <c r="BB62" i="475"/>
  <c r="BA62" i="475"/>
  <c r="B62" i="475"/>
  <c r="B60" i="475"/>
  <c r="B59" i="536"/>
  <c r="AB59" i="536"/>
  <c r="BB36" i="475"/>
  <c r="BC36" i="522"/>
  <c r="BB36" i="522"/>
  <c r="G43" i="469"/>
  <c r="S43" i="469"/>
  <c r="G51" i="526"/>
  <c r="H51" i="526" s="1"/>
  <c r="B51" i="526"/>
  <c r="AF47" i="539"/>
  <c r="AE47" i="539"/>
  <c r="U39" i="471"/>
  <c r="G39" i="471"/>
  <c r="G39" i="472"/>
  <c r="U39" i="472"/>
  <c r="U38" i="558"/>
  <c r="W38" i="558" s="1"/>
  <c r="Y38" i="558" s="1"/>
  <c r="AC38" i="558"/>
  <c r="AB38" i="558"/>
  <c r="BA38" i="473"/>
  <c r="BB38" i="473"/>
  <c r="BC38" i="473"/>
  <c r="B38" i="521"/>
  <c r="AE38" i="521"/>
  <c r="BD40" i="473"/>
  <c r="BA40" i="473"/>
  <c r="AC40" i="476"/>
  <c r="AB40" i="476"/>
  <c r="E67" i="527"/>
  <c r="B67" i="527"/>
  <c r="C67" i="528"/>
  <c r="W67" i="476"/>
  <c r="Y67" i="476" s="1"/>
  <c r="AB67" i="476"/>
  <c r="B67" i="476"/>
  <c r="BD67" i="473"/>
  <c r="BC67" i="473"/>
  <c r="U67" i="473"/>
  <c r="BA67" i="473"/>
  <c r="AC68" i="475"/>
  <c r="BA68" i="475"/>
  <c r="B68" i="475"/>
  <c r="AB68" i="476"/>
  <c r="U68" i="476"/>
  <c r="W68" i="476" s="1"/>
  <c r="Y68" i="476" s="1"/>
  <c r="B68" i="476"/>
  <c r="F68" i="522"/>
  <c r="B68" i="522"/>
  <c r="BC68" i="522"/>
  <c r="G69" i="471"/>
  <c r="U69" i="471" s="1"/>
  <c r="AE69" i="521"/>
  <c r="B69" i="521"/>
  <c r="AD69" i="521"/>
  <c r="B35" i="539"/>
  <c r="AF35" i="539"/>
  <c r="AB35" i="558"/>
  <c r="AC35" i="558"/>
  <c r="AD59" i="521"/>
  <c r="B59" i="521"/>
  <c r="BB35" i="522"/>
  <c r="AB35" i="536"/>
  <c r="BB35" i="536"/>
  <c r="U39" i="558"/>
  <c r="AC39" i="558"/>
  <c r="AB47" i="476"/>
  <c r="C47" i="528"/>
  <c r="C47" i="529" s="1"/>
  <c r="BB48" i="536"/>
  <c r="BA48" i="536"/>
  <c r="AF48" i="370"/>
  <c r="B49" i="558"/>
  <c r="BA60" i="536"/>
  <c r="AB60" i="536"/>
  <c r="BC60" i="473"/>
  <c r="B58" i="475"/>
  <c r="BA35" i="536"/>
  <c r="Y39" i="558"/>
  <c r="Z48" i="536"/>
  <c r="V48" i="471" s="1"/>
  <c r="I48" i="527"/>
  <c r="AF66" i="539"/>
  <c r="G58" i="472"/>
  <c r="U58" i="472" s="1"/>
  <c r="W58" i="472" s="1"/>
  <c r="Y58" i="472" s="1"/>
  <c r="BC59" i="522"/>
  <c r="Y65" i="536"/>
  <c r="AC64" i="558"/>
  <c r="W67" i="558"/>
  <c r="Y67" i="558" s="1"/>
  <c r="AB67" i="558"/>
  <c r="W67" i="474"/>
  <c r="Y67" i="474" s="1"/>
  <c r="AA67" i="474" s="1"/>
  <c r="BC67" i="474"/>
  <c r="AE67" i="539"/>
  <c r="AC67" i="536"/>
  <c r="BA67" i="536"/>
  <c r="BB67" i="536"/>
  <c r="B68" i="539"/>
  <c r="U68" i="536"/>
  <c r="Z68" i="536" s="1"/>
  <c r="V68" i="473" s="1"/>
  <c r="H68" i="536"/>
  <c r="BC69" i="474"/>
  <c r="B69" i="526"/>
  <c r="BD69" i="473"/>
  <c r="E70" i="527"/>
  <c r="C70" i="528"/>
  <c r="B70" i="528" s="1"/>
  <c r="AD70" i="521"/>
  <c r="AB70" i="536"/>
  <c r="U67" i="536"/>
  <c r="AC68" i="536"/>
  <c r="Y68" i="536"/>
  <c r="BA70" i="536"/>
  <c r="G70" i="526"/>
  <c r="H70" i="526" s="1"/>
  <c r="U70" i="558"/>
  <c r="W70" i="558" s="1"/>
  <c r="Y70" i="558" s="1"/>
  <c r="AC70" i="558"/>
  <c r="AB70" i="558"/>
  <c r="B70" i="526"/>
  <c r="U69" i="472"/>
  <c r="W69" i="472" s="1"/>
  <c r="Y69" i="472" s="1"/>
  <c r="U69" i="558"/>
  <c r="W69" i="558" s="1"/>
  <c r="Y69" i="558" s="1"/>
  <c r="U69" i="536"/>
  <c r="Y69" i="536"/>
  <c r="B69" i="536"/>
  <c r="AE69" i="539"/>
  <c r="AC69" i="536"/>
  <c r="AB69" i="536"/>
  <c r="AC69" i="558"/>
  <c r="B69" i="539"/>
  <c r="BA69" i="536"/>
  <c r="BB69" i="536"/>
  <c r="AF69" i="539"/>
  <c r="AB69" i="558"/>
  <c r="W50" i="474"/>
  <c r="W53" i="474"/>
  <c r="Y53" i="474" s="1"/>
  <c r="AA53" i="474" s="1"/>
  <c r="W66" i="474"/>
  <c r="Y66" i="474" s="1"/>
  <c r="AA66" i="474" s="1"/>
  <c r="W41" i="474"/>
  <c r="Y41" i="474" s="1"/>
  <c r="AA41" i="474" s="1"/>
  <c r="W47" i="474"/>
  <c r="Y47" i="474" s="1"/>
  <c r="AA47" i="474" s="1"/>
  <c r="W57" i="474"/>
  <c r="Y57" i="474" s="1"/>
  <c r="AA57" i="474" s="1"/>
  <c r="W62" i="474"/>
  <c r="Y62" i="474" s="1"/>
  <c r="AA62" i="474" s="1"/>
  <c r="E42" i="527"/>
  <c r="Y47" i="536"/>
  <c r="K48" i="539"/>
  <c r="AE48" i="539"/>
  <c r="B48" i="539"/>
  <c r="AD48" i="521"/>
  <c r="G48" i="521"/>
  <c r="BB62" i="536"/>
  <c r="W37" i="474"/>
  <c r="Y37" i="474" s="1"/>
  <c r="AA37" i="474" s="1"/>
  <c r="W65" i="474"/>
  <c r="Y65" i="474" s="1"/>
  <c r="AA65" i="474" s="1"/>
  <c r="AB47" i="536"/>
  <c r="Y48" i="539"/>
  <c r="G48" i="539"/>
  <c r="Y48" i="521"/>
  <c r="AB34" i="472"/>
  <c r="AC43" i="472"/>
  <c r="AC52" i="472"/>
  <c r="AC58" i="472"/>
  <c r="AB39" i="473"/>
  <c r="AC47" i="473"/>
  <c r="B61" i="473"/>
  <c r="AB61" i="473"/>
  <c r="B63" i="473"/>
  <c r="AE38" i="474"/>
  <c r="B36" i="475"/>
  <c r="B38" i="475"/>
  <c r="AC62" i="475"/>
  <c r="T39" i="522"/>
  <c r="W39" i="522" s="1"/>
  <c r="AJ39" i="522"/>
  <c r="AM39" i="522" s="1"/>
  <c r="BC39" i="522"/>
  <c r="B36" i="522"/>
  <c r="BB34" i="475"/>
  <c r="BC39" i="473"/>
  <c r="Y43" i="558"/>
  <c r="U43" i="472"/>
  <c r="T43" i="469"/>
  <c r="AC44" i="536"/>
  <c r="B47" i="558"/>
  <c r="AC51" i="536"/>
  <c r="B54" i="476"/>
  <c r="I56" i="527"/>
  <c r="AC56" i="476"/>
  <c r="BB57" i="475"/>
  <c r="B61" i="476"/>
  <c r="AE61" i="521"/>
  <c r="Y61" i="521"/>
  <c r="BA61" i="473"/>
  <c r="U61" i="472"/>
  <c r="BB38" i="475"/>
  <c r="AB38" i="476"/>
  <c r="B38" i="476"/>
  <c r="AE59" i="521"/>
  <c r="B64" i="527"/>
  <c r="AC40" i="558"/>
  <c r="G67" i="472"/>
  <c r="U67" i="472" s="1"/>
  <c r="W67" i="472" s="1"/>
  <c r="Y67" i="472" s="1"/>
  <c r="B67" i="521"/>
  <c r="B67" i="471"/>
  <c r="AC61" i="472"/>
  <c r="B67" i="472"/>
  <c r="AB67" i="472"/>
  <c r="AC39" i="473"/>
  <c r="Z61" i="473"/>
  <c r="G61" i="370" s="1"/>
  <c r="AK61" i="370" s="1"/>
  <c r="AC61" i="473"/>
  <c r="W38" i="474"/>
  <c r="Y38" i="474" s="1"/>
  <c r="AA38" i="474" s="1"/>
  <c r="W51" i="474"/>
  <c r="Y51" i="474" s="1"/>
  <c r="AA51" i="474" s="1"/>
  <c r="B34" i="475"/>
  <c r="AC36" i="475"/>
  <c r="AC38" i="475"/>
  <c r="B40" i="475"/>
  <c r="AR39" i="522"/>
  <c r="AU39" i="522" s="1"/>
  <c r="I39" i="522"/>
  <c r="AC39" i="522"/>
  <c r="R39" i="522"/>
  <c r="BA34" i="475"/>
  <c r="BD39" i="473"/>
  <c r="W43" i="558"/>
  <c r="AB43" i="558"/>
  <c r="U43" i="469"/>
  <c r="U47" i="558"/>
  <c r="W47" i="558" s="1"/>
  <c r="Y47" i="558" s="1"/>
  <c r="B47" i="539"/>
  <c r="B49" i="539"/>
  <c r="BB51" i="536"/>
  <c r="B51" i="536"/>
  <c r="B52" i="536"/>
  <c r="B56" i="527"/>
  <c r="BB57" i="522"/>
  <c r="AC61" i="476"/>
  <c r="W61" i="476"/>
  <c r="B61" i="521"/>
  <c r="AI61" i="521"/>
  <c r="BC61" i="473"/>
  <c r="G59" i="521"/>
  <c r="D59" i="527" s="1"/>
  <c r="AE64" i="539"/>
  <c r="AD67" i="521"/>
  <c r="Z48" i="469"/>
  <c r="D48" i="370" s="1"/>
  <c r="AH48" i="370" s="1"/>
  <c r="B58" i="472"/>
  <c r="B39" i="473"/>
  <c r="B47" i="473"/>
  <c r="W61" i="473"/>
  <c r="W34" i="474"/>
  <c r="Y34" i="474" s="1"/>
  <c r="AA34" i="474" s="1"/>
  <c r="W49" i="474"/>
  <c r="AC40" i="475"/>
  <c r="B47" i="475"/>
  <c r="X39" i="522"/>
  <c r="AA39" i="522" s="1"/>
  <c r="AO39" i="522"/>
  <c r="AT39" i="522"/>
  <c r="BB39" i="473"/>
  <c r="Z43" i="558"/>
  <c r="K43" i="370" s="1"/>
  <c r="AO43" i="370" s="1"/>
  <c r="BA51" i="536"/>
  <c r="BA52" i="536"/>
  <c r="B54" i="539"/>
  <c r="Z61" i="476"/>
  <c r="J61" i="370" s="1"/>
  <c r="AN61" i="370" s="1"/>
  <c r="Z61" i="521"/>
  <c r="BD61" i="473"/>
  <c r="BA36" i="475"/>
  <c r="AC38" i="476"/>
  <c r="BB44" i="522"/>
  <c r="U68" i="472"/>
  <c r="B64" i="558"/>
  <c r="U64" i="558"/>
  <c r="W64" i="558" s="1"/>
  <c r="Y64" i="558" s="1"/>
  <c r="W68" i="536"/>
  <c r="B40" i="558"/>
  <c r="U40" i="558"/>
  <c r="W40" i="558" s="1"/>
  <c r="Y40" i="558" s="1"/>
  <c r="B40" i="476"/>
  <c r="U40" i="476"/>
  <c r="W40" i="476" s="1"/>
  <c r="Y40" i="476" s="1"/>
  <c r="AD35" i="521"/>
  <c r="B35" i="521"/>
  <c r="B39" i="521"/>
  <c r="B39" i="476"/>
  <c r="Y39" i="476"/>
  <c r="Z39" i="476" s="1"/>
  <c r="J39" i="370" s="1"/>
  <c r="AN39" i="370" s="1"/>
  <c r="AC39" i="476"/>
  <c r="W39" i="476"/>
  <c r="I61" i="526"/>
  <c r="H61" i="526"/>
  <c r="D61" i="522"/>
  <c r="AB61" i="522"/>
  <c r="AE61" i="522" s="1"/>
  <c r="Y61" i="526"/>
  <c r="Z61" i="526"/>
  <c r="D61" i="539" s="1"/>
  <c r="B61" i="522"/>
  <c r="BC66" i="522"/>
  <c r="AC60" i="472"/>
  <c r="B60" i="472"/>
  <c r="AC60" i="471"/>
  <c r="BD50" i="473"/>
  <c r="BA50" i="475"/>
  <c r="BD50" i="474"/>
  <c r="B50" i="539"/>
  <c r="BB42" i="473"/>
  <c r="B42" i="522"/>
  <c r="BA42" i="473"/>
  <c r="Z39" i="521"/>
  <c r="AE39" i="521"/>
  <c r="Z39" i="527"/>
  <c r="I41" i="527"/>
  <c r="AC41" i="475"/>
  <c r="E41" i="527"/>
  <c r="BD38" i="474"/>
  <c r="BE38" i="474"/>
  <c r="BF38" i="474"/>
  <c r="Y66" i="536"/>
  <c r="G58" i="526"/>
  <c r="H58" i="526" s="1"/>
  <c r="G55" i="521"/>
  <c r="BB50" i="536"/>
  <c r="B66" i="539"/>
  <c r="AE66" i="521"/>
  <c r="BC50" i="474"/>
  <c r="AB50" i="536"/>
  <c r="BC50" i="473"/>
  <c r="B50" i="536"/>
  <c r="G50" i="472"/>
  <c r="U50" i="472" s="1"/>
  <c r="W50" i="472" s="1"/>
  <c r="Y50" i="472" s="1"/>
  <c r="H50" i="536"/>
  <c r="BA45" i="473"/>
  <c r="B50" i="527"/>
  <c r="BC62" i="522"/>
  <c r="Y61" i="471"/>
  <c r="Z61" i="469"/>
  <c r="D61" i="370" s="1"/>
  <c r="AH61" i="370" s="1"/>
  <c r="BB54" i="475"/>
  <c r="B54" i="475"/>
  <c r="AC54" i="475"/>
  <c r="AF36" i="539"/>
  <c r="AE36" i="539"/>
  <c r="BD36" i="473"/>
  <c r="W36" i="474"/>
  <c r="Y36" i="474" s="1"/>
  <c r="AA36" i="474" s="1"/>
  <c r="AC45" i="471"/>
  <c r="G45" i="472"/>
  <c r="U45" i="472" s="1"/>
  <c r="W45" i="472" s="1"/>
  <c r="Y45" i="472" s="1"/>
  <c r="B56" i="476"/>
  <c r="W56" i="474"/>
  <c r="Y56" i="474" s="1"/>
  <c r="AA56" i="474" s="1"/>
  <c r="U56" i="476"/>
  <c r="W56" i="476" s="1"/>
  <c r="Y56" i="476" s="1"/>
  <c r="U54" i="476"/>
  <c r="W54" i="476" s="1"/>
  <c r="Y54" i="476" s="1"/>
  <c r="AF54" i="539"/>
  <c r="AC54" i="476"/>
  <c r="H52" i="536"/>
  <c r="U52" i="558"/>
  <c r="W52" i="558" s="1"/>
  <c r="Y52" i="558" s="1"/>
  <c r="B52" i="472"/>
  <c r="BB52" i="536"/>
  <c r="Y52" i="536"/>
  <c r="AB52" i="558"/>
  <c r="AC52" i="536"/>
  <c r="C50" i="528"/>
  <c r="B50" i="528" s="1"/>
  <c r="U50" i="476"/>
  <c r="W50" i="476" s="1"/>
  <c r="Y50" i="476" s="1"/>
  <c r="W52" i="474"/>
  <c r="Y52" i="474" s="1"/>
  <c r="AA52" i="474" s="1"/>
  <c r="AB52" i="476"/>
  <c r="AC45" i="472"/>
  <c r="B50" i="476"/>
  <c r="E50" i="527"/>
  <c r="AB50" i="476"/>
  <c r="AE50" i="474"/>
  <c r="BA50" i="473"/>
  <c r="BF50" i="474"/>
  <c r="AC50" i="536"/>
  <c r="Y50" i="536"/>
  <c r="BC50" i="522"/>
  <c r="BB50" i="475"/>
  <c r="AB50" i="471"/>
  <c r="G50" i="521"/>
  <c r="F50" i="522" s="1"/>
  <c r="B50" i="471"/>
  <c r="AC50" i="471"/>
  <c r="AE50" i="539"/>
  <c r="G50" i="526"/>
  <c r="H50" i="526" s="1"/>
  <c r="B50" i="522"/>
  <c r="AD50" i="521"/>
  <c r="BB50" i="522"/>
  <c r="G50" i="471"/>
  <c r="U50" i="471" s="1"/>
  <c r="B50" i="521"/>
  <c r="U54" i="471"/>
  <c r="B45" i="522"/>
  <c r="BB45" i="522"/>
  <c r="BC45" i="522"/>
  <c r="BB45" i="473"/>
  <c r="U45" i="473"/>
  <c r="BC45" i="473"/>
  <c r="I45" i="527"/>
  <c r="E45" i="527"/>
  <c r="F61" i="522"/>
  <c r="BB61" i="522"/>
  <c r="AN61" i="522"/>
  <c r="AQ61" i="522" s="1"/>
  <c r="AW61" i="522"/>
  <c r="Z61" i="522"/>
  <c r="M61" i="522"/>
  <c r="Q61" i="522"/>
  <c r="J61" i="522"/>
  <c r="AR61" i="522"/>
  <c r="AU61" i="522" s="1"/>
  <c r="AG61" i="522"/>
  <c r="AV61" i="522"/>
  <c r="D61" i="526" s="1"/>
  <c r="AP61" i="522"/>
  <c r="AF61" i="522"/>
  <c r="AI61" i="522" s="1"/>
  <c r="BC61" i="522"/>
  <c r="AS61" i="522"/>
  <c r="AL61" i="522"/>
  <c r="I61" i="522"/>
  <c r="U61" i="522"/>
  <c r="AC61" i="522"/>
  <c r="N61" i="522"/>
  <c r="R61" i="522"/>
  <c r="V61" i="522"/>
  <c r="Y61" i="522"/>
  <c r="L61" i="522"/>
  <c r="O61" i="522" s="1"/>
  <c r="AJ61" i="522"/>
  <c r="AM61" i="522" s="1"/>
  <c r="AH61" i="522"/>
  <c r="AO61" i="522"/>
  <c r="AD61" i="522"/>
  <c r="B51" i="527"/>
  <c r="E51" i="527"/>
  <c r="AE55" i="521"/>
  <c r="Y55" i="521"/>
  <c r="AD55" i="521"/>
  <c r="B55" i="521"/>
  <c r="AI55" i="521"/>
  <c r="Z55" i="521"/>
  <c r="U55" i="475"/>
  <c r="BB55" i="475"/>
  <c r="BA55" i="475"/>
  <c r="BB44" i="475"/>
  <c r="I55" i="527"/>
  <c r="D55" i="527"/>
  <c r="B55" i="527"/>
  <c r="F55" i="527" s="1"/>
  <c r="K55" i="527"/>
  <c r="E55" i="527"/>
  <c r="J55" i="539"/>
  <c r="G55" i="539"/>
  <c r="AB63" i="558"/>
  <c r="AC63" i="558"/>
  <c r="B49" i="522"/>
  <c r="BC49" i="522"/>
  <c r="B65" i="522"/>
  <c r="BC65" i="522"/>
  <c r="E65" i="527"/>
  <c r="B65" i="527"/>
  <c r="I65" i="527"/>
  <c r="AE65" i="521"/>
  <c r="AD65" i="521"/>
  <c r="B65" i="521"/>
  <c r="E54" i="527"/>
  <c r="C54" i="528"/>
  <c r="AC54" i="528" s="1"/>
  <c r="AD64" i="521"/>
  <c r="AE64" i="521"/>
  <c r="H55" i="536"/>
  <c r="B55" i="536"/>
  <c r="Z55" i="536"/>
  <c r="V55" i="469" s="1"/>
  <c r="W55" i="536"/>
  <c r="B54" i="522"/>
  <c r="BB54" i="522"/>
  <c r="BB64" i="473"/>
  <c r="BD64" i="473"/>
  <c r="BA64" i="473"/>
  <c r="B53" i="527"/>
  <c r="C53" i="528"/>
  <c r="B53" i="528" s="1"/>
  <c r="I53" i="527"/>
  <c r="BB53" i="522"/>
  <c r="B53" i="522"/>
  <c r="U53" i="558"/>
  <c r="W53" i="558" s="1"/>
  <c r="Y53" i="558" s="1"/>
  <c r="AC53" i="558"/>
  <c r="AB53" i="558"/>
  <c r="AB43" i="476"/>
  <c r="Z43" i="476"/>
  <c r="J43" i="370" s="1"/>
  <c r="AN43" i="370" s="1"/>
  <c r="U43" i="476"/>
  <c r="AN43" i="522"/>
  <c r="AQ43" i="522" s="1"/>
  <c r="AP43" i="522"/>
  <c r="AH43" i="522"/>
  <c r="T43" i="522"/>
  <c r="W43" i="522" s="1"/>
  <c r="I43" i="522"/>
  <c r="B43" i="522"/>
  <c r="P43" i="522"/>
  <c r="S43" i="522" s="1"/>
  <c r="J43" i="522"/>
  <c r="M43" i="522"/>
  <c r="Z43" i="522"/>
  <c r="AO43" i="522"/>
  <c r="AJ43" i="522"/>
  <c r="AM43" i="522" s="1"/>
  <c r="V43" i="522"/>
  <c r="Y43" i="522"/>
  <c r="AF43" i="522"/>
  <c r="AI43" i="522" s="1"/>
  <c r="AK43" i="522"/>
  <c r="Q43" i="522"/>
  <c r="L43" i="522"/>
  <c r="O43" i="522" s="1"/>
  <c r="N43" i="522"/>
  <c r="BB43" i="473"/>
  <c r="U43" i="473"/>
  <c r="BD43" i="473"/>
  <c r="U52" i="476"/>
  <c r="W52" i="476" s="1"/>
  <c r="Y52" i="476" s="1"/>
  <c r="B52" i="476"/>
  <c r="U61" i="469"/>
  <c r="G61" i="469"/>
  <c r="T61" i="469"/>
  <c r="U61" i="471"/>
  <c r="G61" i="471"/>
  <c r="H56" i="536"/>
  <c r="B56" i="536"/>
  <c r="AB56" i="536"/>
  <c r="W54" i="474"/>
  <c r="Y54" i="474" s="1"/>
  <c r="AA54" i="474" s="1"/>
  <c r="AK61" i="522"/>
  <c r="P61" i="522"/>
  <c r="S61" i="522" s="1"/>
  <c r="B60" i="539"/>
  <c r="AE60" i="539"/>
  <c r="U60" i="558"/>
  <c r="W60" i="558" s="1"/>
  <c r="Y60" i="558" s="1"/>
  <c r="AC60" i="558"/>
  <c r="AB60" i="558"/>
  <c r="BB65" i="522"/>
  <c r="Y55" i="536"/>
  <c r="W48" i="558"/>
  <c r="U48" i="558"/>
  <c r="B62" i="522"/>
  <c r="AB62" i="536"/>
  <c r="Z48" i="527"/>
  <c r="AC62" i="558"/>
  <c r="U49" i="471"/>
  <c r="U63" i="471"/>
  <c r="U66" i="471"/>
  <c r="B47" i="471"/>
  <c r="C43" i="528"/>
  <c r="AC43" i="528" s="1"/>
  <c r="Z43" i="471"/>
  <c r="E43" i="370" s="1"/>
  <c r="AI43" i="370" s="1"/>
  <c r="U43" i="471"/>
  <c r="AB52" i="471"/>
  <c r="AC41" i="471"/>
  <c r="G55" i="471"/>
  <c r="U55" i="471"/>
  <c r="Z55" i="527"/>
  <c r="U64" i="471"/>
  <c r="B56" i="472"/>
  <c r="AB56" i="472"/>
  <c r="G56" i="472"/>
  <c r="U56" i="472" s="1"/>
  <c r="W56" i="472" s="1"/>
  <c r="Y56" i="472" s="1"/>
  <c r="AC56" i="472"/>
  <c r="G64" i="521"/>
  <c r="BC64" i="473"/>
  <c r="BA64" i="475"/>
  <c r="B64" i="539"/>
  <c r="I64" i="527"/>
  <c r="B64" i="526"/>
  <c r="C64" i="528"/>
  <c r="AC64" i="528" s="1"/>
  <c r="B62" i="476"/>
  <c r="I66" i="527"/>
  <c r="AI39" i="521"/>
  <c r="Y39" i="521"/>
  <c r="B58" i="527"/>
  <c r="B62" i="558"/>
  <c r="B62" i="536"/>
  <c r="B65" i="472"/>
  <c r="BF44" i="474"/>
  <c r="BC44" i="474"/>
  <c r="BE44" i="474"/>
  <c r="BD44" i="474"/>
  <c r="BD66" i="473"/>
  <c r="BB66" i="473"/>
  <c r="BD59" i="474"/>
  <c r="BE59" i="474"/>
  <c r="BF59" i="474"/>
  <c r="BC59" i="474"/>
  <c r="U65" i="558"/>
  <c r="W65" i="558" s="1"/>
  <c r="Y65" i="558" s="1"/>
  <c r="AB65" i="558"/>
  <c r="AC65" i="558"/>
  <c r="AB64" i="476"/>
  <c r="B64" i="476"/>
  <c r="AC64" i="476"/>
  <c r="H53" i="536"/>
  <c r="BB53" i="536"/>
  <c r="BA53" i="536"/>
  <c r="AB53" i="536"/>
  <c r="B53" i="536"/>
  <c r="Y43" i="526"/>
  <c r="I43" i="526"/>
  <c r="H43" i="526"/>
  <c r="AH43" i="526"/>
  <c r="B43" i="526"/>
  <c r="AD49" i="521"/>
  <c r="AE49" i="521"/>
  <c r="B49" i="521"/>
  <c r="B57" i="539"/>
  <c r="AF57" i="539"/>
  <c r="AE57" i="539"/>
  <c r="AB54" i="472"/>
  <c r="AB63" i="473"/>
  <c r="W63" i="474"/>
  <c r="Y63" i="474" s="1"/>
  <c r="AA63" i="474" s="1"/>
  <c r="Y48" i="475"/>
  <c r="B66" i="475"/>
  <c r="BC34" i="522"/>
  <c r="K43" i="527"/>
  <c r="Z43" i="526"/>
  <c r="D43" i="539" s="1"/>
  <c r="G49" i="521"/>
  <c r="F49" i="522" s="1"/>
  <c r="B62" i="527"/>
  <c r="C62" i="528"/>
  <c r="B62" i="528" s="1"/>
  <c r="B35" i="558"/>
  <c r="U35" i="558"/>
  <c r="W35" i="558" s="1"/>
  <c r="Y35" i="558" s="1"/>
  <c r="BA66" i="475"/>
  <c r="AC53" i="536"/>
  <c r="U64" i="476"/>
  <c r="W64" i="476" s="1"/>
  <c r="Y64" i="476" s="1"/>
  <c r="Z55" i="522"/>
  <c r="BC55" i="522"/>
  <c r="AS55" i="522"/>
  <c r="AW55" i="522"/>
  <c r="BD65" i="473"/>
  <c r="BB65" i="473"/>
  <c r="Y54" i="536"/>
  <c r="BB54" i="536"/>
  <c r="AB54" i="536"/>
  <c r="H54" i="536"/>
  <c r="B54" i="536"/>
  <c r="BA54" i="536"/>
  <c r="Y64" i="536"/>
  <c r="BB64" i="536"/>
  <c r="AC64" i="536"/>
  <c r="B64" i="536"/>
  <c r="AB64" i="536"/>
  <c r="B34" i="536"/>
  <c r="BA34" i="536"/>
  <c r="AC34" i="536"/>
  <c r="BB64" i="475"/>
  <c r="BD53" i="473"/>
  <c r="BC53" i="473"/>
  <c r="BA53" i="473"/>
  <c r="AC43" i="536"/>
  <c r="AB43" i="536"/>
  <c r="BA43" i="536"/>
  <c r="U43" i="536"/>
  <c r="Z43" i="536"/>
  <c r="V43" i="471" s="1"/>
  <c r="BB43" i="536"/>
  <c r="Y43" i="536"/>
  <c r="W43" i="536"/>
  <c r="BA48" i="475"/>
  <c r="U48" i="475"/>
  <c r="BB48" i="475"/>
  <c r="BA52" i="475"/>
  <c r="BB52" i="475"/>
  <c r="AD61" i="370"/>
  <c r="AF61" i="370"/>
  <c r="BC56" i="473"/>
  <c r="U56" i="473"/>
  <c r="BA56" i="473"/>
  <c r="BD56" i="473"/>
  <c r="AB65" i="472"/>
  <c r="AC52" i="471"/>
  <c r="AC63" i="473"/>
  <c r="B65" i="473"/>
  <c r="AB66" i="473"/>
  <c r="W35" i="474"/>
  <c r="AC48" i="475"/>
  <c r="B52" i="475"/>
  <c r="AC64" i="475"/>
  <c r="AC66" i="475"/>
  <c r="BB34" i="522"/>
  <c r="BB34" i="536"/>
  <c r="G43" i="526"/>
  <c r="H43" i="536"/>
  <c r="BB56" i="473"/>
  <c r="C36" i="528"/>
  <c r="C36" i="529" s="1"/>
  <c r="C36" i="530" s="1"/>
  <c r="C36" i="531" s="1"/>
  <c r="U41" i="476"/>
  <c r="W41" i="476" s="1"/>
  <c r="Y41" i="476" s="1"/>
  <c r="AB41" i="476"/>
  <c r="AC41" i="476"/>
  <c r="BE42" i="474"/>
  <c r="BF42" i="474"/>
  <c r="BC42" i="474"/>
  <c r="BD42" i="474"/>
  <c r="BB53" i="473"/>
  <c r="BC58" i="474"/>
  <c r="BF58" i="474"/>
  <c r="BD58" i="474"/>
  <c r="BE58" i="474"/>
  <c r="BA60" i="475"/>
  <c r="BB60" i="475"/>
  <c r="AC60" i="476"/>
  <c r="AB60" i="476"/>
  <c r="U60" i="476"/>
  <c r="W60" i="476" s="1"/>
  <c r="Y60" i="476" s="1"/>
  <c r="B60" i="522"/>
  <c r="BC60" i="522"/>
  <c r="Z61" i="527"/>
  <c r="C61" i="528"/>
  <c r="J61" i="528" s="1"/>
  <c r="BC48" i="474"/>
  <c r="BD48" i="474"/>
  <c r="BF48" i="474"/>
  <c r="BE48" i="474"/>
  <c r="BA65" i="473"/>
  <c r="AE56" i="521"/>
  <c r="B56" i="521"/>
  <c r="BA64" i="536"/>
  <c r="AB66" i="476"/>
  <c r="B66" i="476"/>
  <c r="BA62" i="473"/>
  <c r="BD62" i="473"/>
  <c r="BB62" i="473"/>
  <c r="AE58" i="539"/>
  <c r="AF58" i="539"/>
  <c r="B54" i="521"/>
  <c r="AE54" i="521"/>
  <c r="AB36" i="536"/>
  <c r="B36" i="536"/>
  <c r="BB36" i="536"/>
  <c r="Y36" i="536"/>
  <c r="BA36" i="536"/>
  <c r="BD64" i="474"/>
  <c r="BE64" i="474"/>
  <c r="BC64" i="474"/>
  <c r="BF64" i="474"/>
  <c r="B34" i="539"/>
  <c r="AF34" i="539"/>
  <c r="AE34" i="539"/>
  <c r="BC54" i="473"/>
  <c r="BD54" i="473"/>
  <c r="BB54" i="473"/>
  <c r="Z43" i="527"/>
  <c r="B43" i="527"/>
  <c r="F43" i="527" s="1"/>
  <c r="I43" i="527"/>
  <c r="D43" i="527"/>
  <c r="G43" i="471"/>
  <c r="BB51" i="522"/>
  <c r="BC51" i="522"/>
  <c r="B51" i="522"/>
  <c r="BB52" i="473"/>
  <c r="BC52" i="473"/>
  <c r="BA52" i="473"/>
  <c r="BA61" i="475"/>
  <c r="T61" i="475"/>
  <c r="BB61" i="475"/>
  <c r="AE57" i="521"/>
  <c r="AD57" i="521"/>
  <c r="AC43" i="471"/>
  <c r="G52" i="471"/>
  <c r="U52" i="471" s="1"/>
  <c r="U34" i="473"/>
  <c r="B53" i="473"/>
  <c r="AB65" i="473"/>
  <c r="AE59" i="474"/>
  <c r="W64" i="474"/>
  <c r="Y64" i="474" s="1"/>
  <c r="AA64" i="474" s="1"/>
  <c r="AC52" i="475"/>
  <c r="Y61" i="475"/>
  <c r="Z61" i="475"/>
  <c r="I61" i="370" s="1"/>
  <c r="AM61" i="370" s="1"/>
  <c r="Z48" i="475"/>
  <c r="I48" i="370" s="1"/>
  <c r="AM48" i="370" s="1"/>
  <c r="AB34" i="536"/>
  <c r="E43" i="527"/>
  <c r="BD52" i="473"/>
  <c r="AE61" i="370"/>
  <c r="D61" i="521" s="1"/>
  <c r="AF61" i="521" s="1"/>
  <c r="BC62" i="473"/>
  <c r="D46" i="527"/>
  <c r="F46" i="522"/>
  <c r="B65" i="558"/>
  <c r="U51" i="476"/>
  <c r="W51" i="476" s="1"/>
  <c r="Y51" i="476" s="1"/>
  <c r="B51" i="476"/>
  <c r="AC51" i="476"/>
  <c r="Y61" i="536"/>
  <c r="Z61" i="536"/>
  <c r="V61" i="471" s="1"/>
  <c r="AC61" i="536"/>
  <c r="W61" i="536"/>
  <c r="BB61" i="536"/>
  <c r="B61" i="536"/>
  <c r="H61" i="536"/>
  <c r="AC57" i="536"/>
  <c r="H57" i="536"/>
  <c r="Y57" i="536"/>
  <c r="AB57" i="536"/>
  <c r="B57" i="536"/>
  <c r="B56" i="522"/>
  <c r="BC56" i="522"/>
  <c r="AD51" i="521"/>
  <c r="AE51" i="521"/>
  <c r="B51" i="521"/>
  <c r="H64" i="536"/>
  <c r="U64" i="536" s="1"/>
  <c r="AF44" i="539"/>
  <c r="B45" i="526"/>
  <c r="AB62" i="476"/>
  <c r="AC62" i="536"/>
  <c r="BA62" i="536"/>
  <c r="BD36" i="474"/>
  <c r="BE36" i="474"/>
  <c r="BF36" i="474"/>
  <c r="BC36" i="474"/>
  <c r="BC52" i="474"/>
  <c r="BD52" i="474"/>
  <c r="BE52" i="474"/>
  <c r="BF52" i="474"/>
  <c r="BF57" i="474"/>
  <c r="BC57" i="474"/>
  <c r="BD57" i="474"/>
  <c r="BE57" i="474"/>
  <c r="B44" i="539"/>
  <c r="BC45" i="474"/>
  <c r="BD45" i="474"/>
  <c r="BE45" i="474"/>
  <c r="BF45" i="474"/>
  <c r="H62" i="536"/>
  <c r="U62" i="536" s="1"/>
  <c r="BD41" i="474"/>
  <c r="BE41" i="474"/>
  <c r="BC41" i="474"/>
  <c r="BF41" i="474"/>
  <c r="BD47" i="474"/>
  <c r="BE47" i="474"/>
  <c r="BF47" i="474"/>
  <c r="BC47" i="474"/>
  <c r="BC63" i="474"/>
  <c r="BD63" i="474"/>
  <c r="BE63" i="474"/>
  <c r="BF63" i="474"/>
  <c r="BE60" i="474"/>
  <c r="BF60" i="474"/>
  <c r="BD60" i="474"/>
  <c r="BC60" i="474"/>
  <c r="BE54" i="474"/>
  <c r="BF54" i="474"/>
  <c r="BC54" i="474"/>
  <c r="BD54" i="474"/>
  <c r="BE49" i="474"/>
  <c r="BF49" i="474"/>
  <c r="BD49" i="474"/>
  <c r="BC49" i="474"/>
  <c r="BC56" i="474"/>
  <c r="BD56" i="474"/>
  <c r="BE56" i="474"/>
  <c r="BF56" i="474"/>
  <c r="BC39" i="474"/>
  <c r="BD39" i="474"/>
  <c r="BE39" i="474"/>
  <c r="BF39" i="474"/>
  <c r="BF62" i="474"/>
  <c r="BC62" i="474"/>
  <c r="BE62" i="474"/>
  <c r="BD62" i="474"/>
  <c r="BF51" i="474"/>
  <c r="BC51" i="474"/>
  <c r="BD51" i="474"/>
  <c r="BE51" i="474"/>
  <c r="BC55" i="474"/>
  <c r="BD55" i="474"/>
  <c r="BF55" i="474"/>
  <c r="BE55" i="474"/>
  <c r="BD53" i="474"/>
  <c r="BE53" i="474"/>
  <c r="BC53" i="474"/>
  <c r="BF53" i="474"/>
  <c r="BE65" i="474"/>
  <c r="BF65" i="474"/>
  <c r="BC65" i="474"/>
  <c r="BD65" i="474"/>
  <c r="BF34" i="474"/>
  <c r="BC34" i="474"/>
  <c r="BD34" i="474"/>
  <c r="BE34" i="474"/>
  <c r="BC43" i="474"/>
  <c r="BD43" i="474"/>
  <c r="BE43" i="474"/>
  <c r="BF43" i="474"/>
  <c r="BC61" i="474"/>
  <c r="BD61" i="474"/>
  <c r="BE61" i="474"/>
  <c r="BF61" i="474"/>
  <c r="AB35" i="476"/>
  <c r="AC35" i="476"/>
  <c r="U51" i="473"/>
  <c r="U64" i="473"/>
  <c r="U65" i="473"/>
  <c r="U49" i="536"/>
  <c r="Z49" i="536" s="1"/>
  <c r="BA66" i="473"/>
  <c r="U66" i="476"/>
  <c r="W66" i="476" s="1"/>
  <c r="Y66" i="476" s="1"/>
  <c r="G63" i="526"/>
  <c r="H63" i="526" s="1"/>
  <c r="AB59" i="558"/>
  <c r="G59" i="526"/>
  <c r="H59" i="526" s="1"/>
  <c r="U37" i="473"/>
  <c r="U46" i="473"/>
  <c r="U52" i="473"/>
  <c r="U53" i="473"/>
  <c r="AC44" i="558"/>
  <c r="G44" i="471"/>
  <c r="U44" i="471" s="1"/>
  <c r="G45" i="526"/>
  <c r="H45" i="526" s="1"/>
  <c r="B45" i="527"/>
  <c r="AD62" i="521"/>
  <c r="U46" i="536"/>
  <c r="Z46" i="536" s="1"/>
  <c r="V46" i="469" s="1"/>
  <c r="BC66" i="473"/>
  <c r="BB66" i="475"/>
  <c r="AC66" i="476"/>
  <c r="U59" i="558"/>
  <c r="W59" i="558" s="1"/>
  <c r="Y59" i="558" s="1"/>
  <c r="U49" i="473"/>
  <c r="U54" i="473"/>
  <c r="G57" i="471"/>
  <c r="U57" i="471" s="1"/>
  <c r="U58" i="473"/>
  <c r="G65" i="471"/>
  <c r="U65" i="471" s="1"/>
  <c r="C45" i="528"/>
  <c r="C45" i="529" s="1"/>
  <c r="BC63" i="473"/>
  <c r="G34" i="471"/>
  <c r="U34" i="471" s="1"/>
  <c r="U57" i="473"/>
  <c r="U41" i="473"/>
  <c r="AE58" i="474"/>
  <c r="W58" i="474"/>
  <c r="Y58" i="474" s="1"/>
  <c r="AA58" i="474" s="1"/>
  <c r="BC58" i="473"/>
  <c r="G58" i="471"/>
  <c r="U58" i="471" s="1"/>
  <c r="BB58" i="473"/>
  <c r="BD58" i="473"/>
  <c r="BA58" i="473"/>
  <c r="W55" i="558"/>
  <c r="G55" i="526"/>
  <c r="BC63" i="522"/>
  <c r="B63" i="536"/>
  <c r="B63" i="558"/>
  <c r="BB63" i="522"/>
  <c r="U63" i="558"/>
  <c r="W63" i="558" s="1"/>
  <c r="Y63" i="558" s="1"/>
  <c r="G51" i="472"/>
  <c r="U51" i="472" s="1"/>
  <c r="W51" i="472" s="1"/>
  <c r="Y51" i="472" s="1"/>
  <c r="G52" i="472"/>
  <c r="U52" i="472" s="1"/>
  <c r="W52" i="472" s="1"/>
  <c r="Y52" i="472" s="1"/>
  <c r="W44" i="474"/>
  <c r="AC53" i="476"/>
  <c r="AD53" i="521"/>
  <c r="G53" i="472"/>
  <c r="U53" i="472" s="1"/>
  <c r="W53" i="472" s="1"/>
  <c r="Y53" i="472" s="1"/>
  <c r="AB53" i="476"/>
  <c r="B53" i="476"/>
  <c r="AE53" i="474"/>
  <c r="W53" i="476"/>
  <c r="Y53" i="476" s="1"/>
  <c r="W49" i="536"/>
  <c r="D49" i="527"/>
  <c r="G44" i="472"/>
  <c r="U44" i="472" s="1"/>
  <c r="W44" i="472" s="1"/>
  <c r="Y44" i="472" s="1"/>
  <c r="AB44" i="476"/>
  <c r="AE44" i="521"/>
  <c r="AE44" i="474"/>
  <c r="B44" i="476"/>
  <c r="B44" i="521"/>
  <c r="AD44" i="521"/>
  <c r="B41" i="471"/>
  <c r="AE41" i="539"/>
  <c r="U64" i="472"/>
  <c r="W64" i="472" s="1"/>
  <c r="Y64" i="472" s="1"/>
  <c r="B65" i="526"/>
  <c r="BC65" i="473"/>
  <c r="G65" i="472"/>
  <c r="U65" i="472" s="1"/>
  <c r="W65" i="472" s="1"/>
  <c r="Y65" i="472" s="1"/>
  <c r="H65" i="526"/>
  <c r="Z55" i="469"/>
  <c r="D55" i="370" s="1"/>
  <c r="AH55" i="370" s="1"/>
  <c r="B55" i="473"/>
  <c r="Y55" i="473"/>
  <c r="AE55" i="474"/>
  <c r="AB55" i="473"/>
  <c r="BA55" i="473"/>
  <c r="Z55" i="473"/>
  <c r="G55" i="370" s="1"/>
  <c r="AK55" i="370" s="1"/>
  <c r="AC55" i="473"/>
  <c r="AB55" i="474"/>
  <c r="H55" i="370" s="1"/>
  <c r="AL55" i="370" s="1"/>
  <c r="BC55" i="473"/>
  <c r="W55" i="473"/>
  <c r="BD55" i="473"/>
  <c r="U55" i="473"/>
  <c r="B55" i="522"/>
  <c r="U55" i="522"/>
  <c r="U55" i="469"/>
  <c r="AB55" i="522"/>
  <c r="AE55" i="522" s="1"/>
  <c r="X55" i="522"/>
  <c r="AA55" i="522" s="1"/>
  <c r="AG55" i="522"/>
  <c r="T55" i="469"/>
  <c r="R55" i="522"/>
  <c r="AR55" i="522"/>
  <c r="AU55" i="522" s="1"/>
  <c r="BB55" i="522"/>
  <c r="AL55" i="522"/>
  <c r="H55" i="522"/>
  <c r="K55" i="522" s="1"/>
  <c r="U55" i="558"/>
  <c r="Z55" i="526"/>
  <c r="D55" i="539" s="1"/>
  <c r="AF55" i="522"/>
  <c r="AI55" i="522" s="1"/>
  <c r="F55" i="522"/>
  <c r="J55" i="522"/>
  <c r="AH55" i="522"/>
  <c r="D55" i="522"/>
  <c r="AC55" i="476"/>
  <c r="B55" i="558"/>
  <c r="H55" i="526"/>
  <c r="V55" i="522"/>
  <c r="AT55" i="522"/>
  <c r="AK55" i="522"/>
  <c r="AO55" i="522"/>
  <c r="AJ55" i="522"/>
  <c r="AM55" i="522" s="1"/>
  <c r="AN55" i="522"/>
  <c r="AQ55" i="522" s="1"/>
  <c r="L55" i="522"/>
  <c r="O55" i="522" s="1"/>
  <c r="M55" i="522"/>
  <c r="Y55" i="522"/>
  <c r="Y55" i="558"/>
  <c r="AB55" i="558"/>
  <c r="AH55" i="526"/>
  <c r="I55" i="526"/>
  <c r="P55" i="522"/>
  <c r="S55" i="522" s="1"/>
  <c r="AD55" i="522"/>
  <c r="Q55" i="522"/>
  <c r="AV55" i="522"/>
  <c r="D55" i="526" s="1"/>
  <c r="T55" i="522"/>
  <c r="W55" i="522" s="1"/>
  <c r="AP55" i="522"/>
  <c r="AC55" i="522"/>
  <c r="N55" i="522"/>
  <c r="U55" i="472"/>
  <c r="AC55" i="558"/>
  <c r="Y55" i="526"/>
  <c r="BB53" i="475"/>
  <c r="B53" i="526"/>
  <c r="G53" i="471"/>
  <c r="U53" i="471" s="1"/>
  <c r="BA53" i="475"/>
  <c r="AF53" i="539"/>
  <c r="H53" i="526"/>
  <c r="B59" i="558"/>
  <c r="B59" i="522"/>
  <c r="G54" i="472"/>
  <c r="U54" i="472" s="1"/>
  <c r="W54" i="472" s="1"/>
  <c r="Y54" i="472" s="1"/>
  <c r="W55" i="474"/>
  <c r="T55" i="475"/>
  <c r="S55" i="469"/>
  <c r="U55" i="536"/>
  <c r="BB55" i="536"/>
  <c r="AC55" i="536"/>
  <c r="Y55" i="539"/>
  <c r="AB55" i="536"/>
  <c r="AF55" i="539"/>
  <c r="B34" i="476"/>
  <c r="U34" i="476"/>
  <c r="W34" i="476" s="1"/>
  <c r="Y34" i="476" s="1"/>
  <c r="G34" i="469"/>
  <c r="G34" i="472" s="1"/>
  <c r="U34" i="472" s="1"/>
  <c r="W34" i="472" s="1"/>
  <c r="Y34" i="472" s="1"/>
  <c r="AE34" i="521"/>
  <c r="AD34" i="521"/>
  <c r="C34" i="528"/>
  <c r="C34" i="529" s="1"/>
  <c r="C34" i="530" s="1"/>
  <c r="C34" i="531" s="1"/>
  <c r="E34" i="527"/>
  <c r="G36" i="472"/>
  <c r="U36" i="472" s="1"/>
  <c r="W36" i="472" s="1"/>
  <c r="Y36" i="472" s="1"/>
  <c r="BC36" i="473"/>
  <c r="BA36" i="473"/>
  <c r="U36" i="473"/>
  <c r="B36" i="472"/>
  <c r="AC36" i="472"/>
  <c r="U36" i="558"/>
  <c r="W36" i="558" s="1"/>
  <c r="Y36" i="558" s="1"/>
  <c r="AB36" i="558"/>
  <c r="B36" i="558"/>
  <c r="AC36" i="558"/>
  <c r="AD36" i="521"/>
  <c r="AE36" i="521"/>
  <c r="B36" i="521"/>
  <c r="B54" i="527"/>
  <c r="I54" i="527"/>
  <c r="U38" i="473"/>
  <c r="U60" i="473"/>
  <c r="U62" i="473"/>
  <c r="U63" i="473"/>
  <c r="U42" i="473"/>
  <c r="U40" i="473"/>
  <c r="BC41" i="473"/>
  <c r="U47" i="473"/>
  <c r="U59" i="473"/>
  <c r="U66" i="473"/>
  <c r="AC41" i="536"/>
  <c r="H41" i="536"/>
  <c r="B44" i="558"/>
  <c r="F44" i="522"/>
  <c r="U60" i="536"/>
  <c r="W60" i="536" s="1"/>
  <c r="I62" i="527"/>
  <c r="G62" i="521"/>
  <c r="D62" i="527" s="1"/>
  <c r="C66" i="528"/>
  <c r="C66" i="529" s="1"/>
  <c r="B66" i="526"/>
  <c r="AE63" i="521"/>
  <c r="AE58" i="521"/>
  <c r="B58" i="521"/>
  <c r="U58" i="558"/>
  <c r="W58" i="558" s="1"/>
  <c r="Y58" i="558" s="1"/>
  <c r="AB58" i="558"/>
  <c r="U55" i="476"/>
  <c r="W55" i="476"/>
  <c r="I55" i="539"/>
  <c r="Z55" i="539"/>
  <c r="B41" i="536"/>
  <c r="AE41" i="521"/>
  <c r="U44" i="476"/>
  <c r="W44" i="476" s="1"/>
  <c r="Y44" i="476" s="1"/>
  <c r="Z68" i="476" s="1"/>
  <c r="J68" i="370" s="1"/>
  <c r="AN68" i="370" s="1"/>
  <c r="BC44" i="522"/>
  <c r="E62" i="527"/>
  <c r="U62" i="558"/>
  <c r="W62" i="558" s="1"/>
  <c r="Y62" i="558" s="1"/>
  <c r="AE62" i="521"/>
  <c r="E66" i="527"/>
  <c r="BB66" i="522"/>
  <c r="AD63" i="521"/>
  <c r="AD58" i="521"/>
  <c r="BC58" i="522"/>
  <c r="B58" i="558"/>
  <c r="Z55" i="476"/>
  <c r="J55" i="370" s="1"/>
  <c r="AN55" i="370" s="1"/>
  <c r="B55" i="476"/>
  <c r="L55" i="539"/>
  <c r="K55" i="539"/>
  <c r="AE55" i="539"/>
  <c r="G41" i="526"/>
  <c r="H41" i="526" s="1"/>
  <c r="U44" i="558"/>
  <c r="W44" i="558" s="1"/>
  <c r="Y44" i="558" s="1"/>
  <c r="Z68" i="558" s="1"/>
  <c r="K68" i="370" s="1"/>
  <c r="AO68" i="370" s="1"/>
  <c r="B45" i="539"/>
  <c r="G63" i="521"/>
  <c r="F63" i="522" s="1"/>
  <c r="BA63" i="473"/>
  <c r="E58" i="527"/>
  <c r="C58" i="528"/>
  <c r="AC58" i="528" s="1"/>
  <c r="B58" i="522"/>
  <c r="BB59" i="536"/>
  <c r="Y55" i="476"/>
  <c r="B55" i="539"/>
  <c r="G62" i="472"/>
  <c r="U62" i="472" s="1"/>
  <c r="W62" i="472" s="1"/>
  <c r="Y62" i="472" s="1"/>
  <c r="G63" i="472"/>
  <c r="U63" i="472" s="1"/>
  <c r="W63" i="472" s="1"/>
  <c r="Y63" i="472" s="1"/>
  <c r="G47" i="472"/>
  <c r="U47" i="472" s="1"/>
  <c r="W47" i="472" s="1"/>
  <c r="Y47" i="472" s="1"/>
  <c r="BD41" i="473"/>
  <c r="AC45" i="536"/>
  <c r="G42" i="472"/>
  <c r="U42" i="472" s="1"/>
  <c r="W42" i="472" s="1"/>
  <c r="Y42" i="472" s="1"/>
  <c r="G59" i="472"/>
  <c r="U59" i="472" s="1"/>
  <c r="W59" i="472" s="1"/>
  <c r="Y59" i="472" s="1"/>
  <c r="G60" i="472"/>
  <c r="U60" i="472" s="1"/>
  <c r="W60" i="472" s="1"/>
  <c r="Y60" i="472" s="1"/>
  <c r="G66" i="472"/>
  <c r="U66" i="472" s="1"/>
  <c r="W66" i="472" s="1"/>
  <c r="Y66" i="472" s="1"/>
  <c r="G45" i="471"/>
  <c r="U45" i="471" s="1"/>
  <c r="K61" i="527"/>
  <c r="I61" i="527"/>
  <c r="E61" i="527"/>
  <c r="D61" i="527"/>
  <c r="AB57" i="558"/>
  <c r="AC57" i="558"/>
  <c r="U57" i="558"/>
  <c r="W57" i="558" s="1"/>
  <c r="Y57" i="558" s="1"/>
  <c r="W48" i="474"/>
  <c r="B56" i="558"/>
  <c r="AC56" i="558"/>
  <c r="U56" i="558"/>
  <c r="W56" i="558" s="1"/>
  <c r="Y56" i="558" s="1"/>
  <c r="AB66" i="558"/>
  <c r="U66" i="558"/>
  <c r="W66" i="558" s="1"/>
  <c r="Y66" i="558" s="1"/>
  <c r="B66" i="558"/>
  <c r="L61" i="539"/>
  <c r="AF61" i="539"/>
  <c r="G61" i="539"/>
  <c r="J61" i="539"/>
  <c r="Y61" i="539"/>
  <c r="Z61" i="539"/>
  <c r="B61" i="539"/>
  <c r="AE61" i="539"/>
  <c r="G57" i="469"/>
  <c r="G57" i="472" s="1"/>
  <c r="U57" i="472" s="1"/>
  <c r="W57" i="472" s="1"/>
  <c r="Y57" i="472" s="1"/>
  <c r="BA42" i="475"/>
  <c r="B42" i="475"/>
  <c r="AF51" i="539"/>
  <c r="AE51" i="539"/>
  <c r="B51" i="539"/>
  <c r="B44" i="527"/>
  <c r="I44" i="527"/>
  <c r="E44" i="527"/>
  <c r="D44" i="527"/>
  <c r="B59" i="539"/>
  <c r="AF59" i="539"/>
  <c r="G56" i="526"/>
  <c r="H56" i="526" s="1"/>
  <c r="AB56" i="558"/>
  <c r="B57" i="558"/>
  <c r="B61" i="527"/>
  <c r="F61" i="527" s="1"/>
  <c r="I61" i="539"/>
  <c r="AW39" i="522"/>
  <c r="H39" i="522"/>
  <c r="K39" i="522" s="1"/>
  <c r="AD39" i="522"/>
  <c r="M39" i="522"/>
  <c r="AP39" i="522"/>
  <c r="Y39" i="522"/>
  <c r="P39" i="522"/>
  <c r="S39" i="522" s="1"/>
  <c r="U39" i="522"/>
  <c r="D39" i="522"/>
  <c r="AH39" i="522"/>
  <c r="Q39" i="522"/>
  <c r="AB39" i="522"/>
  <c r="AE39" i="522" s="1"/>
  <c r="AS39" i="522"/>
  <c r="AF39" i="522"/>
  <c r="AI39" i="522" s="1"/>
  <c r="J39" i="522"/>
  <c r="AN39" i="522"/>
  <c r="AQ39" i="522" s="1"/>
  <c r="V39" i="522"/>
  <c r="B39" i="522"/>
  <c r="U39" i="469"/>
  <c r="S39" i="469"/>
  <c r="G39" i="469"/>
  <c r="B42" i="558"/>
  <c r="AB42" i="558"/>
  <c r="U42" i="558"/>
  <c r="W42" i="558" s="1"/>
  <c r="Y42" i="558" s="1"/>
  <c r="AC42" i="558"/>
  <c r="BA44" i="536"/>
  <c r="Y44" i="536"/>
  <c r="H44" i="536"/>
  <c r="BB44" i="536"/>
  <c r="B44" i="536"/>
  <c r="BD47" i="473"/>
  <c r="BA47" i="473"/>
  <c r="BB47" i="473"/>
  <c r="BA47" i="475"/>
  <c r="BB47" i="475"/>
  <c r="S48" i="469"/>
  <c r="T48" i="469"/>
  <c r="U48" i="469"/>
  <c r="AB48" i="558"/>
  <c r="AC48" i="558"/>
  <c r="Z48" i="558"/>
  <c r="K48" i="370" s="1"/>
  <c r="AO48" i="370" s="1"/>
  <c r="B48" i="558"/>
  <c r="Y48" i="558"/>
  <c r="G49" i="469"/>
  <c r="G49" i="472" s="1"/>
  <c r="U49" i="472" s="1"/>
  <c r="BD44" i="473"/>
  <c r="BA44" i="473"/>
  <c r="BB44" i="473"/>
  <c r="BB45" i="475"/>
  <c r="B45" i="475"/>
  <c r="AB45" i="558"/>
  <c r="U45" i="558"/>
  <c r="W45" i="558" s="1"/>
  <c r="Y45" i="558" s="1"/>
  <c r="E59" i="527"/>
  <c r="C59" i="528"/>
  <c r="B59" i="528" s="1"/>
  <c r="I59" i="527"/>
  <c r="B59" i="527"/>
  <c r="G59" i="471"/>
  <c r="U59" i="471" s="1"/>
  <c r="B45" i="471"/>
  <c r="AB56" i="471"/>
  <c r="AE48" i="474"/>
  <c r="AC45" i="475"/>
  <c r="AL39" i="522"/>
  <c r="Z39" i="522"/>
  <c r="N39" i="522"/>
  <c r="AG39" i="522"/>
  <c r="T39" i="469"/>
  <c r="F39" i="522"/>
  <c r="AC41" i="558"/>
  <c r="B41" i="558"/>
  <c r="U41" i="558"/>
  <c r="W41" i="558" s="1"/>
  <c r="Y41" i="558" s="1"/>
  <c r="BB41" i="522"/>
  <c r="BC41" i="522"/>
  <c r="B41" i="522"/>
  <c r="U44" i="473"/>
  <c r="G44" i="526"/>
  <c r="H44" i="526" s="1"/>
  <c r="B56" i="526"/>
  <c r="K61" i="539"/>
  <c r="AC66" i="558"/>
  <c r="AB48" i="474"/>
  <c r="H48" i="370" s="1"/>
  <c r="AL48" i="370" s="1"/>
  <c r="AC42" i="475"/>
  <c r="BB42" i="475"/>
  <c r="C44" i="528"/>
  <c r="B44" i="528" s="1"/>
  <c r="G56" i="471"/>
  <c r="AE62" i="539"/>
  <c r="AF62" i="539"/>
  <c r="B62" i="526"/>
  <c r="G62" i="526"/>
  <c r="H62" i="526" s="1"/>
  <c r="G35" i="471"/>
  <c r="U35" i="471" s="1"/>
  <c r="AC63" i="476"/>
  <c r="U63" i="476"/>
  <c r="W63" i="476" s="1"/>
  <c r="Y63" i="476" s="1"/>
  <c r="B63" i="476"/>
  <c r="BA63" i="536"/>
  <c r="AB63" i="536"/>
  <c r="BB63" i="536"/>
  <c r="H63" i="536"/>
  <c r="AC63" i="536"/>
  <c r="BB66" i="536"/>
  <c r="H66" i="536"/>
  <c r="BA66" i="536"/>
  <c r="AC66" i="536"/>
  <c r="B66" i="536"/>
  <c r="Y58" i="536"/>
  <c r="AC58" i="536"/>
  <c r="B58" i="536"/>
  <c r="H58" i="536"/>
  <c r="AB58" i="536"/>
  <c r="BA58" i="475"/>
  <c r="B60" i="521"/>
  <c r="AE60" i="521"/>
  <c r="G60" i="521"/>
  <c r="W60" i="474"/>
  <c r="G60" i="471"/>
  <c r="U60" i="471" s="1"/>
  <c r="C60" i="528"/>
  <c r="AC60" i="528" s="1"/>
  <c r="B60" i="527"/>
  <c r="E60" i="527"/>
  <c r="AE59" i="539"/>
  <c r="G41" i="469"/>
  <c r="BA41" i="473"/>
  <c r="G41" i="471"/>
  <c r="U41" i="471" s="1"/>
  <c r="B45" i="536"/>
  <c r="AD45" i="521"/>
  <c r="BD63" i="473"/>
  <c r="BB41" i="473"/>
  <c r="Y59" i="536"/>
  <c r="BA59" i="536"/>
  <c r="AC59" i="536"/>
  <c r="H59" i="536"/>
  <c r="G42" i="471"/>
  <c r="U42" i="471" s="1"/>
  <c r="G47" i="471"/>
  <c r="U47" i="471" s="1"/>
  <c r="G62" i="471"/>
  <c r="U62" i="471" s="1"/>
  <c r="C63" i="529"/>
  <c r="B63" i="528"/>
  <c r="AC63" i="528"/>
  <c r="E49" i="527"/>
  <c r="B49" i="527"/>
  <c r="C49" i="528"/>
  <c r="AC49" i="528" s="1"/>
  <c r="AB45" i="536"/>
  <c r="BA45" i="475"/>
  <c r="AF45" i="539"/>
  <c r="B45" i="558"/>
  <c r="B45" i="521"/>
  <c r="H45" i="536"/>
  <c r="U45" i="536" s="1"/>
  <c r="Z45" i="536" s="1"/>
  <c r="BB45" i="536"/>
  <c r="Y45" i="536"/>
  <c r="W45" i="474"/>
  <c r="Y45" i="474" s="1"/>
  <c r="AA45" i="474" s="1"/>
  <c r="AE45" i="539"/>
  <c r="AE45" i="521"/>
  <c r="BA45" i="536"/>
  <c r="AC45" i="558"/>
  <c r="AF41" i="539"/>
  <c r="AB41" i="536"/>
  <c r="BB41" i="536"/>
  <c r="BA41" i="475"/>
  <c r="Y41" i="536"/>
  <c r="AD41" i="521"/>
  <c r="B41" i="475"/>
  <c r="BB41" i="475"/>
  <c r="Z35" i="536"/>
  <c r="V35" i="473" s="1"/>
  <c r="W35" i="536"/>
  <c r="U35" i="473"/>
  <c r="BD35" i="473"/>
  <c r="BA35" i="473"/>
  <c r="BB35" i="473"/>
  <c r="BC35" i="473"/>
  <c r="G35" i="469"/>
  <c r="F35" i="522"/>
  <c r="D35" i="527"/>
  <c r="BB35" i="475"/>
  <c r="BA35" i="475"/>
  <c r="V39" i="471"/>
  <c r="V39" i="473"/>
  <c r="V39" i="469"/>
  <c r="AA38" i="475"/>
  <c r="AA42" i="475"/>
  <c r="AA33" i="475"/>
  <c r="AA39" i="475"/>
  <c r="AA36" i="475"/>
  <c r="AA37" i="475"/>
  <c r="AA40" i="475"/>
  <c r="AA41" i="475"/>
  <c r="AA44" i="475"/>
  <c r="AA45" i="475"/>
  <c r="AA48" i="475"/>
  <c r="AA49" i="475"/>
  <c r="AA52" i="475"/>
  <c r="AA53" i="475"/>
  <c r="AA56" i="475"/>
  <c r="AA57" i="475"/>
  <c r="AA60" i="475"/>
  <c r="AA61" i="475"/>
  <c r="AA64" i="475"/>
  <c r="AA65" i="475"/>
  <c r="AA68" i="475"/>
  <c r="AA69" i="475"/>
  <c r="AA73" i="475"/>
  <c r="AA77" i="475"/>
  <c r="AA81" i="475"/>
  <c r="AA124" i="475"/>
  <c r="AA116" i="475"/>
  <c r="AA125" i="475"/>
  <c r="AO2" i="474"/>
  <c r="AA43" i="475"/>
  <c r="AA47" i="475"/>
  <c r="AA51" i="475"/>
  <c r="AA55" i="475"/>
  <c r="AA86" i="475"/>
  <c r="AA103" i="475"/>
  <c r="B108" i="370"/>
  <c r="AJ108" i="370"/>
  <c r="AG108" i="370" s="1"/>
  <c r="B114" i="370"/>
  <c r="AJ114" i="370"/>
  <c r="AG114" i="370" s="1"/>
  <c r="B109" i="370"/>
  <c r="AJ109" i="370"/>
  <c r="B113" i="370"/>
  <c r="AJ113" i="370"/>
  <c r="B116" i="370"/>
  <c r="AJ116" i="370"/>
  <c r="AG116" i="370" s="1"/>
  <c r="B104" i="370"/>
  <c r="AJ104" i="370"/>
  <c r="B117" i="370"/>
  <c r="AJ117" i="370"/>
  <c r="B112" i="370"/>
  <c r="AJ112" i="370"/>
  <c r="AG112" i="370" s="1"/>
  <c r="B122" i="370"/>
  <c r="AJ122" i="370"/>
  <c r="AG122" i="370" s="1"/>
  <c r="B124" i="370"/>
  <c r="AJ124" i="370"/>
  <c r="AG124" i="370" s="1"/>
  <c r="B126" i="370"/>
  <c r="AJ126" i="370"/>
  <c r="AG126" i="370" s="1"/>
  <c r="B128" i="370"/>
  <c r="AJ128" i="370"/>
  <c r="AG128" i="370" s="1"/>
  <c r="B130" i="370"/>
  <c r="AJ130" i="370"/>
  <c r="AG130" i="370" s="1"/>
  <c r="AA59" i="475"/>
  <c r="AA63" i="475"/>
  <c r="AA67" i="475"/>
  <c r="AA71" i="475"/>
  <c r="AA75" i="475"/>
  <c r="AA79" i="475"/>
  <c r="AA83" i="475"/>
  <c r="AA108" i="475"/>
  <c r="AA112" i="475"/>
  <c r="AA104" i="475"/>
  <c r="AA72" i="475"/>
  <c r="AA76" i="475"/>
  <c r="AA80" i="475"/>
  <c r="AA84" i="475"/>
  <c r="AA88" i="475"/>
  <c r="AA96" i="475"/>
  <c r="AA106" i="475"/>
  <c r="AA110" i="475"/>
  <c r="AA87" i="475"/>
  <c r="AA95" i="475"/>
  <c r="AA85" i="475"/>
  <c r="AA92" i="475"/>
  <c r="AA93" i="475"/>
  <c r="AA100" i="475"/>
  <c r="AA101" i="475"/>
  <c r="AA46" i="475"/>
  <c r="AA50" i="475"/>
  <c r="AA54" i="475"/>
  <c r="AA58" i="475"/>
  <c r="AA62" i="475"/>
  <c r="AA66" i="475"/>
  <c r="AA70" i="475"/>
  <c r="AA74" i="475"/>
  <c r="AA78" i="475"/>
  <c r="AA82" i="475"/>
  <c r="AA90" i="475"/>
  <c r="T90" i="475" s="1"/>
  <c r="AA91" i="475"/>
  <c r="AA98" i="475"/>
  <c r="AA99" i="475"/>
  <c r="AA107" i="475"/>
  <c r="AA111" i="475"/>
  <c r="AA114" i="475"/>
  <c r="AA122" i="475"/>
  <c r="AA130" i="475"/>
  <c r="AA94" i="475"/>
  <c r="AA102" i="475"/>
  <c r="AA118" i="475"/>
  <c r="AA126" i="475"/>
  <c r="AA120" i="475"/>
  <c r="AA128" i="475"/>
  <c r="AA119" i="475"/>
  <c r="AA127" i="475"/>
  <c r="AA89" i="475"/>
  <c r="AA97" i="475"/>
  <c r="AA105" i="475"/>
  <c r="AA109" i="475"/>
  <c r="AA113" i="475"/>
  <c r="AA121" i="475"/>
  <c r="AA129" i="475"/>
  <c r="AA115" i="475"/>
  <c r="AA123" i="475"/>
  <c r="AB34" i="475"/>
  <c r="AB35" i="475"/>
  <c r="AB36" i="475"/>
  <c r="AB37" i="475"/>
  <c r="AB38" i="475"/>
  <c r="W39" i="475"/>
  <c r="AB39" i="475"/>
  <c r="AB40" i="475"/>
  <c r="AB41" i="475"/>
  <c r="AB42" i="475"/>
  <c r="W43" i="475"/>
  <c r="AB43" i="475"/>
  <c r="AB44" i="475"/>
  <c r="AB45" i="475"/>
  <c r="AB46" i="475"/>
  <c r="AB47" i="475"/>
  <c r="W48" i="475"/>
  <c r="AB48" i="475"/>
  <c r="AB49" i="475"/>
  <c r="AB50" i="475"/>
  <c r="AB51" i="475"/>
  <c r="AB52" i="475"/>
  <c r="AB53" i="475"/>
  <c r="AB54" i="475"/>
  <c r="W55" i="475"/>
  <c r="AB55" i="475"/>
  <c r="AB56" i="475"/>
  <c r="AB57" i="475"/>
  <c r="AB58" i="475"/>
  <c r="AB59" i="475"/>
  <c r="AB60" i="475"/>
  <c r="W61" i="475"/>
  <c r="AB61" i="475"/>
  <c r="AB62" i="475"/>
  <c r="AB63" i="475"/>
  <c r="AB64" i="475"/>
  <c r="AB65" i="475"/>
  <c r="AB66" i="475"/>
  <c r="AB67" i="475"/>
  <c r="AB68" i="475"/>
  <c r="AB69" i="475"/>
  <c r="AB70" i="475"/>
  <c r="AB71" i="475"/>
  <c r="AB72" i="475"/>
  <c r="AB73" i="475"/>
  <c r="W74" i="475"/>
  <c r="AB74" i="475"/>
  <c r="AB75" i="475"/>
  <c r="AB76" i="475"/>
  <c r="AB77" i="475"/>
  <c r="AB78" i="475"/>
  <c r="AB79" i="475"/>
  <c r="W80" i="475"/>
  <c r="AB80" i="475"/>
  <c r="AB81" i="475"/>
  <c r="AB82" i="475"/>
  <c r="AB83" i="475"/>
  <c r="AC84" i="475"/>
  <c r="AC87" i="475"/>
  <c r="B87" i="475"/>
  <c r="AB87" i="475"/>
  <c r="AC89" i="475"/>
  <c r="B89" i="475"/>
  <c r="AB89" i="475"/>
  <c r="AC91" i="475"/>
  <c r="B91" i="475"/>
  <c r="AB91" i="475"/>
  <c r="AC93" i="475"/>
  <c r="B93" i="475"/>
  <c r="AB93" i="475"/>
  <c r="AC95" i="475"/>
  <c r="B95" i="475"/>
  <c r="AB95" i="475"/>
  <c r="AC97" i="475"/>
  <c r="B97" i="475"/>
  <c r="AB97" i="475"/>
  <c r="AC99" i="475"/>
  <c r="B99" i="475"/>
  <c r="AB99" i="475"/>
  <c r="AC101" i="475"/>
  <c r="B101" i="475"/>
  <c r="AB101" i="475"/>
  <c r="AC104" i="475"/>
  <c r="Y104" i="475"/>
  <c r="W104" i="475"/>
  <c r="B104" i="475"/>
  <c r="AB104" i="475"/>
  <c r="AC106" i="475"/>
  <c r="B106" i="475"/>
  <c r="AC107" i="475"/>
  <c r="B107" i="475"/>
  <c r="AC108" i="475"/>
  <c r="Y108" i="475"/>
  <c r="B108" i="475"/>
  <c r="AC109" i="475"/>
  <c r="Y109" i="475"/>
  <c r="B109" i="475"/>
  <c r="AC110" i="475"/>
  <c r="Y110" i="475"/>
  <c r="B110" i="475"/>
  <c r="AC111" i="475"/>
  <c r="Y111" i="475"/>
  <c r="B111" i="475"/>
  <c r="AC112" i="475"/>
  <c r="Y112" i="475"/>
  <c r="B112" i="475"/>
  <c r="AC116" i="475"/>
  <c r="Y116" i="475"/>
  <c r="B116" i="475"/>
  <c r="W116" i="475"/>
  <c r="AC85" i="475"/>
  <c r="B85" i="475"/>
  <c r="AC86" i="475"/>
  <c r="B86" i="475"/>
  <c r="AB86" i="475"/>
  <c r="AC88" i="475"/>
  <c r="B88" i="475"/>
  <c r="AB88" i="475"/>
  <c r="AC90" i="475"/>
  <c r="B90" i="475"/>
  <c r="AB90" i="475"/>
  <c r="AC92" i="475"/>
  <c r="B92" i="475"/>
  <c r="AB92" i="475"/>
  <c r="AC94" i="475"/>
  <c r="B94" i="475"/>
  <c r="AB94" i="475"/>
  <c r="AC96" i="475"/>
  <c r="B96" i="475"/>
  <c r="AB96" i="475"/>
  <c r="AC98" i="475"/>
  <c r="B98" i="475"/>
  <c r="AB98" i="475"/>
  <c r="AC100" i="475"/>
  <c r="B100" i="475"/>
  <c r="AB100" i="475"/>
  <c r="AC102" i="475"/>
  <c r="B102" i="475"/>
  <c r="AB102" i="475"/>
  <c r="AB106" i="475"/>
  <c r="AB107" i="475"/>
  <c r="AB108" i="475"/>
  <c r="AB109" i="475"/>
  <c r="AB110" i="475"/>
  <c r="AB111" i="475"/>
  <c r="AB112" i="475"/>
  <c r="AB116" i="475"/>
  <c r="AC114" i="475"/>
  <c r="Y114" i="475"/>
  <c r="B114" i="475"/>
  <c r="W114" i="475"/>
  <c r="AC118" i="475"/>
  <c r="Y118" i="475"/>
  <c r="B118" i="475"/>
  <c r="W118" i="475"/>
  <c r="AC103" i="475"/>
  <c r="AC113" i="475"/>
  <c r="Y113" i="475"/>
  <c r="B113" i="475"/>
  <c r="AB113" i="475"/>
  <c r="AC115" i="475"/>
  <c r="Y115" i="475"/>
  <c r="B115" i="475"/>
  <c r="AB115" i="475"/>
  <c r="AC117" i="475"/>
  <c r="Y117" i="475"/>
  <c r="B117" i="475"/>
  <c r="AB117" i="475"/>
  <c r="AC119" i="475"/>
  <c r="Y119" i="475"/>
  <c r="B119" i="475"/>
  <c r="AB119" i="475"/>
  <c r="W120" i="475"/>
  <c r="AC121" i="475"/>
  <c r="Y121" i="475"/>
  <c r="B121" i="475"/>
  <c r="AB121" i="475"/>
  <c r="W122" i="475"/>
  <c r="AC123" i="475"/>
  <c r="Y123" i="475"/>
  <c r="B123" i="475"/>
  <c r="AB123" i="475"/>
  <c r="W124" i="475"/>
  <c r="AC125" i="475"/>
  <c r="Y125" i="475"/>
  <c r="B125" i="475"/>
  <c r="AB125" i="475"/>
  <c r="W126" i="475"/>
  <c r="AC127" i="475"/>
  <c r="Y127" i="475"/>
  <c r="B127" i="475"/>
  <c r="AB127" i="475"/>
  <c r="W128" i="475"/>
  <c r="AC129" i="475"/>
  <c r="Y129" i="475"/>
  <c r="B129" i="475"/>
  <c r="AB129" i="475"/>
  <c r="W130" i="475"/>
  <c r="AC105" i="475"/>
  <c r="AC120" i="475"/>
  <c r="Y120" i="475"/>
  <c r="B120" i="475"/>
  <c r="AB120" i="475"/>
  <c r="AC122" i="475"/>
  <c r="Y122" i="475"/>
  <c r="B122" i="475"/>
  <c r="AB122" i="475"/>
  <c r="AC124" i="475"/>
  <c r="Y124" i="475"/>
  <c r="B124" i="475"/>
  <c r="AB124" i="475"/>
  <c r="AC126" i="475"/>
  <c r="Y126" i="475"/>
  <c r="B126" i="475"/>
  <c r="AB126" i="475"/>
  <c r="AC128" i="475"/>
  <c r="Y128" i="475"/>
  <c r="B128" i="475"/>
  <c r="AB128" i="475"/>
  <c r="AC130" i="475"/>
  <c r="Y130" i="475"/>
  <c r="AB130" i="475"/>
  <c r="B130" i="475"/>
  <c r="B34" i="474"/>
  <c r="B35" i="474"/>
  <c r="B36" i="474"/>
  <c r="B37" i="474"/>
  <c r="B38" i="474"/>
  <c r="B39" i="474"/>
  <c r="B40" i="474"/>
  <c r="B41" i="474"/>
  <c r="B42" i="474"/>
  <c r="B43" i="474"/>
  <c r="B44" i="474"/>
  <c r="B45" i="474"/>
  <c r="B46" i="474"/>
  <c r="B47" i="474"/>
  <c r="B48" i="474"/>
  <c r="B49" i="474"/>
  <c r="B50" i="474"/>
  <c r="B51" i="474"/>
  <c r="B52" i="474"/>
  <c r="B53" i="474"/>
  <c r="B54" i="474"/>
  <c r="B55" i="474"/>
  <c r="B56" i="474"/>
  <c r="B57" i="474"/>
  <c r="B58" i="474"/>
  <c r="B59" i="474"/>
  <c r="B60" i="474"/>
  <c r="B61" i="474"/>
  <c r="B62" i="474"/>
  <c r="B63" i="474"/>
  <c r="B64" i="474"/>
  <c r="B65" i="474"/>
  <c r="B66" i="474"/>
  <c r="B67" i="474"/>
  <c r="B68" i="474"/>
  <c r="B69" i="474"/>
  <c r="B70" i="474"/>
  <c r="B71" i="474"/>
  <c r="B72" i="474"/>
  <c r="AD34" i="474"/>
  <c r="AD35" i="474"/>
  <c r="AD36" i="474"/>
  <c r="AD37" i="474"/>
  <c r="AD38" i="474"/>
  <c r="Y39" i="474"/>
  <c r="AD39" i="474"/>
  <c r="AD40" i="474"/>
  <c r="AD41" i="474"/>
  <c r="AD42" i="474"/>
  <c r="Y43" i="474"/>
  <c r="AD43" i="474"/>
  <c r="Y44" i="474"/>
  <c r="AA44" i="474" s="1"/>
  <c r="AD44" i="474"/>
  <c r="AD45" i="474"/>
  <c r="Y46" i="474"/>
  <c r="AA46" i="474" s="1"/>
  <c r="AD46" i="474"/>
  <c r="AD47" i="474"/>
  <c r="Y48" i="474"/>
  <c r="AD48" i="474"/>
  <c r="Y49" i="474"/>
  <c r="AA49" i="474" s="1"/>
  <c r="AD49" i="474"/>
  <c r="Y50" i="474"/>
  <c r="AA50" i="474" s="1"/>
  <c r="AD50" i="474"/>
  <c r="AD51" i="474"/>
  <c r="AD52" i="474"/>
  <c r="AD53" i="474"/>
  <c r="AD54" i="474"/>
  <c r="Y55" i="474"/>
  <c r="AD55" i="474"/>
  <c r="AD56" i="474"/>
  <c r="AD57" i="474"/>
  <c r="AD58" i="474"/>
  <c r="Y59" i="474"/>
  <c r="AA59" i="474" s="1"/>
  <c r="AD59" i="474"/>
  <c r="Y60" i="474"/>
  <c r="AA60" i="474" s="1"/>
  <c r="AD60" i="474"/>
  <c r="Y61" i="474"/>
  <c r="AD61" i="474"/>
  <c r="AD62" i="474"/>
  <c r="AD63" i="474"/>
  <c r="AD64" i="474"/>
  <c r="AD65" i="474"/>
  <c r="AD66" i="474"/>
  <c r="AD67" i="474"/>
  <c r="Y68" i="474"/>
  <c r="AA68" i="474" s="1"/>
  <c r="AD68" i="474"/>
  <c r="AD69" i="474"/>
  <c r="AD70" i="474"/>
  <c r="Y71" i="474"/>
  <c r="AA71" i="474" s="1"/>
  <c r="AD71" i="474"/>
  <c r="Y72" i="474"/>
  <c r="AA72" i="474" s="1"/>
  <c r="AE72" i="474"/>
  <c r="Y35" i="474"/>
  <c r="AA35" i="474" s="1"/>
  <c r="AA39" i="474"/>
  <c r="AB39" i="474" s="1"/>
  <c r="H39" i="370" s="1"/>
  <c r="AL39" i="370" s="1"/>
  <c r="AA43" i="474"/>
  <c r="AA48" i="474"/>
  <c r="AA55" i="474"/>
  <c r="AA61" i="474"/>
  <c r="Y74" i="474"/>
  <c r="Y76" i="474"/>
  <c r="AA76" i="474" s="1"/>
  <c r="Y77" i="474"/>
  <c r="AA77" i="474" s="1"/>
  <c r="Y79" i="474"/>
  <c r="AA79" i="474" s="1"/>
  <c r="Y80" i="474"/>
  <c r="Y81" i="474"/>
  <c r="AA81" i="474" s="1"/>
  <c r="Y83" i="474"/>
  <c r="AA83" i="474" s="1"/>
  <c r="Y84" i="474"/>
  <c r="AA84" i="474" s="1"/>
  <c r="Y86" i="474"/>
  <c r="AA86" i="474" s="1"/>
  <c r="Y88" i="474"/>
  <c r="AA88" i="474" s="1"/>
  <c r="Y99" i="474"/>
  <c r="AA99" i="474" s="1"/>
  <c r="Y100" i="474"/>
  <c r="AA100" i="474" s="1"/>
  <c r="Y101" i="474"/>
  <c r="AA101" i="474" s="1"/>
  <c r="Y102" i="474"/>
  <c r="AA102" i="474" s="1"/>
  <c r="AD102" i="474"/>
  <c r="AE104" i="474"/>
  <c r="AA104" i="474"/>
  <c r="AB104" i="474"/>
  <c r="H104" i="370" s="1"/>
  <c r="AL104" i="370" s="1"/>
  <c r="B105" i="474"/>
  <c r="AE106" i="474"/>
  <c r="B106" i="474"/>
  <c r="AD106" i="474"/>
  <c r="AE108" i="474"/>
  <c r="AA108" i="474"/>
  <c r="B108" i="474"/>
  <c r="AD108" i="474"/>
  <c r="Y109" i="474"/>
  <c r="AE110" i="474"/>
  <c r="AA110" i="474"/>
  <c r="B110" i="474"/>
  <c r="AD110" i="474"/>
  <c r="Y111" i="474"/>
  <c r="AE112" i="474"/>
  <c r="AA112" i="474"/>
  <c r="B112" i="474"/>
  <c r="AD112" i="474"/>
  <c r="Y113" i="474"/>
  <c r="AE114" i="474"/>
  <c r="AA114" i="474"/>
  <c r="B114" i="474"/>
  <c r="AD114" i="474"/>
  <c r="Y115" i="474"/>
  <c r="AE116" i="474"/>
  <c r="AA116" i="474"/>
  <c r="B116" i="474"/>
  <c r="AD116" i="474"/>
  <c r="Y117" i="474"/>
  <c r="AE118" i="474"/>
  <c r="AA118" i="474"/>
  <c r="B118" i="474"/>
  <c r="AD118" i="474"/>
  <c r="Y119" i="474"/>
  <c r="AE120" i="474"/>
  <c r="AA120" i="474"/>
  <c r="B120" i="474"/>
  <c r="AD120" i="474"/>
  <c r="Y121" i="474"/>
  <c r="AD103" i="474"/>
  <c r="AE105" i="474"/>
  <c r="B103" i="474"/>
  <c r="AE107" i="474"/>
  <c r="B107" i="474"/>
  <c r="AD107" i="474"/>
  <c r="AE109" i="474"/>
  <c r="AA109" i="474"/>
  <c r="B109" i="474"/>
  <c r="AD109" i="474"/>
  <c r="AE111" i="474"/>
  <c r="AA111" i="474"/>
  <c r="B111" i="474"/>
  <c r="AD111" i="474"/>
  <c r="AE113" i="474"/>
  <c r="AA113" i="474"/>
  <c r="B113" i="474"/>
  <c r="AD113" i="474"/>
  <c r="AE115" i="474"/>
  <c r="AA115" i="474"/>
  <c r="B115" i="474"/>
  <c r="AD115" i="474"/>
  <c r="AE117" i="474"/>
  <c r="AA117" i="474"/>
  <c r="B117" i="474"/>
  <c r="AD117" i="474"/>
  <c r="AE119" i="474"/>
  <c r="AA119" i="474"/>
  <c r="B119" i="474"/>
  <c r="AD119" i="474"/>
  <c r="AE121" i="474"/>
  <c r="AA121" i="474"/>
  <c r="B121" i="474"/>
  <c r="AD121" i="474"/>
  <c r="AE103" i="474"/>
  <c r="B122" i="474"/>
  <c r="B123" i="474"/>
  <c r="B124" i="474"/>
  <c r="B125" i="474"/>
  <c r="B126" i="474"/>
  <c r="B127" i="474"/>
  <c r="B128" i="474"/>
  <c r="B129" i="474"/>
  <c r="B130" i="474"/>
  <c r="Y122" i="474"/>
  <c r="AD122" i="474"/>
  <c r="Y123" i="474"/>
  <c r="AD123" i="474"/>
  <c r="Y124" i="474"/>
  <c r="AD124" i="474"/>
  <c r="Y125" i="474"/>
  <c r="AD125" i="474"/>
  <c r="Y126" i="474"/>
  <c r="AD126" i="474"/>
  <c r="Y127" i="474"/>
  <c r="AD127" i="474"/>
  <c r="Y128" i="474"/>
  <c r="AD128" i="474"/>
  <c r="Y129" i="474"/>
  <c r="AD129" i="474"/>
  <c r="Y130" i="474"/>
  <c r="AD130" i="474"/>
  <c r="AA122" i="474"/>
  <c r="AA123" i="474"/>
  <c r="AA124" i="474"/>
  <c r="AA125" i="474"/>
  <c r="AA126" i="474"/>
  <c r="AA127" i="474"/>
  <c r="AA128" i="474"/>
  <c r="AA129" i="474"/>
  <c r="AA130" i="474"/>
  <c r="W35" i="473"/>
  <c r="Y35" i="473" s="1"/>
  <c r="AC35" i="473"/>
  <c r="AB42" i="473"/>
  <c r="AC42" i="473"/>
  <c r="B42" i="473"/>
  <c r="AB44" i="473"/>
  <c r="AC44" i="473"/>
  <c r="B44" i="473"/>
  <c r="AB48" i="473"/>
  <c r="W48" i="473"/>
  <c r="AC48" i="473"/>
  <c r="Y48" i="473"/>
  <c r="B48" i="473"/>
  <c r="AB52" i="473"/>
  <c r="AC52" i="473"/>
  <c r="B52" i="473"/>
  <c r="AB56" i="473"/>
  <c r="AC56" i="473"/>
  <c r="B56" i="473"/>
  <c r="AB60" i="473"/>
  <c r="AC60" i="473"/>
  <c r="B60" i="473"/>
  <c r="AB36" i="473"/>
  <c r="AC36" i="473"/>
  <c r="B36" i="473"/>
  <c r="AC34" i="473"/>
  <c r="B34" i="473"/>
  <c r="AB35" i="473"/>
  <c r="AB38" i="473"/>
  <c r="AC38" i="473"/>
  <c r="B38" i="473"/>
  <c r="AB40" i="473"/>
  <c r="AC40" i="473"/>
  <c r="B40" i="473"/>
  <c r="AB46" i="473"/>
  <c r="AC46" i="473"/>
  <c r="B46" i="473"/>
  <c r="Z48" i="473"/>
  <c r="G48" i="370" s="1"/>
  <c r="AK48" i="370" s="1"/>
  <c r="AB50" i="473"/>
  <c r="AC50" i="473"/>
  <c r="B50" i="473"/>
  <c r="AB54" i="473"/>
  <c r="AC54" i="473"/>
  <c r="B54" i="473"/>
  <c r="AB58" i="473"/>
  <c r="AC58" i="473"/>
  <c r="B58" i="473"/>
  <c r="AB62" i="473"/>
  <c r="AC62" i="473"/>
  <c r="B62" i="473"/>
  <c r="B64" i="473"/>
  <c r="AC64" i="473"/>
  <c r="B66" i="473"/>
  <c r="AC66" i="473"/>
  <c r="B68" i="473"/>
  <c r="Y68" i="473"/>
  <c r="Z68" i="473" s="1"/>
  <c r="G68" i="370" s="1"/>
  <c r="AK68" i="370" s="1"/>
  <c r="AC68" i="473"/>
  <c r="B70" i="473"/>
  <c r="AC70" i="473"/>
  <c r="B72" i="473"/>
  <c r="AC72" i="473"/>
  <c r="B74" i="473"/>
  <c r="Y74" i="473"/>
  <c r="AB79" i="473"/>
  <c r="W79" i="473"/>
  <c r="Y79" i="473" s="1"/>
  <c r="B81" i="473"/>
  <c r="AB87" i="473"/>
  <c r="B89" i="473"/>
  <c r="AB95" i="473"/>
  <c r="B101" i="473"/>
  <c r="AB103" i="473"/>
  <c r="W103" i="473"/>
  <c r="Y103" i="473" s="1"/>
  <c r="Z102" i="473" s="1"/>
  <c r="G102" i="370" s="1"/>
  <c r="AK102" i="370" s="1"/>
  <c r="B75" i="473"/>
  <c r="AB81" i="473"/>
  <c r="B83" i="473"/>
  <c r="AB89" i="473"/>
  <c r="B91" i="473"/>
  <c r="B99" i="473"/>
  <c r="AB101" i="473"/>
  <c r="AB75" i="473"/>
  <c r="AB83" i="473"/>
  <c r="AB91" i="473"/>
  <c r="AB99" i="473"/>
  <c r="W68" i="473"/>
  <c r="W74" i="473"/>
  <c r="AC74" i="473"/>
  <c r="AC75" i="473"/>
  <c r="AB77" i="473"/>
  <c r="W77" i="473"/>
  <c r="Y77" i="473" s="1"/>
  <c r="B79" i="473"/>
  <c r="AC83" i="473"/>
  <c r="AB85" i="473"/>
  <c r="B87" i="473"/>
  <c r="AC91" i="473"/>
  <c r="AB93" i="473"/>
  <c r="B95" i="473"/>
  <c r="AC95" i="473"/>
  <c r="AB97" i="473"/>
  <c r="B103" i="473"/>
  <c r="AC103" i="473"/>
  <c r="Z109" i="473"/>
  <c r="G109" i="370" s="1"/>
  <c r="AK109" i="370" s="1"/>
  <c r="Z111" i="473"/>
  <c r="G111" i="370" s="1"/>
  <c r="AK111" i="370" s="1"/>
  <c r="Z113" i="473"/>
  <c r="G113" i="370" s="1"/>
  <c r="AK113" i="370" s="1"/>
  <c r="Z115" i="473"/>
  <c r="G115" i="370" s="1"/>
  <c r="AK115" i="370" s="1"/>
  <c r="Z117" i="473"/>
  <c r="G117" i="370" s="1"/>
  <c r="AK117" i="370" s="1"/>
  <c r="Z119" i="473"/>
  <c r="G119" i="370" s="1"/>
  <c r="AK119" i="370" s="1"/>
  <c r="Z121" i="473"/>
  <c r="G121" i="370" s="1"/>
  <c r="AK121" i="370" s="1"/>
  <c r="Z123" i="473"/>
  <c r="G123" i="370" s="1"/>
  <c r="AK123" i="370" s="1"/>
  <c r="Z125" i="473"/>
  <c r="G125" i="370" s="1"/>
  <c r="AK125" i="370" s="1"/>
  <c r="Z127" i="473"/>
  <c r="G127" i="370" s="1"/>
  <c r="AK127" i="370" s="1"/>
  <c r="Z129" i="473"/>
  <c r="G129" i="370" s="1"/>
  <c r="AK129" i="370" s="1"/>
  <c r="W109" i="473"/>
  <c r="W111" i="473"/>
  <c r="W113" i="473"/>
  <c r="W115" i="473"/>
  <c r="W117" i="473"/>
  <c r="W119" i="473"/>
  <c r="W121" i="473"/>
  <c r="W123" i="473"/>
  <c r="W125" i="473"/>
  <c r="W127" i="473"/>
  <c r="W129" i="473"/>
  <c r="Z55" i="472"/>
  <c r="F55" i="370" s="1"/>
  <c r="AB66" i="472"/>
  <c r="Z111" i="472"/>
  <c r="F111" i="370" s="1"/>
  <c r="B111" i="472"/>
  <c r="Y111" i="472"/>
  <c r="AC111" i="472"/>
  <c r="W111" i="472"/>
  <c r="AC66" i="472"/>
  <c r="AB68" i="472"/>
  <c r="W68" i="472"/>
  <c r="Y68" i="472" s="1"/>
  <c r="AC110" i="472"/>
  <c r="Y110" i="472"/>
  <c r="B110" i="472"/>
  <c r="Z110" i="472"/>
  <c r="F110" i="370" s="1"/>
  <c r="W110" i="472"/>
  <c r="AB110" i="472"/>
  <c r="AB111" i="472"/>
  <c r="Z43" i="472"/>
  <c r="F43" i="370" s="1"/>
  <c r="AB74" i="472"/>
  <c r="W74" i="472"/>
  <c r="AC102" i="472"/>
  <c r="Y102" i="472"/>
  <c r="B102" i="472"/>
  <c r="W102" i="472"/>
  <c r="AB102" i="472"/>
  <c r="AB35" i="472"/>
  <c r="AB37" i="472"/>
  <c r="W39" i="472"/>
  <c r="AB39" i="472"/>
  <c r="AB41" i="472"/>
  <c r="W43" i="472"/>
  <c r="AB43" i="472"/>
  <c r="AB45" i="472"/>
  <c r="AB47" i="472"/>
  <c r="W49" i="472"/>
  <c r="Y49" i="472" s="1"/>
  <c r="AB49" i="472"/>
  <c r="AB51" i="472"/>
  <c r="AB53" i="472"/>
  <c r="W55" i="472"/>
  <c r="AB55" i="472"/>
  <c r="AB57" i="472"/>
  <c r="AB59" i="472"/>
  <c r="W61" i="472"/>
  <c r="AB61" i="472"/>
  <c r="AB62" i="472"/>
  <c r="B64" i="472"/>
  <c r="AC68" i="472"/>
  <c r="AB70" i="472"/>
  <c r="B72" i="472"/>
  <c r="Y74" i="472"/>
  <c r="AC118" i="472"/>
  <c r="Y118" i="472"/>
  <c r="B118" i="472"/>
  <c r="AB118" i="472"/>
  <c r="W118" i="472"/>
  <c r="Z118" i="472"/>
  <c r="F118" i="370" s="1"/>
  <c r="Z61" i="472"/>
  <c r="F61" i="370" s="1"/>
  <c r="B35" i="472"/>
  <c r="B37" i="472"/>
  <c r="B39" i="472"/>
  <c r="Y39" i="472"/>
  <c r="Z39" i="472" s="1"/>
  <c r="F39" i="370" s="1"/>
  <c r="B41" i="472"/>
  <c r="B43" i="472"/>
  <c r="Y43" i="472"/>
  <c r="B45" i="472"/>
  <c r="B47" i="472"/>
  <c r="B49" i="472"/>
  <c r="B51" i="472"/>
  <c r="B53" i="472"/>
  <c r="B55" i="472"/>
  <c r="Y55" i="472"/>
  <c r="B57" i="472"/>
  <c r="B59" i="472"/>
  <c r="B61" i="472"/>
  <c r="Y61" i="472"/>
  <c r="AB64" i="472"/>
  <c r="B66" i="472"/>
  <c r="AB72" i="472"/>
  <c r="B74" i="472"/>
  <c r="Z74" i="472"/>
  <c r="F74" i="370" s="1"/>
  <c r="B103" i="472"/>
  <c r="AC103" i="472"/>
  <c r="W103" i="472"/>
  <c r="Y103" i="472" s="1"/>
  <c r="Z103" i="472" s="1"/>
  <c r="F103" i="370" s="1"/>
  <c r="AC120" i="472"/>
  <c r="Y120" i="472"/>
  <c r="B120" i="472"/>
  <c r="AB120" i="472"/>
  <c r="W120" i="472"/>
  <c r="Z120" i="472"/>
  <c r="F120" i="370" s="1"/>
  <c r="Z80" i="472"/>
  <c r="F80" i="370" s="1"/>
  <c r="B99" i="472"/>
  <c r="AC100" i="472"/>
  <c r="B100" i="472"/>
  <c r="AB101" i="472"/>
  <c r="B107" i="472"/>
  <c r="AC108" i="472"/>
  <c r="Y108" i="472"/>
  <c r="B108" i="472"/>
  <c r="AB109" i="472"/>
  <c r="B115" i="472"/>
  <c r="Z115" i="472"/>
  <c r="F115" i="370" s="1"/>
  <c r="AC116" i="472"/>
  <c r="Y116" i="472"/>
  <c r="B116" i="472"/>
  <c r="AB117" i="472"/>
  <c r="AC98" i="472"/>
  <c r="B98" i="472"/>
  <c r="AB99" i="472"/>
  <c r="AC106" i="472"/>
  <c r="B106" i="472"/>
  <c r="AB107" i="472"/>
  <c r="AC114" i="472"/>
  <c r="Y114" i="472"/>
  <c r="B114" i="472"/>
  <c r="AB115" i="472"/>
  <c r="W76" i="472"/>
  <c r="Y76" i="472" s="1"/>
  <c r="W80" i="472"/>
  <c r="W88" i="472"/>
  <c r="Y88" i="472" s="1"/>
  <c r="Z88" i="472" s="1"/>
  <c r="F88" i="370" s="1"/>
  <c r="AB97" i="472"/>
  <c r="AB98" i="472"/>
  <c r="AC99" i="472"/>
  <c r="W100" i="472"/>
  <c r="Y100" i="472" s="1"/>
  <c r="AC104" i="472"/>
  <c r="Y104" i="472"/>
  <c r="B104" i="472"/>
  <c r="AB105" i="472"/>
  <c r="AB106" i="472"/>
  <c r="W107" i="472"/>
  <c r="Y107" i="472" s="1"/>
  <c r="AC107" i="472"/>
  <c r="W108" i="472"/>
  <c r="Y109" i="472"/>
  <c r="AC112" i="472"/>
  <c r="Y112" i="472"/>
  <c r="B112" i="472"/>
  <c r="AB113" i="472"/>
  <c r="AB114" i="472"/>
  <c r="W115" i="472"/>
  <c r="AC115" i="472"/>
  <c r="W116" i="472"/>
  <c r="Y117" i="472"/>
  <c r="Z119" i="472"/>
  <c r="F119" i="370" s="1"/>
  <c r="Z121" i="472"/>
  <c r="F121" i="370" s="1"/>
  <c r="W122" i="472"/>
  <c r="AB122" i="472"/>
  <c r="Z123" i="472"/>
  <c r="F123" i="370" s="1"/>
  <c r="W124" i="472"/>
  <c r="AB124" i="472"/>
  <c r="Z125" i="472"/>
  <c r="F125" i="370" s="1"/>
  <c r="W126" i="472"/>
  <c r="AB126" i="472"/>
  <c r="Z127" i="472"/>
  <c r="F127" i="370" s="1"/>
  <c r="W128" i="472"/>
  <c r="AB128" i="472"/>
  <c r="Z129" i="472"/>
  <c r="F129" i="370" s="1"/>
  <c r="W130" i="472"/>
  <c r="AB130" i="472"/>
  <c r="B122" i="472"/>
  <c r="Y122" i="472"/>
  <c r="AC122" i="472"/>
  <c r="B124" i="472"/>
  <c r="Y124" i="472"/>
  <c r="AC124" i="472"/>
  <c r="B126" i="472"/>
  <c r="Y126" i="472"/>
  <c r="AC126" i="472"/>
  <c r="B128" i="472"/>
  <c r="Y128" i="472"/>
  <c r="AC128" i="472"/>
  <c r="B130" i="472"/>
  <c r="Y130" i="472"/>
  <c r="AC130" i="472"/>
  <c r="B35" i="471"/>
  <c r="AB37" i="471"/>
  <c r="B43" i="471"/>
  <c r="AB45" i="471"/>
  <c r="AB35" i="471"/>
  <c r="AB43" i="471"/>
  <c r="W43" i="471"/>
  <c r="AB41" i="471"/>
  <c r="Y43" i="471"/>
  <c r="AB39" i="471"/>
  <c r="W39" i="471"/>
  <c r="Y39" i="471" s="1"/>
  <c r="AB47" i="471"/>
  <c r="AB49" i="471"/>
  <c r="AB51" i="471"/>
  <c r="AB53" i="471"/>
  <c r="W55" i="471"/>
  <c r="AB55" i="471"/>
  <c r="AB57" i="471"/>
  <c r="AB59" i="471"/>
  <c r="W61" i="471"/>
  <c r="AB61" i="471"/>
  <c r="AB63" i="471"/>
  <c r="AB65" i="471"/>
  <c r="AB67" i="471"/>
  <c r="AB69" i="471"/>
  <c r="AB71" i="471"/>
  <c r="AB73" i="471"/>
  <c r="AB75" i="471"/>
  <c r="AB77" i="471"/>
  <c r="W79" i="471"/>
  <c r="Y79" i="471" s="1"/>
  <c r="AB79" i="471"/>
  <c r="AB81" i="471"/>
  <c r="AB83" i="471"/>
  <c r="AB85" i="471"/>
  <c r="AB87" i="471"/>
  <c r="AB89" i="471"/>
  <c r="AB91" i="471"/>
  <c r="AB93" i="471"/>
  <c r="AB95" i="471"/>
  <c r="AC100" i="471"/>
  <c r="B100" i="471"/>
  <c r="AC104" i="471"/>
  <c r="Y104" i="471"/>
  <c r="B104" i="471"/>
  <c r="AC108" i="471"/>
  <c r="Y108" i="471"/>
  <c r="B108" i="471"/>
  <c r="AC112" i="471"/>
  <c r="Y112" i="471"/>
  <c r="B112" i="471"/>
  <c r="AC116" i="471"/>
  <c r="Y116" i="471"/>
  <c r="B116" i="471"/>
  <c r="AC120" i="471"/>
  <c r="Y120" i="471"/>
  <c r="B120" i="471"/>
  <c r="AB123" i="471"/>
  <c r="W123" i="471"/>
  <c r="AC123" i="471"/>
  <c r="Y123" i="471"/>
  <c r="B123" i="471"/>
  <c r="AC97" i="471"/>
  <c r="B97" i="471"/>
  <c r="AC101" i="471"/>
  <c r="B101" i="471"/>
  <c r="AC105" i="471"/>
  <c r="B105" i="471"/>
  <c r="AC109" i="471"/>
  <c r="Y109" i="471"/>
  <c r="B109" i="471"/>
  <c r="AC113" i="471"/>
  <c r="Y113" i="471"/>
  <c r="B113" i="471"/>
  <c r="AC117" i="471"/>
  <c r="Y117" i="471"/>
  <c r="B117" i="471"/>
  <c r="AB121" i="471"/>
  <c r="W121" i="471"/>
  <c r="AC121" i="471"/>
  <c r="Y121" i="471"/>
  <c r="B121" i="471"/>
  <c r="AB129" i="471"/>
  <c r="W129" i="471"/>
  <c r="AC129" i="471"/>
  <c r="Y129" i="471"/>
  <c r="B129" i="471"/>
  <c r="AC98" i="471"/>
  <c r="B98" i="471"/>
  <c r="AC102" i="471"/>
  <c r="B102" i="471"/>
  <c r="W105" i="471"/>
  <c r="Y105" i="471" s="1"/>
  <c r="AC106" i="471"/>
  <c r="B106" i="471"/>
  <c r="W109" i="471"/>
  <c r="AC110" i="471"/>
  <c r="Y110" i="471"/>
  <c r="B110" i="471"/>
  <c r="W113" i="471"/>
  <c r="AC114" i="471"/>
  <c r="Y114" i="471"/>
  <c r="B114" i="471"/>
  <c r="W117" i="471"/>
  <c r="AC118" i="471"/>
  <c r="Y118" i="471"/>
  <c r="B118" i="471"/>
  <c r="AB127" i="471"/>
  <c r="W127" i="471"/>
  <c r="AC127" i="471"/>
  <c r="Y127" i="471"/>
  <c r="B127" i="471"/>
  <c r="AC99" i="471"/>
  <c r="B99" i="471"/>
  <c r="W102" i="471"/>
  <c r="Y102" i="471" s="1"/>
  <c r="AC103" i="471"/>
  <c r="B103" i="471"/>
  <c r="W106" i="471"/>
  <c r="Y106" i="471" s="1"/>
  <c r="AC107" i="471"/>
  <c r="B107" i="471"/>
  <c r="W110" i="471"/>
  <c r="AC111" i="471"/>
  <c r="Y111" i="471"/>
  <c r="B111" i="471"/>
  <c r="W114" i="471"/>
  <c r="AC115" i="471"/>
  <c r="Y115" i="471"/>
  <c r="B115" i="471"/>
  <c r="W118" i="471"/>
  <c r="AC119" i="471"/>
  <c r="Y119" i="471"/>
  <c r="B119" i="471"/>
  <c r="AB125" i="471"/>
  <c r="W125" i="471"/>
  <c r="AC125" i="471"/>
  <c r="Y125" i="471"/>
  <c r="B125" i="471"/>
  <c r="B122" i="471"/>
  <c r="Y122" i="471"/>
  <c r="AC122" i="471"/>
  <c r="B124" i="471"/>
  <c r="Y124" i="471"/>
  <c r="AC124" i="471"/>
  <c r="B126" i="471"/>
  <c r="Y126" i="471"/>
  <c r="AC126" i="471"/>
  <c r="B128" i="471"/>
  <c r="Y128" i="471"/>
  <c r="AC128" i="471"/>
  <c r="B130" i="471"/>
  <c r="Y130" i="471"/>
  <c r="AC130" i="471"/>
  <c r="AA127" i="469"/>
  <c r="AA123" i="469"/>
  <c r="AA115" i="469"/>
  <c r="AA107" i="469"/>
  <c r="AA103" i="469"/>
  <c r="S103" i="469" s="1"/>
  <c r="AA99" i="469"/>
  <c r="AA95" i="469"/>
  <c r="AA91" i="469"/>
  <c r="AA87" i="469"/>
  <c r="AA83" i="469"/>
  <c r="S83" i="469" s="1"/>
  <c r="AA79" i="469"/>
  <c r="AA75" i="469"/>
  <c r="AA71" i="469"/>
  <c r="AA63" i="469"/>
  <c r="AA59" i="469"/>
  <c r="AA55" i="469"/>
  <c r="AA51" i="469"/>
  <c r="AA47" i="469"/>
  <c r="AA43" i="469"/>
  <c r="AA39" i="469"/>
  <c r="AA35" i="469"/>
  <c r="S35" i="469" s="1"/>
  <c r="AA67" i="469"/>
  <c r="AA111" i="469"/>
  <c r="AA119" i="469"/>
  <c r="AA128" i="469"/>
  <c r="AA124" i="469"/>
  <c r="AA120" i="469"/>
  <c r="AA116" i="469"/>
  <c r="AA112" i="469"/>
  <c r="AA108" i="469"/>
  <c r="AA104" i="469"/>
  <c r="AA100" i="469"/>
  <c r="AA96" i="469"/>
  <c r="AA92" i="469"/>
  <c r="AA88" i="469"/>
  <c r="AA84" i="469"/>
  <c r="AA80" i="469"/>
  <c r="AA76" i="469"/>
  <c r="S76" i="469" s="1"/>
  <c r="AA72" i="469"/>
  <c r="AA68" i="469"/>
  <c r="AA64" i="469"/>
  <c r="AA60" i="469"/>
  <c r="AA56" i="469"/>
  <c r="AA52" i="469"/>
  <c r="AA48" i="469"/>
  <c r="AA44" i="469"/>
  <c r="S44" i="469" s="1"/>
  <c r="AA40" i="469"/>
  <c r="AA36" i="469"/>
  <c r="AA130" i="469"/>
  <c r="AA126" i="469"/>
  <c r="AA122" i="469"/>
  <c r="AA118" i="469"/>
  <c r="AA114" i="469"/>
  <c r="AA110" i="469"/>
  <c r="AA106" i="469"/>
  <c r="AA102" i="469"/>
  <c r="T102" i="469" s="1"/>
  <c r="U102" i="469" s="1"/>
  <c r="AA98" i="469"/>
  <c r="AA94" i="469"/>
  <c r="AA90" i="469"/>
  <c r="AA86" i="469"/>
  <c r="AA82" i="469"/>
  <c r="AA78" i="469"/>
  <c r="AA74" i="469"/>
  <c r="AA70" i="469"/>
  <c r="AA66" i="469"/>
  <c r="AA62" i="469"/>
  <c r="AA58" i="469"/>
  <c r="S58" i="469" s="1"/>
  <c r="AA54" i="469"/>
  <c r="AA50" i="469"/>
  <c r="AA46" i="469"/>
  <c r="S46" i="469" s="1"/>
  <c r="AA42" i="469"/>
  <c r="AA38" i="469"/>
  <c r="AA34" i="469"/>
  <c r="AA32" i="469"/>
  <c r="AA31" i="469"/>
  <c r="AA129" i="469"/>
  <c r="AA125" i="469"/>
  <c r="AA121" i="469"/>
  <c r="AA117" i="469"/>
  <c r="AA113" i="469"/>
  <c r="AA109" i="469"/>
  <c r="AA105" i="469"/>
  <c r="AA101" i="469"/>
  <c r="AA97" i="469"/>
  <c r="AA93" i="469"/>
  <c r="AA89" i="469"/>
  <c r="AA85" i="469"/>
  <c r="AA81" i="469"/>
  <c r="AA77" i="469"/>
  <c r="AA73" i="469"/>
  <c r="AA69" i="469"/>
  <c r="AA65" i="469"/>
  <c r="S65" i="469" s="1"/>
  <c r="AA61" i="469"/>
  <c r="AA57" i="469"/>
  <c r="AA53" i="469"/>
  <c r="AA49" i="469"/>
  <c r="AA45" i="469"/>
  <c r="S45" i="469" s="1"/>
  <c r="T45" i="469" s="1"/>
  <c r="AA41" i="469"/>
  <c r="AA37" i="469"/>
  <c r="AA33" i="469"/>
  <c r="V80" i="471" l="1"/>
  <c r="V80" i="473"/>
  <c r="U82" i="536"/>
  <c r="W82" i="536" s="1"/>
  <c r="U36" i="536"/>
  <c r="W36" i="536" s="1"/>
  <c r="U34" i="536"/>
  <c r="Z34" i="536" s="1"/>
  <c r="V34" i="471" s="1"/>
  <c r="W34" i="471" s="1"/>
  <c r="Y34" i="471" s="1"/>
  <c r="U42" i="536"/>
  <c r="U95" i="536"/>
  <c r="Z95" i="536" s="1"/>
  <c r="V95" i="469" s="1"/>
  <c r="U75" i="536"/>
  <c r="W75" i="536" s="1"/>
  <c r="U91" i="536"/>
  <c r="W91" i="536" s="1"/>
  <c r="G37" i="475"/>
  <c r="T37" i="475" s="1"/>
  <c r="U37" i="475" s="1"/>
  <c r="W37" i="475" s="1"/>
  <c r="Y37" i="475" s="1"/>
  <c r="T107" i="475"/>
  <c r="U107" i="475" s="1"/>
  <c r="W107" i="475" s="1"/>
  <c r="Y107" i="475" s="1"/>
  <c r="S107" i="469"/>
  <c r="T107" i="469" s="1"/>
  <c r="U107" i="469" s="1"/>
  <c r="T106" i="475"/>
  <c r="U106" i="475" s="1"/>
  <c r="W106" i="475" s="1"/>
  <c r="Y106" i="475" s="1"/>
  <c r="T105" i="475"/>
  <c r="U105" i="475" s="1"/>
  <c r="W105" i="475" s="1"/>
  <c r="Y105" i="475" s="1"/>
  <c r="D75" i="527"/>
  <c r="S106" i="469"/>
  <c r="T106" i="469" s="1"/>
  <c r="S105" i="469"/>
  <c r="T105" i="469" s="1"/>
  <c r="P104" i="532"/>
  <c r="J104" i="527"/>
  <c r="K104" i="531"/>
  <c r="N104" i="531" s="1"/>
  <c r="Q104" i="531" s="1"/>
  <c r="T104" i="531" s="1"/>
  <c r="B51" i="528"/>
  <c r="AC51" i="528"/>
  <c r="B69" i="528"/>
  <c r="C86" i="529"/>
  <c r="B86" i="529" s="1"/>
  <c r="C65" i="529"/>
  <c r="J65" i="529" s="1"/>
  <c r="B85" i="528"/>
  <c r="B56" i="528"/>
  <c r="AC65" i="528"/>
  <c r="C56" i="529"/>
  <c r="B56" i="529" s="1"/>
  <c r="AC69" i="528"/>
  <c r="AC86" i="528"/>
  <c r="K55" i="528"/>
  <c r="S55" i="528"/>
  <c r="N55" i="528"/>
  <c r="J55" i="528"/>
  <c r="B55" i="528"/>
  <c r="F55" i="528"/>
  <c r="P55" i="528"/>
  <c r="Q55" i="528"/>
  <c r="U48" i="528"/>
  <c r="D48" i="529" s="1"/>
  <c r="T55" i="528"/>
  <c r="H55" i="528"/>
  <c r="Z55" i="528"/>
  <c r="AC55" i="528"/>
  <c r="V102" i="469"/>
  <c r="M55" i="528"/>
  <c r="C55" i="529"/>
  <c r="M55" i="529" s="1"/>
  <c r="G55" i="528"/>
  <c r="C85" i="529"/>
  <c r="B85" i="529" s="1"/>
  <c r="C82" i="529"/>
  <c r="J82" i="529" s="1"/>
  <c r="AC82" i="528"/>
  <c r="V102" i="473"/>
  <c r="C75" i="529"/>
  <c r="J75" i="529" s="1"/>
  <c r="B75" i="528"/>
  <c r="AC57" i="528"/>
  <c r="C73" i="529"/>
  <c r="K73" i="529" s="1"/>
  <c r="C46" i="529"/>
  <c r="B46" i="529" s="1"/>
  <c r="Q48" i="528"/>
  <c r="S93" i="469"/>
  <c r="T93" i="469" s="1"/>
  <c r="Z48" i="528"/>
  <c r="P48" i="528"/>
  <c r="S94" i="469"/>
  <c r="T94" i="469" s="1"/>
  <c r="U94" i="469" s="1"/>
  <c r="T94" i="475"/>
  <c r="U94" i="475" s="1"/>
  <c r="W94" i="475" s="1"/>
  <c r="Y94" i="475" s="1"/>
  <c r="B73" i="528"/>
  <c r="B41" i="528"/>
  <c r="S91" i="469"/>
  <c r="T91" i="469" s="1"/>
  <c r="U91" i="469" s="1"/>
  <c r="B57" i="528"/>
  <c r="B42" i="528"/>
  <c r="B46" i="528"/>
  <c r="J80" i="528"/>
  <c r="S92" i="469"/>
  <c r="T92" i="469" s="1"/>
  <c r="U92" i="469" s="1"/>
  <c r="M80" i="528"/>
  <c r="S96" i="469"/>
  <c r="T96" i="469" s="1"/>
  <c r="U96" i="469" s="1"/>
  <c r="T95" i="475"/>
  <c r="U95" i="475" s="1"/>
  <c r="W95" i="475" s="1"/>
  <c r="Y95" i="475" s="1"/>
  <c r="H80" i="528"/>
  <c r="C80" i="529"/>
  <c r="J80" i="529" s="1"/>
  <c r="C79" i="529"/>
  <c r="C79" i="530" s="1"/>
  <c r="U80" i="528"/>
  <c r="D80" i="529" s="1"/>
  <c r="P80" i="528"/>
  <c r="AC47" i="528"/>
  <c r="B80" i="528"/>
  <c r="G80" i="528"/>
  <c r="B95" i="528"/>
  <c r="C52" i="529"/>
  <c r="B52" i="529" s="1"/>
  <c r="B52" i="528"/>
  <c r="S34" i="469"/>
  <c r="T34" i="469" s="1"/>
  <c r="U34" i="469" s="1"/>
  <c r="C81" i="529"/>
  <c r="K81" i="529" s="1"/>
  <c r="T98" i="475"/>
  <c r="U98" i="475" s="1"/>
  <c r="W98" i="475" s="1"/>
  <c r="Y98" i="475" s="1"/>
  <c r="AC80" i="528"/>
  <c r="N80" i="528"/>
  <c r="Q80" i="528"/>
  <c r="Z80" i="528"/>
  <c r="S80" i="528"/>
  <c r="T80" i="528"/>
  <c r="F80" i="528"/>
  <c r="S98" i="469"/>
  <c r="T98" i="469" s="1"/>
  <c r="C95" i="529"/>
  <c r="B95" i="529" s="1"/>
  <c r="W98" i="536"/>
  <c r="Z98" i="536"/>
  <c r="V98" i="473" s="1"/>
  <c r="W98" i="473" s="1"/>
  <c r="Y98" i="473" s="1"/>
  <c r="F98" i="522"/>
  <c r="T103" i="475"/>
  <c r="U103" i="475" s="1"/>
  <c r="W103" i="475" s="1"/>
  <c r="Y103" i="475" s="1"/>
  <c r="Z103" i="475" s="1"/>
  <c r="I103" i="370" s="1"/>
  <c r="AM103" i="370" s="1"/>
  <c r="T103" i="469"/>
  <c r="U103" i="469"/>
  <c r="W103" i="536"/>
  <c r="Z103" i="536"/>
  <c r="V103" i="469" s="1"/>
  <c r="Z103" i="473"/>
  <c r="G103" i="370" s="1"/>
  <c r="AK103" i="370" s="1"/>
  <c r="Z102" i="558"/>
  <c r="K102" i="370" s="1"/>
  <c r="AO102" i="370" s="1"/>
  <c r="AB102" i="474"/>
  <c r="H102" i="370" s="1"/>
  <c r="AL102" i="370" s="1"/>
  <c r="Z102" i="476"/>
  <c r="J102" i="370" s="1"/>
  <c r="AN102" i="370" s="1"/>
  <c r="Z102" i="472"/>
  <c r="F102" i="370" s="1"/>
  <c r="B102" i="370" s="1"/>
  <c r="Z101" i="476"/>
  <c r="J101" i="370" s="1"/>
  <c r="AN101" i="370" s="1"/>
  <c r="Z101" i="558"/>
  <c r="K101" i="370" s="1"/>
  <c r="AO101" i="370" s="1"/>
  <c r="T102" i="475"/>
  <c r="U102" i="475" s="1"/>
  <c r="W102" i="475" s="1"/>
  <c r="Y102" i="475" s="1"/>
  <c r="AB101" i="474"/>
  <c r="H101" i="370" s="1"/>
  <c r="AL101" i="370" s="1"/>
  <c r="F102" i="522"/>
  <c r="C102" i="529"/>
  <c r="K102" i="529" s="1"/>
  <c r="AC102" i="528"/>
  <c r="Z101" i="472"/>
  <c r="F101" i="370" s="1"/>
  <c r="AJ101" i="370" s="1"/>
  <c r="Z100" i="558"/>
  <c r="K100" i="370" s="1"/>
  <c r="AO100" i="370" s="1"/>
  <c r="T101" i="475"/>
  <c r="U101" i="475" s="1"/>
  <c r="W101" i="475" s="1"/>
  <c r="Y101" i="475" s="1"/>
  <c r="AB100" i="474"/>
  <c r="H100" i="370" s="1"/>
  <c r="AL100" i="370" s="1"/>
  <c r="S101" i="469"/>
  <c r="T101" i="469" s="1"/>
  <c r="Z101" i="536"/>
  <c r="V101" i="473" s="1"/>
  <c r="W101" i="473" s="1"/>
  <c r="Y101" i="473" s="1"/>
  <c r="W101" i="536"/>
  <c r="Z100" i="476"/>
  <c r="J100" i="370" s="1"/>
  <c r="AN100" i="370" s="1"/>
  <c r="Z100" i="472"/>
  <c r="F100" i="370" s="1"/>
  <c r="B100" i="370" s="1"/>
  <c r="T100" i="475"/>
  <c r="U100" i="475" s="1"/>
  <c r="W100" i="475" s="1"/>
  <c r="Y100" i="475" s="1"/>
  <c r="S100" i="469"/>
  <c r="Z100" i="536"/>
  <c r="V100" i="471" s="1"/>
  <c r="W100" i="471" s="1"/>
  <c r="Y100" i="471" s="1"/>
  <c r="AB99" i="474"/>
  <c r="H99" i="370" s="1"/>
  <c r="AL99" i="370" s="1"/>
  <c r="Z99" i="558"/>
  <c r="K99" i="370" s="1"/>
  <c r="AO99" i="370" s="1"/>
  <c r="Z99" i="476"/>
  <c r="J99" i="370" s="1"/>
  <c r="AN99" i="370" s="1"/>
  <c r="Z99" i="472"/>
  <c r="F99" i="370" s="1"/>
  <c r="B99" i="370" s="1"/>
  <c r="T99" i="475"/>
  <c r="U99" i="475" s="1"/>
  <c r="W99" i="475" s="1"/>
  <c r="Y99" i="475" s="1"/>
  <c r="T99" i="469"/>
  <c r="U99" i="469" s="1"/>
  <c r="F99" i="522"/>
  <c r="D99" i="527"/>
  <c r="Z99" i="536"/>
  <c r="V99" i="473" s="1"/>
  <c r="W99" i="473" s="1"/>
  <c r="Y99" i="473" s="1"/>
  <c r="T97" i="475"/>
  <c r="U97" i="475" s="1"/>
  <c r="W97" i="475" s="1"/>
  <c r="Y97" i="475" s="1"/>
  <c r="F97" i="522"/>
  <c r="S97" i="469"/>
  <c r="T97" i="469" s="1"/>
  <c r="D97" i="527"/>
  <c r="Z97" i="536"/>
  <c r="V97" i="471" s="1"/>
  <c r="W97" i="471" s="1"/>
  <c r="Y97" i="471" s="1"/>
  <c r="W97" i="536"/>
  <c r="F96" i="522"/>
  <c r="D94" i="527"/>
  <c r="T96" i="475"/>
  <c r="U96" i="475" s="1"/>
  <c r="W96" i="475" s="1"/>
  <c r="Y96" i="475" s="1"/>
  <c r="W96" i="536"/>
  <c r="Z96" i="536"/>
  <c r="V96" i="469" s="1"/>
  <c r="S95" i="469"/>
  <c r="T95" i="469" s="1"/>
  <c r="D95" i="527"/>
  <c r="F95" i="522"/>
  <c r="W95" i="536"/>
  <c r="W94" i="536"/>
  <c r="T93" i="475"/>
  <c r="U93" i="475" s="1"/>
  <c r="W93" i="475" s="1"/>
  <c r="Y93" i="475" s="1"/>
  <c r="D93" i="527"/>
  <c r="Z93" i="536"/>
  <c r="V93" i="471" s="1"/>
  <c r="W93" i="471" s="1"/>
  <c r="Y93" i="471" s="1"/>
  <c r="T92" i="475"/>
  <c r="U92" i="475" s="1"/>
  <c r="W92" i="475" s="1"/>
  <c r="Y92" i="475" s="1"/>
  <c r="C42" i="529"/>
  <c r="K42" i="529" s="1"/>
  <c r="M48" i="528"/>
  <c r="H48" i="528"/>
  <c r="K48" i="528"/>
  <c r="G48" i="528"/>
  <c r="AC79" i="528"/>
  <c r="F48" i="528"/>
  <c r="N48" i="528"/>
  <c r="C48" i="529"/>
  <c r="G48" i="529" s="1"/>
  <c r="S48" i="528"/>
  <c r="F92" i="522"/>
  <c r="AC48" i="528"/>
  <c r="B48" i="528"/>
  <c r="T48" i="528"/>
  <c r="G61" i="528"/>
  <c r="W92" i="536"/>
  <c r="Z92" i="536"/>
  <c r="V92" i="471" s="1"/>
  <c r="W92" i="471" s="1"/>
  <c r="Y92" i="471" s="1"/>
  <c r="AC97" i="528"/>
  <c r="C97" i="529"/>
  <c r="B97" i="528"/>
  <c r="B96" i="528"/>
  <c r="C96" i="529"/>
  <c r="AC96" i="528"/>
  <c r="C92" i="529"/>
  <c r="B92" i="528"/>
  <c r="AC92" i="528"/>
  <c r="AC101" i="528"/>
  <c r="B101" i="528"/>
  <c r="C101" i="529"/>
  <c r="B93" i="528"/>
  <c r="C93" i="529"/>
  <c r="AC93" i="528"/>
  <c r="B103" i="528"/>
  <c r="C103" i="529"/>
  <c r="AC103" i="528"/>
  <c r="AC94" i="528"/>
  <c r="C94" i="529"/>
  <c r="B94" i="528"/>
  <c r="V94" i="471"/>
  <c r="W94" i="471" s="1"/>
  <c r="Y94" i="471" s="1"/>
  <c r="V94" i="473"/>
  <c r="W94" i="473" s="1"/>
  <c r="Y94" i="473" s="1"/>
  <c r="V94" i="469"/>
  <c r="AC99" i="528"/>
  <c r="C99" i="529"/>
  <c r="B99" i="528"/>
  <c r="C98" i="529"/>
  <c r="AC98" i="528"/>
  <c r="B98" i="528"/>
  <c r="AC100" i="528"/>
  <c r="B100" i="528"/>
  <c r="C100" i="529"/>
  <c r="AC41" i="528"/>
  <c r="V43" i="473"/>
  <c r="AC88" i="528"/>
  <c r="C88" i="529"/>
  <c r="K88" i="529" s="1"/>
  <c r="C53" i="529"/>
  <c r="K53" i="529" s="1"/>
  <c r="V55" i="473"/>
  <c r="B54" i="528"/>
  <c r="AC68" i="528"/>
  <c r="B68" i="528"/>
  <c r="AC91" i="528"/>
  <c r="V48" i="469"/>
  <c r="V48" i="473"/>
  <c r="W85" i="536"/>
  <c r="Z42" i="536"/>
  <c r="V42" i="469" s="1"/>
  <c r="W42" i="536"/>
  <c r="U51" i="536"/>
  <c r="Z51" i="536" s="1"/>
  <c r="V51" i="473" s="1"/>
  <c r="W51" i="473" s="1"/>
  <c r="Y51" i="473" s="1"/>
  <c r="U78" i="536"/>
  <c r="Z78" i="536" s="1"/>
  <c r="V78" i="469" s="1"/>
  <c r="Z86" i="536"/>
  <c r="V86" i="469" s="1"/>
  <c r="U90" i="536"/>
  <c r="W90" i="536" s="1"/>
  <c r="U87" i="536"/>
  <c r="C91" i="529"/>
  <c r="B91" i="529" s="1"/>
  <c r="V68" i="471"/>
  <c r="W68" i="471" s="1"/>
  <c r="Y68" i="471" s="1"/>
  <c r="V79" i="469"/>
  <c r="E80" i="528"/>
  <c r="T91" i="475"/>
  <c r="U91" i="475" s="1"/>
  <c r="W91" i="475" s="1"/>
  <c r="Y91" i="475" s="1"/>
  <c r="B81" i="528"/>
  <c r="U90" i="475"/>
  <c r="W90" i="475" s="1"/>
  <c r="Y90" i="475" s="1"/>
  <c r="S90" i="469"/>
  <c r="B90" i="528"/>
  <c r="C90" i="529"/>
  <c r="AC90" i="528"/>
  <c r="W85" i="473"/>
  <c r="Y85" i="473" s="1"/>
  <c r="B87" i="528"/>
  <c r="T89" i="475"/>
  <c r="U89" i="475" s="1"/>
  <c r="W89" i="475" s="1"/>
  <c r="Y89" i="475" s="1"/>
  <c r="C89" i="529"/>
  <c r="C89" i="530" s="1"/>
  <c r="AC89" i="528"/>
  <c r="S89" i="469"/>
  <c r="T89" i="469" s="1"/>
  <c r="V89" i="471"/>
  <c r="W89" i="471" s="1"/>
  <c r="Y89" i="471" s="1"/>
  <c r="V89" i="469"/>
  <c r="V89" i="473"/>
  <c r="W89" i="473" s="1"/>
  <c r="Y89" i="473" s="1"/>
  <c r="W89" i="536"/>
  <c r="AC76" i="528"/>
  <c r="V68" i="469"/>
  <c r="AB88" i="474"/>
  <c r="H88" i="370" s="1"/>
  <c r="AL88" i="370" s="1"/>
  <c r="Z88" i="476"/>
  <c r="J88" i="370" s="1"/>
  <c r="AN88" i="370" s="1"/>
  <c r="U88" i="475"/>
  <c r="W88" i="475" s="1"/>
  <c r="Y88" i="475" s="1"/>
  <c r="T88" i="475"/>
  <c r="S88" i="469"/>
  <c r="U88" i="469" s="1"/>
  <c r="T88" i="469"/>
  <c r="Z88" i="536"/>
  <c r="W88" i="536"/>
  <c r="T87" i="475"/>
  <c r="U87" i="475" s="1"/>
  <c r="W87" i="475" s="1"/>
  <c r="Y87" i="475" s="1"/>
  <c r="S87" i="469"/>
  <c r="T87" i="469" s="1"/>
  <c r="AC87" i="528"/>
  <c r="C87" i="530"/>
  <c r="K87" i="529"/>
  <c r="B87" i="529"/>
  <c r="J87" i="529"/>
  <c r="V83" i="469"/>
  <c r="V81" i="471"/>
  <c r="W81" i="471" s="1"/>
  <c r="Y81" i="471" s="1"/>
  <c r="V79" i="471"/>
  <c r="V77" i="473"/>
  <c r="V77" i="469"/>
  <c r="T86" i="475"/>
  <c r="U86" i="475" s="1"/>
  <c r="W86" i="475" s="1"/>
  <c r="Y86" i="475" s="1"/>
  <c r="S86" i="469"/>
  <c r="T86" i="469" s="1"/>
  <c r="V85" i="469"/>
  <c r="V85" i="471"/>
  <c r="W85" i="471" s="1"/>
  <c r="Y85" i="471" s="1"/>
  <c r="T85" i="475"/>
  <c r="U85" i="475" s="1"/>
  <c r="W85" i="475" s="1"/>
  <c r="Y85" i="475" s="1"/>
  <c r="S85" i="469"/>
  <c r="T85" i="469" s="1"/>
  <c r="U85" i="469" s="1"/>
  <c r="V81" i="473"/>
  <c r="W81" i="473" s="1"/>
  <c r="Y81" i="473" s="1"/>
  <c r="U72" i="536"/>
  <c r="Z82" i="536"/>
  <c r="W83" i="471"/>
  <c r="Y83" i="471" s="1"/>
  <c r="T84" i="475"/>
  <c r="U84" i="475" s="1"/>
  <c r="W84" i="475" s="1"/>
  <c r="Y84" i="475" s="1"/>
  <c r="S84" i="469"/>
  <c r="T84" i="469" s="1"/>
  <c r="U84" i="469" s="1"/>
  <c r="Z84" i="536"/>
  <c r="W84" i="536"/>
  <c r="K84" i="529"/>
  <c r="C84" i="530"/>
  <c r="B84" i="529"/>
  <c r="J84" i="529"/>
  <c r="T83" i="475"/>
  <c r="U83" i="475"/>
  <c r="W83" i="475" s="1"/>
  <c r="Y83" i="475" s="1"/>
  <c r="T83" i="469"/>
  <c r="U83" i="469"/>
  <c r="F83" i="522"/>
  <c r="D83" i="527"/>
  <c r="V83" i="473"/>
  <c r="W83" i="473" s="1"/>
  <c r="Y83" i="473" s="1"/>
  <c r="W83" i="536"/>
  <c r="B83" i="528"/>
  <c r="C83" i="529"/>
  <c r="J83" i="529" s="1"/>
  <c r="T82" i="475"/>
  <c r="U82" i="475" s="1"/>
  <c r="W82" i="475" s="1"/>
  <c r="Y82" i="475" s="1"/>
  <c r="S82" i="469"/>
  <c r="T82" i="469" s="1"/>
  <c r="U82" i="469" s="1"/>
  <c r="T81" i="475"/>
  <c r="U81" i="475" s="1"/>
  <c r="W81" i="475" s="1"/>
  <c r="Y81" i="475" s="1"/>
  <c r="S81" i="469"/>
  <c r="T81" i="469" s="1"/>
  <c r="T79" i="475"/>
  <c r="U79" i="475" s="1"/>
  <c r="W79" i="475" s="1"/>
  <c r="Y79" i="475" s="1"/>
  <c r="S79" i="469"/>
  <c r="T78" i="475"/>
  <c r="U78" i="475" s="1"/>
  <c r="W78" i="475" s="1"/>
  <c r="Y78" i="475" s="1"/>
  <c r="S78" i="469"/>
  <c r="C78" i="529"/>
  <c r="C78" i="530" s="1"/>
  <c r="AC78" i="528"/>
  <c r="B78" i="528"/>
  <c r="T77" i="475"/>
  <c r="U77" i="475" s="1"/>
  <c r="W77" i="475" s="1"/>
  <c r="Y77" i="475" s="1"/>
  <c r="S77" i="469"/>
  <c r="K77" i="529"/>
  <c r="J77" i="529"/>
  <c r="C77" i="530"/>
  <c r="B77" i="529"/>
  <c r="T76" i="475"/>
  <c r="U76" i="475"/>
  <c r="W76" i="475" s="1"/>
  <c r="Y76" i="475" s="1"/>
  <c r="T76" i="469"/>
  <c r="U76" i="469" s="1"/>
  <c r="Z76" i="536"/>
  <c r="W76" i="536"/>
  <c r="D76" i="527"/>
  <c r="B76" i="528"/>
  <c r="K76" i="529"/>
  <c r="J76" i="529"/>
  <c r="C76" i="530"/>
  <c r="B76" i="529"/>
  <c r="T75" i="475"/>
  <c r="U75" i="475" s="1"/>
  <c r="W75" i="475" s="1"/>
  <c r="Y75" i="475" s="1"/>
  <c r="S75" i="469"/>
  <c r="T75" i="469" s="1"/>
  <c r="U75" i="469" s="1"/>
  <c r="W73" i="536"/>
  <c r="Z73" i="536"/>
  <c r="W72" i="536"/>
  <c r="Z72" i="536"/>
  <c r="V72" i="471" s="1"/>
  <c r="W72" i="471" s="1"/>
  <c r="Y72" i="471" s="1"/>
  <c r="U65" i="536"/>
  <c r="Z65" i="536" s="1"/>
  <c r="V65" i="469" s="1"/>
  <c r="B47" i="528"/>
  <c r="U47" i="536"/>
  <c r="W47" i="536" s="1"/>
  <c r="Z37" i="536"/>
  <c r="V37" i="469" s="1"/>
  <c r="C70" i="529"/>
  <c r="K70" i="529" s="1"/>
  <c r="T72" i="475"/>
  <c r="U72" i="475" s="1"/>
  <c r="W72" i="475" s="1"/>
  <c r="Y72" i="475" s="1"/>
  <c r="T73" i="475"/>
  <c r="U73" i="475" s="1"/>
  <c r="W73" i="475" s="1"/>
  <c r="Y73" i="475" s="1"/>
  <c r="S73" i="469"/>
  <c r="T73" i="469" s="1"/>
  <c r="U73" i="469" s="1"/>
  <c r="S72" i="469"/>
  <c r="T72" i="469" s="1"/>
  <c r="S67" i="469"/>
  <c r="T67" i="469" s="1"/>
  <c r="U67" i="469" s="1"/>
  <c r="F72" i="522"/>
  <c r="D72" i="527"/>
  <c r="U54" i="536"/>
  <c r="W54" i="536" s="1"/>
  <c r="W46" i="536"/>
  <c r="K72" i="529"/>
  <c r="J72" i="529"/>
  <c r="B72" i="529"/>
  <c r="C72" i="530"/>
  <c r="T67" i="475"/>
  <c r="U67" i="475" s="1"/>
  <c r="W67" i="475" s="1"/>
  <c r="Y67" i="475" s="1"/>
  <c r="Z67" i="536"/>
  <c r="W67" i="536"/>
  <c r="AC70" i="528"/>
  <c r="AC62" i="528"/>
  <c r="C62" i="529"/>
  <c r="C62" i="530" s="1"/>
  <c r="U53" i="536"/>
  <c r="Z53" i="536" s="1"/>
  <c r="V53" i="471" s="1"/>
  <c r="W53" i="471" s="1"/>
  <c r="Y53" i="471" s="1"/>
  <c r="AJ48" i="370"/>
  <c r="AG48" i="370" s="1"/>
  <c r="Z43" i="528"/>
  <c r="H61" i="528"/>
  <c r="K61" i="528"/>
  <c r="P61" i="528"/>
  <c r="W38" i="473"/>
  <c r="Y38" i="473" s="1"/>
  <c r="V43" i="469"/>
  <c r="T71" i="475"/>
  <c r="U71" i="475" s="1"/>
  <c r="W71" i="475" s="1"/>
  <c r="Y71" i="475" s="1"/>
  <c r="Z71" i="536"/>
  <c r="V71" i="469" s="1"/>
  <c r="S71" i="469"/>
  <c r="T71" i="469" s="1"/>
  <c r="D63" i="527"/>
  <c r="C67" i="529"/>
  <c r="B67" i="529" s="1"/>
  <c r="B67" i="528"/>
  <c r="AC67" i="528"/>
  <c r="J71" i="529"/>
  <c r="B71" i="529"/>
  <c r="K71" i="529"/>
  <c r="C71" i="530"/>
  <c r="U61" i="528"/>
  <c r="D61" i="529" s="1"/>
  <c r="M61" i="528"/>
  <c r="K43" i="528"/>
  <c r="N61" i="528"/>
  <c r="F61" i="528"/>
  <c r="V55" i="471"/>
  <c r="J43" i="528"/>
  <c r="AC61" i="528"/>
  <c r="Q61" i="528"/>
  <c r="T61" i="528"/>
  <c r="C61" i="529"/>
  <c r="H61" i="529" s="1"/>
  <c r="D61" i="530" s="1"/>
  <c r="AC53" i="528"/>
  <c r="Z70" i="536"/>
  <c r="V70" i="469" s="1"/>
  <c r="T43" i="528"/>
  <c r="B45" i="528"/>
  <c r="B61" i="528"/>
  <c r="Z61" i="528"/>
  <c r="S61" i="528"/>
  <c r="S43" i="528"/>
  <c r="N43" i="528"/>
  <c r="P43" i="528"/>
  <c r="U43" i="528"/>
  <c r="D43" i="529" s="1"/>
  <c r="H43" i="528"/>
  <c r="B43" i="528"/>
  <c r="G43" i="528"/>
  <c r="F43" i="528"/>
  <c r="Q43" i="528"/>
  <c r="M43" i="528"/>
  <c r="C43" i="529"/>
  <c r="J43" i="529" s="1"/>
  <c r="F59" i="522"/>
  <c r="T70" i="475"/>
  <c r="U70" i="475" s="1"/>
  <c r="W70" i="475" s="1"/>
  <c r="Y70" i="475" s="1"/>
  <c r="S70" i="469"/>
  <c r="T70" i="469" s="1"/>
  <c r="U70" i="469" s="1"/>
  <c r="T69" i="475"/>
  <c r="U69" i="475" s="1"/>
  <c r="W69" i="475" s="1"/>
  <c r="Y69" i="475" s="1"/>
  <c r="S69" i="469"/>
  <c r="T69" i="469" s="1"/>
  <c r="W69" i="536"/>
  <c r="Z69" i="536"/>
  <c r="V69" i="473" s="1"/>
  <c r="W69" i="473" s="1"/>
  <c r="Y69" i="473" s="1"/>
  <c r="B69" i="529"/>
  <c r="C69" i="530"/>
  <c r="K69" i="529"/>
  <c r="J69" i="529"/>
  <c r="C60" i="529"/>
  <c r="K60" i="529" s="1"/>
  <c r="AC50" i="528"/>
  <c r="AC66" i="528"/>
  <c r="C50" i="529"/>
  <c r="B50" i="529" s="1"/>
  <c r="U50" i="536"/>
  <c r="Z50" i="536" s="1"/>
  <c r="V50" i="473" s="1"/>
  <c r="W50" i="473" s="1"/>
  <c r="Y50" i="473" s="1"/>
  <c r="AC45" i="528"/>
  <c r="V46" i="471"/>
  <c r="W46" i="471" s="1"/>
  <c r="Y46" i="471" s="1"/>
  <c r="C64" i="529"/>
  <c r="J64" i="529" s="1"/>
  <c r="T45" i="475"/>
  <c r="U45" i="475" s="1"/>
  <c r="W45" i="475" s="1"/>
  <c r="Y45" i="475" s="1"/>
  <c r="Z40" i="536"/>
  <c r="V40" i="471" s="1"/>
  <c r="W40" i="471" s="1"/>
  <c r="Y40" i="471" s="1"/>
  <c r="V46" i="473"/>
  <c r="W46" i="473" s="1"/>
  <c r="Y46" i="473" s="1"/>
  <c r="AB68" i="474"/>
  <c r="H68" i="370" s="1"/>
  <c r="AL68" i="370" s="1"/>
  <c r="AC44" i="528"/>
  <c r="Z68" i="472"/>
  <c r="F68" i="370" s="1"/>
  <c r="AJ68" i="370" s="1"/>
  <c r="S68" i="469"/>
  <c r="T68" i="469" s="1"/>
  <c r="T68" i="475"/>
  <c r="U68" i="475" s="1"/>
  <c r="W68" i="475" s="1"/>
  <c r="Y68" i="475" s="1"/>
  <c r="J68" i="529"/>
  <c r="L68" i="529" s="1"/>
  <c r="K68" i="529"/>
  <c r="C68" i="530"/>
  <c r="B68" i="529"/>
  <c r="U56" i="536"/>
  <c r="W56" i="536" s="1"/>
  <c r="V61" i="473"/>
  <c r="V61" i="469"/>
  <c r="C54" i="529"/>
  <c r="B54" i="529" s="1"/>
  <c r="Z36" i="536"/>
  <c r="U45" i="469"/>
  <c r="V45" i="469"/>
  <c r="V45" i="471"/>
  <c r="W45" i="471" s="1"/>
  <c r="Y45" i="471" s="1"/>
  <c r="W45" i="536"/>
  <c r="U52" i="536"/>
  <c r="T50" i="475"/>
  <c r="U50" i="475" s="1"/>
  <c r="W50" i="475" s="1"/>
  <c r="Y50" i="475" s="1"/>
  <c r="S50" i="469"/>
  <c r="D50" i="527"/>
  <c r="E48" i="528"/>
  <c r="U44" i="536"/>
  <c r="W44" i="536" s="1"/>
  <c r="U56" i="471"/>
  <c r="D64" i="527"/>
  <c r="F64" i="522"/>
  <c r="T56" i="475"/>
  <c r="U56" i="475" s="1"/>
  <c r="W56" i="475" s="1"/>
  <c r="Y56" i="475" s="1"/>
  <c r="S56" i="469"/>
  <c r="T56" i="469" s="1"/>
  <c r="B64" i="528"/>
  <c r="V34" i="469"/>
  <c r="V34" i="473"/>
  <c r="W34" i="473" s="1"/>
  <c r="Y34" i="473" s="1"/>
  <c r="W62" i="536"/>
  <c r="Z62" i="536"/>
  <c r="V62" i="471" s="1"/>
  <c r="W62" i="471" s="1"/>
  <c r="Y62" i="471" s="1"/>
  <c r="V49" i="469"/>
  <c r="V49" i="471"/>
  <c r="W49" i="471" s="1"/>
  <c r="Y49" i="471" s="1"/>
  <c r="V49" i="473"/>
  <c r="Z44" i="536"/>
  <c r="V44" i="469" s="1"/>
  <c r="V45" i="473"/>
  <c r="W45" i="473" s="1"/>
  <c r="Y45" i="473" s="1"/>
  <c r="B66" i="528"/>
  <c r="Z60" i="536"/>
  <c r="C44" i="529"/>
  <c r="J44" i="529" s="1"/>
  <c r="S41" i="469"/>
  <c r="T41" i="469" s="1"/>
  <c r="U41" i="469" s="1"/>
  <c r="B60" i="528"/>
  <c r="Z64" i="536"/>
  <c r="W64" i="536"/>
  <c r="B58" i="528"/>
  <c r="U57" i="536"/>
  <c r="C58" i="529"/>
  <c r="J58" i="529" s="1"/>
  <c r="AC59" i="528"/>
  <c r="V35" i="471"/>
  <c r="C59" i="529"/>
  <c r="B59" i="529" s="1"/>
  <c r="W49" i="473"/>
  <c r="Y49" i="473" s="1"/>
  <c r="S57" i="469"/>
  <c r="T57" i="475"/>
  <c r="U57" i="475" s="1"/>
  <c r="W57" i="475" s="1"/>
  <c r="Y57" i="475" s="1"/>
  <c r="T58" i="475"/>
  <c r="U58" i="475" s="1"/>
  <c r="W58" i="475" s="1"/>
  <c r="Y58" i="475" s="1"/>
  <c r="U58" i="536"/>
  <c r="W58" i="536" s="1"/>
  <c r="T58" i="469"/>
  <c r="U58" i="469" s="1"/>
  <c r="T51" i="475"/>
  <c r="U51" i="475" s="1"/>
  <c r="W51" i="475" s="1"/>
  <c r="Y51" i="475" s="1"/>
  <c r="S51" i="469"/>
  <c r="T51" i="469" s="1"/>
  <c r="U51" i="469" s="1"/>
  <c r="T44" i="475"/>
  <c r="U44" i="475" s="1"/>
  <c r="W44" i="475" s="1"/>
  <c r="Y44" i="475" s="1"/>
  <c r="T46" i="475"/>
  <c r="U46" i="475" s="1"/>
  <c r="W46" i="475" s="1"/>
  <c r="Y46" i="475" s="1"/>
  <c r="T49" i="475"/>
  <c r="U49" i="475" s="1"/>
  <c r="W49" i="475" s="1"/>
  <c r="Y49" i="475" s="1"/>
  <c r="T52" i="475"/>
  <c r="U52" i="475" s="1"/>
  <c r="W52" i="475" s="1"/>
  <c r="Y52" i="475" s="1"/>
  <c r="S52" i="469"/>
  <c r="T53" i="475"/>
  <c r="U53" i="475" s="1"/>
  <c r="W53" i="475" s="1"/>
  <c r="Y53" i="475" s="1"/>
  <c r="S53" i="469"/>
  <c r="T53" i="469" s="1"/>
  <c r="S49" i="469"/>
  <c r="T49" i="469" s="1"/>
  <c r="T46" i="469"/>
  <c r="U46" i="469" s="1"/>
  <c r="T44" i="469"/>
  <c r="U44" i="469" s="1"/>
  <c r="T41" i="475"/>
  <c r="U41" i="475" s="1"/>
  <c r="W41" i="475" s="1"/>
  <c r="Y41" i="475" s="1"/>
  <c r="U41" i="536"/>
  <c r="G41" i="472"/>
  <c r="U41" i="472" s="1"/>
  <c r="W41" i="472" s="1"/>
  <c r="Y41" i="472" s="1"/>
  <c r="S37" i="469"/>
  <c r="S64" i="469"/>
  <c r="T65" i="469"/>
  <c r="U65" i="469" s="1"/>
  <c r="T65" i="475"/>
  <c r="U65" i="475" s="1"/>
  <c r="W65" i="475" s="1"/>
  <c r="Y65" i="475" s="1"/>
  <c r="T64" i="475"/>
  <c r="U64" i="475" s="1"/>
  <c r="W64" i="475" s="1"/>
  <c r="Y64" i="475" s="1"/>
  <c r="T54" i="475"/>
  <c r="U54" i="475" s="1"/>
  <c r="W54" i="475" s="1"/>
  <c r="Y54" i="475" s="1"/>
  <c r="S54" i="469"/>
  <c r="T36" i="475"/>
  <c r="U36" i="475" s="1"/>
  <c r="W36" i="475" s="1"/>
  <c r="Y36" i="475" s="1"/>
  <c r="S36" i="469"/>
  <c r="W38" i="536"/>
  <c r="V35" i="469"/>
  <c r="U66" i="536"/>
  <c r="U63" i="536"/>
  <c r="F62" i="522"/>
  <c r="G35" i="472"/>
  <c r="U35" i="472" s="1"/>
  <c r="W35" i="472" s="1"/>
  <c r="Y35" i="472" s="1"/>
  <c r="W35" i="471"/>
  <c r="Y35" i="471" s="1"/>
  <c r="U59" i="536"/>
  <c r="Z59" i="536" s="1"/>
  <c r="F60" i="522"/>
  <c r="D60" i="527"/>
  <c r="S60" i="469"/>
  <c r="T60" i="469" s="1"/>
  <c r="U60" i="469" s="1"/>
  <c r="T35" i="469"/>
  <c r="U35" i="469" s="1"/>
  <c r="T60" i="475"/>
  <c r="U60" i="475" s="1"/>
  <c r="W60" i="475" s="1"/>
  <c r="Y60" i="475" s="1"/>
  <c r="T59" i="475"/>
  <c r="U59" i="475" s="1"/>
  <c r="W59" i="475" s="1"/>
  <c r="Y59" i="475" s="1"/>
  <c r="S59" i="469"/>
  <c r="B49" i="528"/>
  <c r="C49" i="529"/>
  <c r="J49" i="529" s="1"/>
  <c r="T66" i="475"/>
  <c r="U66" i="475" s="1"/>
  <c r="W66" i="475" s="1"/>
  <c r="Y66" i="475" s="1"/>
  <c r="T62" i="475"/>
  <c r="U62" i="475" s="1"/>
  <c r="W62" i="475" s="1"/>
  <c r="Y62" i="475" s="1"/>
  <c r="T63" i="475"/>
  <c r="U63" i="475" s="1"/>
  <c r="W63" i="475" s="1"/>
  <c r="Y63" i="475" s="1"/>
  <c r="T47" i="475"/>
  <c r="U47" i="475" s="1"/>
  <c r="W47" i="475" s="1"/>
  <c r="Y47" i="475" s="1"/>
  <c r="T42" i="475"/>
  <c r="U42" i="475" s="1"/>
  <c r="W42" i="475" s="1"/>
  <c r="Y42" i="475" s="1"/>
  <c r="S62" i="469"/>
  <c r="S47" i="469"/>
  <c r="S63" i="469"/>
  <c r="S42" i="469"/>
  <c r="T42" i="469" s="1"/>
  <c r="S66" i="469"/>
  <c r="T66" i="469" s="1"/>
  <c r="T40" i="475"/>
  <c r="U40" i="475" s="1"/>
  <c r="W40" i="475" s="1"/>
  <c r="Y40" i="475" s="1"/>
  <c r="T38" i="475"/>
  <c r="U38" i="475" s="1"/>
  <c r="W38" i="475" s="1"/>
  <c r="Y38" i="475" s="1"/>
  <c r="S40" i="469"/>
  <c r="T40" i="469" s="1"/>
  <c r="U40" i="469" s="1"/>
  <c r="S38" i="469"/>
  <c r="T38" i="469" s="1"/>
  <c r="V38" i="469"/>
  <c r="V38" i="471"/>
  <c r="W38" i="471" s="1"/>
  <c r="Y38" i="471" s="1"/>
  <c r="J63" i="529"/>
  <c r="K63" i="529"/>
  <c r="C63" i="530"/>
  <c r="B63" i="529"/>
  <c r="K66" i="529"/>
  <c r="B66" i="529"/>
  <c r="C66" i="530"/>
  <c r="J66" i="529"/>
  <c r="C57" i="530"/>
  <c r="B57" i="529"/>
  <c r="J57" i="529"/>
  <c r="K57" i="529"/>
  <c r="B51" i="529"/>
  <c r="K51" i="529"/>
  <c r="C51" i="530"/>
  <c r="J51" i="529"/>
  <c r="K47" i="529"/>
  <c r="C47" i="530"/>
  <c r="B47" i="529"/>
  <c r="J47" i="529"/>
  <c r="K45" i="529"/>
  <c r="C45" i="530"/>
  <c r="B45" i="529"/>
  <c r="J45" i="529"/>
  <c r="C41" i="530"/>
  <c r="J41" i="529"/>
  <c r="B41" i="529"/>
  <c r="K41" i="529"/>
  <c r="AA31" i="475"/>
  <c r="AG113" i="370"/>
  <c r="AG104" i="370"/>
  <c r="AG117" i="370"/>
  <c r="AG109" i="370"/>
  <c r="B129" i="370"/>
  <c r="AJ129" i="370"/>
  <c r="AG129" i="370" s="1"/>
  <c r="B103" i="370"/>
  <c r="AJ103" i="370"/>
  <c r="B123" i="370"/>
  <c r="AJ123" i="370"/>
  <c r="AG123" i="370" s="1"/>
  <c r="B115" i="370"/>
  <c r="AJ115" i="370"/>
  <c r="AG115" i="370" s="1"/>
  <c r="B127" i="370"/>
  <c r="AJ127" i="370"/>
  <c r="AG127" i="370" s="1"/>
  <c r="B88" i="370"/>
  <c r="AJ88" i="370"/>
  <c r="B80" i="370"/>
  <c r="AJ80" i="370"/>
  <c r="AG80" i="370" s="1"/>
  <c r="B61" i="370"/>
  <c r="AJ61" i="370"/>
  <c r="AG61" i="370" s="1"/>
  <c r="B110" i="370"/>
  <c r="AJ110" i="370"/>
  <c r="AG110" i="370" s="1"/>
  <c r="B55" i="370"/>
  <c r="AJ55" i="370"/>
  <c r="AG55" i="370" s="1"/>
  <c r="B111" i="370"/>
  <c r="AJ111" i="370"/>
  <c r="AG111" i="370" s="1"/>
  <c r="B74" i="370"/>
  <c r="AJ74" i="370"/>
  <c r="AG74" i="370" s="1"/>
  <c r="B121" i="370"/>
  <c r="AJ121" i="370"/>
  <c r="AG121" i="370" s="1"/>
  <c r="B119" i="370"/>
  <c r="AJ119" i="370"/>
  <c r="AG119" i="370" s="1"/>
  <c r="B118" i="370"/>
  <c r="AJ118" i="370"/>
  <c r="AG118" i="370" s="1"/>
  <c r="B43" i="370"/>
  <c r="AJ43" i="370"/>
  <c r="AG43" i="370" s="1"/>
  <c r="B125" i="370"/>
  <c r="AJ125" i="370"/>
  <c r="AG125" i="370" s="1"/>
  <c r="B120" i="370"/>
  <c r="AJ120" i="370"/>
  <c r="AG120" i="370" s="1"/>
  <c r="B39" i="370"/>
  <c r="AJ39" i="370"/>
  <c r="W34" i="536" l="1"/>
  <c r="V95" i="473"/>
  <c r="W95" i="473" s="1"/>
  <c r="Y95" i="473" s="1"/>
  <c r="V95" i="471"/>
  <c r="W95" i="471" s="1"/>
  <c r="Y95" i="471" s="1"/>
  <c r="Z91" i="536"/>
  <c r="V91" i="469" s="1"/>
  <c r="Z75" i="536"/>
  <c r="V75" i="473" s="1"/>
  <c r="W75" i="473" s="1"/>
  <c r="Y75" i="473" s="1"/>
  <c r="J86" i="529"/>
  <c r="K86" i="529"/>
  <c r="K65" i="529"/>
  <c r="B65" i="529"/>
  <c r="U106" i="469"/>
  <c r="U105" i="469"/>
  <c r="J85" i="529"/>
  <c r="B75" i="529"/>
  <c r="C65" i="530"/>
  <c r="I65" i="530" s="1"/>
  <c r="P104" i="535"/>
  <c r="Q104" i="532"/>
  <c r="Q104" i="535" s="1"/>
  <c r="J56" i="529"/>
  <c r="K56" i="529"/>
  <c r="C56" i="530"/>
  <c r="I56" i="530" s="1"/>
  <c r="C52" i="530"/>
  <c r="I52" i="530" s="1"/>
  <c r="C86" i="530"/>
  <c r="I86" i="530" s="1"/>
  <c r="K82" i="529"/>
  <c r="L82" i="529" s="1"/>
  <c r="C82" i="530"/>
  <c r="I82" i="530" s="1"/>
  <c r="J73" i="529"/>
  <c r="L73" i="529" s="1"/>
  <c r="B82" i="529"/>
  <c r="J55" i="529"/>
  <c r="K55" i="529"/>
  <c r="J46" i="529"/>
  <c r="K75" i="529"/>
  <c r="L75" i="529" s="1"/>
  <c r="K85" i="529"/>
  <c r="C46" i="530"/>
  <c r="I46" i="530" s="1"/>
  <c r="C75" i="530"/>
  <c r="I75" i="530" s="1"/>
  <c r="C85" i="530"/>
  <c r="B85" i="530" s="1"/>
  <c r="K46" i="529"/>
  <c r="I55" i="528"/>
  <c r="L55" i="528" s="1"/>
  <c r="O55" i="528" s="1"/>
  <c r="H55" i="529"/>
  <c r="D55" i="530" s="1"/>
  <c r="C55" i="530"/>
  <c r="K55" i="530" s="1"/>
  <c r="G55" i="529"/>
  <c r="B55" i="529"/>
  <c r="F55" i="529"/>
  <c r="T55" i="532" s="1"/>
  <c r="L55" i="529"/>
  <c r="U93" i="469"/>
  <c r="B73" i="529"/>
  <c r="C73" i="530"/>
  <c r="I73" i="530" s="1"/>
  <c r="L80" i="529"/>
  <c r="I80" i="528"/>
  <c r="L80" i="528" s="1"/>
  <c r="W51" i="536"/>
  <c r="C81" i="530"/>
  <c r="J81" i="530" s="1"/>
  <c r="C48" i="530"/>
  <c r="B48" i="530" s="1"/>
  <c r="J60" i="529"/>
  <c r="K79" i="529"/>
  <c r="B79" i="529"/>
  <c r="J42" i="529"/>
  <c r="L42" i="529" s="1"/>
  <c r="J79" i="529"/>
  <c r="J48" i="529"/>
  <c r="C80" i="530"/>
  <c r="L80" i="530" s="1"/>
  <c r="L102" i="529"/>
  <c r="G80" i="529"/>
  <c r="K80" i="529"/>
  <c r="F80" i="529"/>
  <c r="T80" i="532" s="1"/>
  <c r="H80" i="529"/>
  <c r="D80" i="530" s="1"/>
  <c r="B80" i="529"/>
  <c r="M80" i="529"/>
  <c r="C42" i="530"/>
  <c r="C42" i="531" s="1"/>
  <c r="F48" i="529"/>
  <c r="T48" i="532" s="1"/>
  <c r="L48" i="529"/>
  <c r="B81" i="529"/>
  <c r="B42" i="529"/>
  <c r="M48" i="529"/>
  <c r="H48" i="529"/>
  <c r="D48" i="530" s="1"/>
  <c r="J81" i="529"/>
  <c r="K48" i="529"/>
  <c r="B48" i="529"/>
  <c r="K52" i="529"/>
  <c r="J52" i="529"/>
  <c r="V101" i="471"/>
  <c r="W101" i="471" s="1"/>
  <c r="Y101" i="471" s="1"/>
  <c r="C95" i="530"/>
  <c r="J95" i="530" s="1"/>
  <c r="V103" i="473"/>
  <c r="V103" i="471"/>
  <c r="W103" i="471" s="1"/>
  <c r="Y103" i="471" s="1"/>
  <c r="Z103" i="471" s="1"/>
  <c r="E103" i="370" s="1"/>
  <c r="AI103" i="370" s="1"/>
  <c r="J102" i="529"/>
  <c r="V101" i="469"/>
  <c r="V75" i="471"/>
  <c r="W75" i="471" s="1"/>
  <c r="Y75" i="471" s="1"/>
  <c r="B53" i="529"/>
  <c r="C53" i="530"/>
  <c r="I53" i="530" s="1"/>
  <c r="J53" i="529"/>
  <c r="L53" i="529" s="1"/>
  <c r="V93" i="473"/>
  <c r="W93" i="473" s="1"/>
  <c r="Y93" i="473" s="1"/>
  <c r="V93" i="469"/>
  <c r="V98" i="471"/>
  <c r="W98" i="471" s="1"/>
  <c r="Y98" i="471" s="1"/>
  <c r="C102" i="530"/>
  <c r="B102" i="530" s="1"/>
  <c r="B102" i="529"/>
  <c r="V97" i="473"/>
  <c r="W97" i="473" s="1"/>
  <c r="Y97" i="473" s="1"/>
  <c r="V98" i="469"/>
  <c r="V75" i="469"/>
  <c r="V51" i="471"/>
  <c r="W51" i="471" s="1"/>
  <c r="Y51" i="471" s="1"/>
  <c r="C88" i="530"/>
  <c r="J88" i="530" s="1"/>
  <c r="K88" i="530" s="1"/>
  <c r="V96" i="473"/>
  <c r="W96" i="473" s="1"/>
  <c r="Y96" i="473" s="1"/>
  <c r="K95" i="529"/>
  <c r="B62" i="529"/>
  <c r="V51" i="469"/>
  <c r="V96" i="471"/>
  <c r="W96" i="471" s="1"/>
  <c r="Y96" i="471" s="1"/>
  <c r="J95" i="529"/>
  <c r="U97" i="469"/>
  <c r="U98" i="469"/>
  <c r="Z102" i="475"/>
  <c r="I102" i="370" s="1"/>
  <c r="AM102" i="370" s="1"/>
  <c r="AJ102" i="370"/>
  <c r="B101" i="370"/>
  <c r="Z101" i="475"/>
  <c r="I101" i="370" s="1"/>
  <c r="AM101" i="370" s="1"/>
  <c r="Z101" i="471"/>
  <c r="E101" i="370" s="1"/>
  <c r="AI101" i="370" s="1"/>
  <c r="V97" i="469"/>
  <c r="V99" i="471"/>
  <c r="W99" i="471" s="1"/>
  <c r="Y99" i="471" s="1"/>
  <c r="AJ100" i="370"/>
  <c r="Z100" i="475"/>
  <c r="I100" i="370" s="1"/>
  <c r="AM100" i="370" s="1"/>
  <c r="U101" i="469"/>
  <c r="Z100" i="471"/>
  <c r="E100" i="370" s="1"/>
  <c r="AI100" i="370" s="1"/>
  <c r="Z99" i="475"/>
  <c r="I99" i="370" s="1"/>
  <c r="AM99" i="370" s="1"/>
  <c r="T100" i="469"/>
  <c r="U100" i="469" s="1"/>
  <c r="V100" i="469"/>
  <c r="V100" i="473"/>
  <c r="W100" i="473" s="1"/>
  <c r="Y100" i="473" s="1"/>
  <c r="Z100" i="473" s="1"/>
  <c r="G100" i="370" s="1"/>
  <c r="AK100" i="370" s="1"/>
  <c r="Z99" i="471"/>
  <c r="E99" i="370" s="1"/>
  <c r="AI99" i="370" s="1"/>
  <c r="AJ99" i="370"/>
  <c r="V99" i="469"/>
  <c r="U95" i="469"/>
  <c r="I48" i="528"/>
  <c r="L48" i="528" s="1"/>
  <c r="O48" i="528" s="1"/>
  <c r="R48" i="528" s="1"/>
  <c r="V92" i="469"/>
  <c r="V92" i="473"/>
  <c r="W92" i="473" s="1"/>
  <c r="Y92" i="473" s="1"/>
  <c r="L61" i="529"/>
  <c r="B61" i="529"/>
  <c r="C54" i="530"/>
  <c r="I54" i="530" s="1"/>
  <c r="V42" i="471"/>
  <c r="W42" i="471" s="1"/>
  <c r="Y42" i="471" s="1"/>
  <c r="K94" i="529"/>
  <c r="B94" i="529"/>
  <c r="C94" i="530"/>
  <c r="J94" i="529"/>
  <c r="C103" i="530"/>
  <c r="J103" i="529"/>
  <c r="K103" i="529"/>
  <c r="L103" i="529" s="1"/>
  <c r="B103" i="529"/>
  <c r="B93" i="529"/>
  <c r="J93" i="529"/>
  <c r="C93" i="530"/>
  <c r="K93" i="529"/>
  <c r="C98" i="530"/>
  <c r="J98" i="529"/>
  <c r="B98" i="529"/>
  <c r="K98" i="529"/>
  <c r="J99" i="529"/>
  <c r="L99" i="529" s="1"/>
  <c r="K99" i="529"/>
  <c r="C99" i="530"/>
  <c r="B99" i="529"/>
  <c r="J101" i="529"/>
  <c r="L101" i="529" s="1"/>
  <c r="K101" i="529"/>
  <c r="C101" i="530"/>
  <c r="B101" i="529"/>
  <c r="C96" i="530"/>
  <c r="B96" i="529"/>
  <c r="J96" i="529"/>
  <c r="K96" i="529"/>
  <c r="C92" i="530"/>
  <c r="K92" i="529"/>
  <c r="B92" i="529"/>
  <c r="J92" i="529"/>
  <c r="B97" i="529"/>
  <c r="J97" i="529"/>
  <c r="C97" i="530"/>
  <c r="K97" i="529"/>
  <c r="C100" i="530"/>
  <c r="B100" i="529"/>
  <c r="K100" i="529"/>
  <c r="L100" i="529" s="1"/>
  <c r="J100" i="529"/>
  <c r="B88" i="529"/>
  <c r="J88" i="529"/>
  <c r="L88" i="529"/>
  <c r="K91" i="529"/>
  <c r="J91" i="529"/>
  <c r="C91" i="530"/>
  <c r="I91" i="530" s="1"/>
  <c r="V42" i="473"/>
  <c r="W42" i="473" s="1"/>
  <c r="Y42" i="473" s="1"/>
  <c r="Z90" i="536"/>
  <c r="V90" i="469" s="1"/>
  <c r="V86" i="473"/>
  <c r="W86" i="473" s="1"/>
  <c r="Y86" i="473" s="1"/>
  <c r="W78" i="536"/>
  <c r="V78" i="473"/>
  <c r="W78" i="473" s="1"/>
  <c r="Y78" i="473" s="1"/>
  <c r="V78" i="471"/>
  <c r="W78" i="471" s="1"/>
  <c r="Y78" i="471" s="1"/>
  <c r="Z87" i="536"/>
  <c r="W87" i="536"/>
  <c r="K44" i="529"/>
  <c r="V86" i="471"/>
  <c r="W86" i="471" s="1"/>
  <c r="Y86" i="471" s="1"/>
  <c r="B58" i="529"/>
  <c r="K89" i="529"/>
  <c r="B89" i="529"/>
  <c r="J89" i="529"/>
  <c r="B64" i="529"/>
  <c r="J59" i="529"/>
  <c r="T90" i="469"/>
  <c r="U90" i="469" s="1"/>
  <c r="C90" i="530"/>
  <c r="B90" i="529"/>
  <c r="K90" i="529"/>
  <c r="J90" i="529"/>
  <c r="J78" i="529"/>
  <c r="U87" i="469"/>
  <c r="V40" i="473"/>
  <c r="W40" i="473" s="1"/>
  <c r="Y40" i="473" s="1"/>
  <c r="U89" i="469"/>
  <c r="B89" i="530"/>
  <c r="C89" i="531"/>
  <c r="J89" i="530"/>
  <c r="I89" i="530"/>
  <c r="L87" i="529"/>
  <c r="L81" i="529"/>
  <c r="L86" i="529"/>
  <c r="Z88" i="475"/>
  <c r="I88" i="370" s="1"/>
  <c r="AM88" i="370" s="1"/>
  <c r="V88" i="469"/>
  <c r="V88" i="471"/>
  <c r="W88" i="471" s="1"/>
  <c r="Y88" i="471" s="1"/>
  <c r="V88" i="473"/>
  <c r="C87" i="531"/>
  <c r="J87" i="530"/>
  <c r="B87" i="530"/>
  <c r="I87" i="530"/>
  <c r="B70" i="529"/>
  <c r="C70" i="530"/>
  <c r="B70" i="530" s="1"/>
  <c r="V65" i="471"/>
  <c r="W65" i="471" s="1"/>
  <c r="Y65" i="471" s="1"/>
  <c r="W65" i="536"/>
  <c r="U86" i="469"/>
  <c r="L76" i="529"/>
  <c r="L77" i="529"/>
  <c r="L79" i="529"/>
  <c r="V65" i="473"/>
  <c r="W65" i="473" s="1"/>
  <c r="Y65" i="473" s="1"/>
  <c r="J70" i="529"/>
  <c r="L70" i="529" s="1"/>
  <c r="K78" i="529"/>
  <c r="U81" i="469"/>
  <c r="C83" i="530"/>
  <c r="C83" i="531" s="1"/>
  <c r="B78" i="529"/>
  <c r="L84" i="529"/>
  <c r="V82" i="471"/>
  <c r="W82" i="471" s="1"/>
  <c r="Y82" i="471" s="1"/>
  <c r="V82" i="473"/>
  <c r="W82" i="473" s="1"/>
  <c r="Y82" i="473" s="1"/>
  <c r="V82" i="469"/>
  <c r="V84" i="469"/>
  <c r="V84" i="473"/>
  <c r="W84" i="473" s="1"/>
  <c r="Y84" i="473" s="1"/>
  <c r="V84" i="471"/>
  <c r="W84" i="471" s="1"/>
  <c r="Y84" i="471" s="1"/>
  <c r="C84" i="531"/>
  <c r="I84" i="530"/>
  <c r="B84" i="530"/>
  <c r="J84" i="530"/>
  <c r="B83" i="529"/>
  <c r="K83" i="529"/>
  <c r="L83" i="529" s="1"/>
  <c r="T79" i="469"/>
  <c r="U79" i="469" s="1"/>
  <c r="B79" i="530"/>
  <c r="J79" i="530"/>
  <c r="I79" i="530"/>
  <c r="C79" i="531"/>
  <c r="T78" i="469"/>
  <c r="U78" i="469" s="1"/>
  <c r="C78" i="531"/>
  <c r="B78" i="530"/>
  <c r="J78" i="530"/>
  <c r="I78" i="530"/>
  <c r="T77" i="469"/>
  <c r="U77" i="469" s="1"/>
  <c r="C77" i="531"/>
  <c r="I77" i="530"/>
  <c r="B77" i="530"/>
  <c r="K77" i="530"/>
  <c r="J77" i="530"/>
  <c r="V76" i="471"/>
  <c r="W76" i="471" s="1"/>
  <c r="Y76" i="471" s="1"/>
  <c r="V76" i="473"/>
  <c r="W76" i="473" s="1"/>
  <c r="Y76" i="473" s="1"/>
  <c r="V76" i="469"/>
  <c r="J76" i="530"/>
  <c r="I76" i="530"/>
  <c r="K76" i="530" s="1"/>
  <c r="C76" i="531"/>
  <c r="B76" i="530"/>
  <c r="K64" i="529"/>
  <c r="C64" i="530"/>
  <c r="C64" i="531" s="1"/>
  <c r="V73" i="471"/>
  <c r="W73" i="471" s="1"/>
  <c r="Y73" i="471" s="1"/>
  <c r="V73" i="469"/>
  <c r="V73" i="473"/>
  <c r="W73" i="473" s="1"/>
  <c r="Y73" i="473" s="1"/>
  <c r="V72" i="469"/>
  <c r="V72" i="473"/>
  <c r="W72" i="473" s="1"/>
  <c r="Y72" i="473" s="1"/>
  <c r="K58" i="529"/>
  <c r="L58" i="529" s="1"/>
  <c r="Z54" i="536"/>
  <c r="V54" i="473" s="1"/>
  <c r="W54" i="473" s="1"/>
  <c r="Y54" i="473" s="1"/>
  <c r="W53" i="536"/>
  <c r="Z47" i="536"/>
  <c r="V47" i="471" s="1"/>
  <c r="W47" i="471" s="1"/>
  <c r="Y47" i="471" s="1"/>
  <c r="V37" i="473"/>
  <c r="W37" i="473" s="1"/>
  <c r="Y37" i="473" s="1"/>
  <c r="V37" i="471"/>
  <c r="W37" i="471" s="1"/>
  <c r="Y37" i="471" s="1"/>
  <c r="L72" i="529"/>
  <c r="K62" i="529"/>
  <c r="J62" i="529"/>
  <c r="U72" i="469"/>
  <c r="J50" i="529"/>
  <c r="K50" i="529"/>
  <c r="L50" i="529" s="1"/>
  <c r="C50" i="530"/>
  <c r="J50" i="530" s="1"/>
  <c r="J67" i="529"/>
  <c r="K59" i="529"/>
  <c r="K67" i="529"/>
  <c r="C67" i="530"/>
  <c r="C67" i="531" s="1"/>
  <c r="C72" i="531"/>
  <c r="I72" i="530"/>
  <c r="B72" i="530"/>
  <c r="J72" i="530"/>
  <c r="V67" i="473"/>
  <c r="W67" i="473" s="1"/>
  <c r="Y67" i="473" s="1"/>
  <c r="V67" i="469"/>
  <c r="V67" i="471"/>
  <c r="W67" i="471" s="1"/>
  <c r="Y67" i="471" s="1"/>
  <c r="I61" i="528"/>
  <c r="L61" i="528" s="1"/>
  <c r="O61" i="528" s="1"/>
  <c r="R61" i="528" s="1"/>
  <c r="W50" i="536"/>
  <c r="V71" i="471"/>
  <c r="W71" i="471" s="1"/>
  <c r="Y71" i="471" s="1"/>
  <c r="C59" i="530"/>
  <c r="I59" i="530" s="1"/>
  <c r="V53" i="473"/>
  <c r="W53" i="473" s="1"/>
  <c r="Y53" i="473" s="1"/>
  <c r="V53" i="469"/>
  <c r="B60" i="529"/>
  <c r="C60" i="530"/>
  <c r="I60" i="530" s="1"/>
  <c r="C58" i="530"/>
  <c r="I58" i="530" s="1"/>
  <c r="L45" i="529"/>
  <c r="K43" i="529"/>
  <c r="M43" i="529"/>
  <c r="V50" i="469"/>
  <c r="V71" i="473"/>
  <c r="W71" i="473" s="1"/>
  <c r="Y71" i="473" s="1"/>
  <c r="C43" i="530"/>
  <c r="F43" i="530" s="1"/>
  <c r="L43" i="529"/>
  <c r="G61" i="529"/>
  <c r="F61" i="529"/>
  <c r="T61" i="532" s="1"/>
  <c r="V50" i="471"/>
  <c r="W50" i="471" s="1"/>
  <c r="Y50" i="471" s="1"/>
  <c r="F43" i="529"/>
  <c r="T43" i="532" s="1"/>
  <c r="G43" i="529"/>
  <c r="M61" i="529"/>
  <c r="C61" i="530"/>
  <c r="B61" i="530" s="1"/>
  <c r="K61" i="529"/>
  <c r="L71" i="529"/>
  <c r="B43" i="529"/>
  <c r="H43" i="529"/>
  <c r="D43" i="530" s="1"/>
  <c r="J61" i="529"/>
  <c r="U71" i="469"/>
  <c r="L69" i="529"/>
  <c r="V69" i="469"/>
  <c r="B71" i="530"/>
  <c r="I71" i="530"/>
  <c r="J71" i="530"/>
  <c r="C71" i="531"/>
  <c r="I43" i="528"/>
  <c r="L43" i="528" s="1"/>
  <c r="O43" i="528" s="1"/>
  <c r="R43" i="528" s="1"/>
  <c r="U69" i="469"/>
  <c r="V40" i="469"/>
  <c r="V70" i="471"/>
  <c r="W70" i="471" s="1"/>
  <c r="Y70" i="471" s="1"/>
  <c r="V70" i="473"/>
  <c r="W70" i="473" s="1"/>
  <c r="Y70" i="473" s="1"/>
  <c r="V69" i="471"/>
  <c r="W69" i="471" s="1"/>
  <c r="Y69" i="471" s="1"/>
  <c r="C69" i="531"/>
  <c r="J69" i="530"/>
  <c r="B69" i="530"/>
  <c r="I69" i="530"/>
  <c r="J54" i="529"/>
  <c r="V44" i="473"/>
  <c r="W44" i="473" s="1"/>
  <c r="Y44" i="473" s="1"/>
  <c r="K54" i="529"/>
  <c r="B44" i="529"/>
  <c r="C44" i="530"/>
  <c r="I44" i="530" s="1"/>
  <c r="B68" i="370"/>
  <c r="Z68" i="475"/>
  <c r="I68" i="370" s="1"/>
  <c r="AM68" i="370" s="1"/>
  <c r="U68" i="469"/>
  <c r="I68" i="530"/>
  <c r="B68" i="530"/>
  <c r="C68" i="531"/>
  <c r="J68" i="530"/>
  <c r="K68" i="530" s="1"/>
  <c r="Z56" i="536"/>
  <c r="V56" i="469" s="1"/>
  <c r="K49" i="529"/>
  <c r="V44" i="471"/>
  <c r="W44" i="471" s="1"/>
  <c r="Y44" i="471" s="1"/>
  <c r="B49" i="529"/>
  <c r="C49" i="530"/>
  <c r="C49" i="531" s="1"/>
  <c r="V36" i="473"/>
  <c r="W36" i="473" s="1"/>
  <c r="Y36" i="473" s="1"/>
  <c r="V36" i="471"/>
  <c r="W36" i="471" s="1"/>
  <c r="Y36" i="471" s="1"/>
  <c r="V36" i="469"/>
  <c r="Z52" i="536"/>
  <c r="W52" i="536"/>
  <c r="T50" i="469"/>
  <c r="U50" i="469" s="1"/>
  <c r="Z58" i="536"/>
  <c r="V58" i="471" s="1"/>
  <c r="W58" i="471" s="1"/>
  <c r="Y58" i="471" s="1"/>
  <c r="U56" i="469"/>
  <c r="V60" i="473"/>
  <c r="W60" i="473" s="1"/>
  <c r="Y60" i="473" s="1"/>
  <c r="V60" i="471"/>
  <c r="W60" i="471" s="1"/>
  <c r="Y60" i="471" s="1"/>
  <c r="W59" i="536"/>
  <c r="V62" i="469"/>
  <c r="V62" i="473"/>
  <c r="W62" i="473" s="1"/>
  <c r="Y62" i="473" s="1"/>
  <c r="V60" i="469"/>
  <c r="L65" i="529"/>
  <c r="L51" i="529"/>
  <c r="L57" i="529"/>
  <c r="L64" i="529"/>
  <c r="L44" i="529"/>
  <c r="W57" i="536"/>
  <c r="Z57" i="536"/>
  <c r="V64" i="473"/>
  <c r="W64" i="473" s="1"/>
  <c r="Y64" i="473" s="1"/>
  <c r="V64" i="469"/>
  <c r="V64" i="471"/>
  <c r="W64" i="471" s="1"/>
  <c r="Y64" i="471" s="1"/>
  <c r="L49" i="529"/>
  <c r="L59" i="529"/>
  <c r="U49" i="469"/>
  <c r="T57" i="469"/>
  <c r="U57" i="469" s="1"/>
  <c r="T52" i="469"/>
  <c r="U52" i="469" s="1"/>
  <c r="U53" i="469"/>
  <c r="L41" i="529"/>
  <c r="Z41" i="536"/>
  <c r="W41" i="536"/>
  <c r="T37" i="469"/>
  <c r="U37" i="469" s="1"/>
  <c r="T64" i="469"/>
  <c r="U64" i="469" s="1"/>
  <c r="T54" i="469"/>
  <c r="U54" i="469" s="1"/>
  <c r="T36" i="469"/>
  <c r="U36" i="469" s="1"/>
  <c r="L60" i="529"/>
  <c r="Z63" i="536"/>
  <c r="W63" i="536"/>
  <c r="W66" i="536"/>
  <c r="Z66" i="536"/>
  <c r="U66" i="469"/>
  <c r="U42" i="469"/>
  <c r="T59" i="469"/>
  <c r="U59" i="469" s="1"/>
  <c r="V59" i="471"/>
  <c r="W59" i="471" s="1"/>
  <c r="Y59" i="471" s="1"/>
  <c r="V59" i="473"/>
  <c r="W59" i="473" s="1"/>
  <c r="Y59" i="473" s="1"/>
  <c r="V59" i="469"/>
  <c r="T63" i="469"/>
  <c r="U63" i="469" s="1"/>
  <c r="T62" i="469"/>
  <c r="U62" i="469" s="1"/>
  <c r="T47" i="469"/>
  <c r="U47" i="469" s="1"/>
  <c r="L63" i="529"/>
  <c r="L47" i="529"/>
  <c r="L66" i="529"/>
  <c r="U38" i="469"/>
  <c r="I63" i="530"/>
  <c r="B63" i="530"/>
  <c r="C63" i="531"/>
  <c r="J63" i="530"/>
  <c r="J66" i="530"/>
  <c r="B66" i="530"/>
  <c r="I66" i="530"/>
  <c r="C66" i="531"/>
  <c r="C62" i="531"/>
  <c r="B62" i="530"/>
  <c r="J62" i="530"/>
  <c r="I62" i="530"/>
  <c r="J57" i="530"/>
  <c r="B57" i="530"/>
  <c r="I57" i="530"/>
  <c r="C57" i="531"/>
  <c r="C52" i="531"/>
  <c r="J51" i="530"/>
  <c r="C51" i="531"/>
  <c r="B51" i="530"/>
  <c r="I51" i="530"/>
  <c r="C47" i="531"/>
  <c r="B47" i="530"/>
  <c r="I47" i="530"/>
  <c r="J47" i="530"/>
  <c r="C45" i="531"/>
  <c r="I45" i="530"/>
  <c r="J45" i="530"/>
  <c r="B45" i="530"/>
  <c r="C41" i="531"/>
  <c r="B41" i="530"/>
  <c r="J41" i="530"/>
  <c r="I41" i="530"/>
  <c r="B41" i="532"/>
  <c r="U41" i="532" s="1"/>
  <c r="AA34" i="475"/>
  <c r="AA32" i="475"/>
  <c r="V91" i="471" l="1"/>
  <c r="W91" i="471" s="1"/>
  <c r="Y91" i="471" s="1"/>
  <c r="V91" i="473"/>
  <c r="W91" i="473" s="1"/>
  <c r="Y91" i="473" s="1"/>
  <c r="I55" i="530"/>
  <c r="B55" i="530"/>
  <c r="L56" i="529"/>
  <c r="B65" i="530"/>
  <c r="J65" i="530"/>
  <c r="K65" i="530" s="1"/>
  <c r="F48" i="530"/>
  <c r="B52" i="530"/>
  <c r="J52" i="530"/>
  <c r="K52" i="530" s="1"/>
  <c r="C65" i="531"/>
  <c r="D65" i="531" s="1"/>
  <c r="B86" i="530"/>
  <c r="L85" i="529"/>
  <c r="J82" i="530"/>
  <c r="K82" i="530" s="1"/>
  <c r="B82" i="530"/>
  <c r="J56" i="530"/>
  <c r="B56" i="530"/>
  <c r="C82" i="531"/>
  <c r="B82" i="531" s="1"/>
  <c r="C56" i="531"/>
  <c r="D56" i="531" s="1"/>
  <c r="C75" i="531"/>
  <c r="B75" i="531" s="1"/>
  <c r="C81" i="531"/>
  <c r="D81" i="531" s="1"/>
  <c r="J86" i="530"/>
  <c r="C86" i="531"/>
  <c r="D86" i="531" s="1"/>
  <c r="J55" i="530"/>
  <c r="I85" i="530"/>
  <c r="C55" i="531"/>
  <c r="B55" i="531" s="1"/>
  <c r="F55" i="530"/>
  <c r="L55" i="530"/>
  <c r="J73" i="530"/>
  <c r="K73" i="530" s="1"/>
  <c r="C85" i="531"/>
  <c r="D85" i="531" s="1"/>
  <c r="J46" i="530"/>
  <c r="K46" i="530" s="1"/>
  <c r="C46" i="531"/>
  <c r="D46" i="531" s="1"/>
  <c r="C73" i="531"/>
  <c r="B73" i="531" s="1"/>
  <c r="L46" i="529"/>
  <c r="B46" i="530"/>
  <c r="B75" i="530"/>
  <c r="J48" i="530"/>
  <c r="G55" i="530"/>
  <c r="J85" i="530"/>
  <c r="K85" i="530" s="1"/>
  <c r="J53" i="530"/>
  <c r="K53" i="530" s="1"/>
  <c r="B73" i="530"/>
  <c r="J75" i="530"/>
  <c r="K75" i="530" s="1"/>
  <c r="R55" i="528"/>
  <c r="J42" i="530"/>
  <c r="K48" i="530"/>
  <c r="I48" i="530"/>
  <c r="C48" i="531"/>
  <c r="M48" i="531" s="1"/>
  <c r="G48" i="530"/>
  <c r="G48" i="531" s="1"/>
  <c r="B42" i="530"/>
  <c r="L48" i="530"/>
  <c r="I81" i="530"/>
  <c r="B53" i="530"/>
  <c r="G80" i="530"/>
  <c r="G80" i="531" s="1"/>
  <c r="B81" i="530"/>
  <c r="C88" i="531"/>
  <c r="D88" i="531" s="1"/>
  <c r="C102" i="531"/>
  <c r="B102" i="531" s="1"/>
  <c r="F80" i="530"/>
  <c r="O80" i="528"/>
  <c r="R80" i="528" s="1"/>
  <c r="I42" i="530"/>
  <c r="C53" i="531"/>
  <c r="B53" i="531" s="1"/>
  <c r="C80" i="531"/>
  <c r="D80" i="531" s="1"/>
  <c r="K80" i="530"/>
  <c r="I80" i="530"/>
  <c r="J80" i="530"/>
  <c r="I95" i="530"/>
  <c r="K95" i="530" s="1"/>
  <c r="B80" i="530"/>
  <c r="I88" i="530"/>
  <c r="B88" i="530"/>
  <c r="J54" i="530"/>
  <c r="K54" i="530" s="1"/>
  <c r="F61" i="530"/>
  <c r="L61" i="530"/>
  <c r="L52" i="529"/>
  <c r="C54" i="531"/>
  <c r="B54" i="531" s="1"/>
  <c r="C61" i="531"/>
  <c r="B61" i="531" s="1"/>
  <c r="G61" i="530"/>
  <c r="G61" i="531" s="1"/>
  <c r="J61" i="530"/>
  <c r="K61" i="530"/>
  <c r="I61" i="530"/>
  <c r="J59" i="530"/>
  <c r="B95" i="530"/>
  <c r="C95" i="531"/>
  <c r="D95" i="531" s="1"/>
  <c r="I102" i="530"/>
  <c r="L95" i="529"/>
  <c r="J102" i="530"/>
  <c r="K102" i="530" s="1"/>
  <c r="L94" i="529"/>
  <c r="L96" i="529"/>
  <c r="L97" i="529"/>
  <c r="L98" i="529"/>
  <c r="L91" i="529"/>
  <c r="Z99" i="473"/>
  <c r="G99" i="370" s="1"/>
  <c r="AK99" i="370" s="1"/>
  <c r="Z102" i="471"/>
  <c r="E102" i="370" s="1"/>
  <c r="AI102" i="370" s="1"/>
  <c r="Z101" i="473"/>
  <c r="G101" i="370" s="1"/>
  <c r="AK101" i="370" s="1"/>
  <c r="L93" i="529"/>
  <c r="B54" i="530"/>
  <c r="C44" i="531"/>
  <c r="D44" i="531" s="1"/>
  <c r="L92" i="529"/>
  <c r="I97" i="530"/>
  <c r="J97" i="530"/>
  <c r="B97" i="530"/>
  <c r="C97" i="531"/>
  <c r="C92" i="531"/>
  <c r="J92" i="530"/>
  <c r="I92" i="530"/>
  <c r="B92" i="530"/>
  <c r="B96" i="530"/>
  <c r="I96" i="530"/>
  <c r="C96" i="531"/>
  <c r="J96" i="530"/>
  <c r="B98" i="530"/>
  <c r="C98" i="531"/>
  <c r="I98" i="530"/>
  <c r="J98" i="530"/>
  <c r="J103" i="530"/>
  <c r="B103" i="530"/>
  <c r="I103" i="530"/>
  <c r="K103" i="530" s="1"/>
  <c r="C103" i="531"/>
  <c r="C93" i="531"/>
  <c r="J93" i="530"/>
  <c r="I93" i="530"/>
  <c r="B93" i="530"/>
  <c r="C101" i="531"/>
  <c r="B101" i="530"/>
  <c r="I101" i="530"/>
  <c r="J101" i="530"/>
  <c r="K101" i="530" s="1"/>
  <c r="B99" i="530"/>
  <c r="C99" i="531"/>
  <c r="J99" i="530"/>
  <c r="K99" i="530" s="1"/>
  <c r="I99" i="530"/>
  <c r="C94" i="531"/>
  <c r="I94" i="530"/>
  <c r="B94" i="530"/>
  <c r="J94" i="530"/>
  <c r="J100" i="530"/>
  <c r="K100" i="530" s="1"/>
  <c r="C100" i="531"/>
  <c r="I100" i="530"/>
  <c r="B100" i="530"/>
  <c r="B91" i="530"/>
  <c r="J91" i="530"/>
  <c r="K91" i="530" s="1"/>
  <c r="C91" i="531"/>
  <c r="B91" i="531" s="1"/>
  <c r="J67" i="530"/>
  <c r="V54" i="469"/>
  <c r="L89" i="529"/>
  <c r="V90" i="471"/>
  <c r="W90" i="471" s="1"/>
  <c r="Y90" i="471" s="1"/>
  <c r="V90" i="473"/>
  <c r="W90" i="473" s="1"/>
  <c r="Y90" i="473" s="1"/>
  <c r="L90" i="529"/>
  <c r="J70" i="530"/>
  <c r="I70" i="530"/>
  <c r="B43" i="530"/>
  <c r="G43" i="530"/>
  <c r="C70" i="531"/>
  <c r="D70" i="531" s="1"/>
  <c r="K43" i="530"/>
  <c r="C43" i="531"/>
  <c r="I43" i="531" s="1"/>
  <c r="I43" i="530"/>
  <c r="J64" i="530"/>
  <c r="L43" i="530"/>
  <c r="J43" i="530"/>
  <c r="V87" i="473"/>
  <c r="W87" i="473" s="1"/>
  <c r="Y87" i="473" s="1"/>
  <c r="V87" i="471"/>
  <c r="W87" i="471" s="1"/>
  <c r="Y87" i="471" s="1"/>
  <c r="V87" i="469"/>
  <c r="B83" i="530"/>
  <c r="L78" i="529"/>
  <c r="K89" i="530"/>
  <c r="C90" i="531"/>
  <c r="J90" i="530"/>
  <c r="B90" i="530"/>
  <c r="I90" i="530"/>
  <c r="V47" i="469"/>
  <c r="B89" i="531"/>
  <c r="D89" i="531"/>
  <c r="K87" i="530"/>
  <c r="B50" i="530"/>
  <c r="I50" i="530"/>
  <c r="Z88" i="473"/>
  <c r="G88" i="370" s="1"/>
  <c r="AK88" i="370" s="1"/>
  <c r="Z88" i="471"/>
  <c r="E88" i="370" s="1"/>
  <c r="AI88" i="370" s="1"/>
  <c r="D87" i="531"/>
  <c r="B87" i="531"/>
  <c r="J83" i="530"/>
  <c r="I83" i="530"/>
  <c r="K83" i="530" s="1"/>
  <c r="I67" i="530"/>
  <c r="B67" i="530"/>
  <c r="C58" i="531"/>
  <c r="B58" i="531" s="1"/>
  <c r="C50" i="531"/>
  <c r="B50" i="531" s="1"/>
  <c r="V47" i="473"/>
  <c r="W47" i="473" s="1"/>
  <c r="Y47" i="473" s="1"/>
  <c r="K86" i="530"/>
  <c r="K84" i="530"/>
  <c r="K81" i="530"/>
  <c r="B64" i="530"/>
  <c r="V54" i="471"/>
  <c r="W54" i="471" s="1"/>
  <c r="Y54" i="471" s="1"/>
  <c r="K78" i="530"/>
  <c r="J60" i="530"/>
  <c r="I64" i="530"/>
  <c r="L67" i="529"/>
  <c r="K79" i="530"/>
  <c r="C60" i="531"/>
  <c r="D60" i="531" s="1"/>
  <c r="D84" i="531"/>
  <c r="B84" i="531"/>
  <c r="D83" i="531"/>
  <c r="B83" i="531"/>
  <c r="B79" i="531"/>
  <c r="D79" i="531"/>
  <c r="D78" i="531"/>
  <c r="B78" i="531"/>
  <c r="D77" i="531"/>
  <c r="B77" i="531"/>
  <c r="D76" i="531"/>
  <c r="B76" i="531"/>
  <c r="L62" i="529"/>
  <c r="L54" i="529"/>
  <c r="K72" i="530"/>
  <c r="B59" i="530"/>
  <c r="C59" i="531"/>
  <c r="B59" i="531" s="1"/>
  <c r="B44" i="530"/>
  <c r="J44" i="530"/>
  <c r="B72" i="531"/>
  <c r="D72" i="531"/>
  <c r="B58" i="530"/>
  <c r="J58" i="530"/>
  <c r="K58" i="530" s="1"/>
  <c r="B60" i="530"/>
  <c r="J49" i="530"/>
  <c r="K71" i="530"/>
  <c r="K69" i="530"/>
  <c r="D71" i="531"/>
  <c r="B71" i="531"/>
  <c r="V56" i="473"/>
  <c r="W56" i="473" s="1"/>
  <c r="Y56" i="473" s="1"/>
  <c r="I49" i="530"/>
  <c r="K49" i="530" s="1"/>
  <c r="B49" i="530"/>
  <c r="D69" i="531"/>
  <c r="B69" i="531"/>
  <c r="K45" i="530"/>
  <c r="B68" i="531"/>
  <c r="D68" i="531"/>
  <c r="D67" i="531"/>
  <c r="B67" i="531"/>
  <c r="V56" i="471"/>
  <c r="W56" i="471" s="1"/>
  <c r="Y56" i="471" s="1"/>
  <c r="V58" i="473"/>
  <c r="W58" i="473" s="1"/>
  <c r="Y58" i="473" s="1"/>
  <c r="V58" i="469"/>
  <c r="K56" i="530"/>
  <c r="V52" i="473"/>
  <c r="W52" i="473" s="1"/>
  <c r="Y52" i="473" s="1"/>
  <c r="V52" i="471"/>
  <c r="W52" i="471" s="1"/>
  <c r="Y52" i="471" s="1"/>
  <c r="V52" i="469"/>
  <c r="K50" i="530"/>
  <c r="K59" i="530"/>
  <c r="K51" i="530"/>
  <c r="K64" i="530"/>
  <c r="V57" i="473"/>
  <c r="W57" i="473" s="1"/>
  <c r="Y57" i="473" s="1"/>
  <c r="V57" i="471"/>
  <c r="W57" i="471" s="1"/>
  <c r="Y57" i="471" s="1"/>
  <c r="V57" i="469"/>
  <c r="K44" i="530"/>
  <c r="K57" i="530"/>
  <c r="K41" i="530"/>
  <c r="V41" i="473"/>
  <c r="W41" i="473" s="1"/>
  <c r="Y41" i="473" s="1"/>
  <c r="V41" i="469"/>
  <c r="V41" i="471"/>
  <c r="W41" i="471" s="1"/>
  <c r="Y41" i="471" s="1"/>
  <c r="T34" i="475"/>
  <c r="U34" i="475" s="1"/>
  <c r="W34" i="475" s="1"/>
  <c r="Y34" i="475" s="1"/>
  <c r="V66" i="469"/>
  <c r="V66" i="473"/>
  <c r="W66" i="473" s="1"/>
  <c r="Y66" i="473" s="1"/>
  <c r="V66" i="471"/>
  <c r="W66" i="471" s="1"/>
  <c r="Y66" i="471" s="1"/>
  <c r="V63" i="471"/>
  <c r="W63" i="471" s="1"/>
  <c r="Y63" i="471" s="1"/>
  <c r="V63" i="473"/>
  <c r="W63" i="473" s="1"/>
  <c r="Y63" i="473" s="1"/>
  <c r="V63" i="469"/>
  <c r="K60" i="530"/>
  <c r="B64" i="531"/>
  <c r="D64" i="531"/>
  <c r="K63" i="530"/>
  <c r="K66" i="530"/>
  <c r="K62" i="530"/>
  <c r="K47" i="530"/>
  <c r="D63" i="531"/>
  <c r="B63" i="531"/>
  <c r="B66" i="531"/>
  <c r="D66" i="531"/>
  <c r="B62" i="531"/>
  <c r="D62" i="531"/>
  <c r="D57" i="531"/>
  <c r="B57" i="531"/>
  <c r="D52" i="531"/>
  <c r="B52" i="531"/>
  <c r="B51" i="531"/>
  <c r="D51" i="531"/>
  <c r="B49" i="531"/>
  <c r="D49" i="531"/>
  <c r="D47" i="531"/>
  <c r="B47" i="531"/>
  <c r="B45" i="531"/>
  <c r="D45" i="531"/>
  <c r="D42" i="531"/>
  <c r="B42" i="531"/>
  <c r="D41" i="531"/>
  <c r="B41" i="531"/>
  <c r="B41" i="535"/>
  <c r="G36" i="526"/>
  <c r="H36" i="526" s="1"/>
  <c r="B36" i="526"/>
  <c r="G35" i="526"/>
  <c r="H35" i="526" s="1"/>
  <c r="B35" i="526"/>
  <c r="Z39" i="526"/>
  <c r="D39" i="539" s="1"/>
  <c r="Y39" i="526"/>
  <c r="I39" i="526"/>
  <c r="AH39" i="526"/>
  <c r="H39" i="526"/>
  <c r="G39" i="526"/>
  <c r="B39" i="526"/>
  <c r="G40" i="526"/>
  <c r="H40" i="526" s="1"/>
  <c r="B40" i="526"/>
  <c r="G38" i="526"/>
  <c r="H38" i="526" s="1"/>
  <c r="B38" i="526"/>
  <c r="G34" i="526"/>
  <c r="H34" i="526" s="1"/>
  <c r="B34" i="526"/>
  <c r="G37" i="526"/>
  <c r="H37" i="526" s="1"/>
  <c r="B37" i="526"/>
  <c r="AA35" i="475"/>
  <c r="E29" i="469"/>
  <c r="D29" i="469"/>
  <c r="C29" i="469"/>
  <c r="L55" i="531" l="1"/>
  <c r="M55" i="531"/>
  <c r="B56" i="531"/>
  <c r="B65" i="531"/>
  <c r="R55" i="531"/>
  <c r="U55" i="531"/>
  <c r="D55" i="531"/>
  <c r="E55" i="531"/>
  <c r="D82" i="531"/>
  <c r="J55" i="531"/>
  <c r="H55" i="531"/>
  <c r="B46" i="531"/>
  <c r="B86" i="531"/>
  <c r="D75" i="531"/>
  <c r="P55" i="531"/>
  <c r="O55" i="531"/>
  <c r="S55" i="531"/>
  <c r="F55" i="531"/>
  <c r="X55" i="531" s="1"/>
  <c r="V55" i="531"/>
  <c r="W55" i="531" s="1"/>
  <c r="P55" i="532" s="1"/>
  <c r="Q55" i="532" s="1"/>
  <c r="Q55" i="535" s="1"/>
  <c r="I55" i="531"/>
  <c r="B85" i="531"/>
  <c r="D73" i="531"/>
  <c r="B81" i="531"/>
  <c r="G55" i="531"/>
  <c r="K42" i="530"/>
  <c r="J48" i="531"/>
  <c r="V48" i="531"/>
  <c r="W48" i="531" s="1"/>
  <c r="D48" i="531"/>
  <c r="S48" i="531"/>
  <c r="H48" i="531"/>
  <c r="O48" i="531"/>
  <c r="U48" i="531"/>
  <c r="F48" i="531"/>
  <c r="X48" i="531" s="1"/>
  <c r="P48" i="531"/>
  <c r="B48" i="531"/>
  <c r="L48" i="531"/>
  <c r="D102" i="531"/>
  <c r="R48" i="531"/>
  <c r="E48" i="531"/>
  <c r="I48" i="531"/>
  <c r="B88" i="531"/>
  <c r="U80" i="531"/>
  <c r="E80" i="531"/>
  <c r="L80" i="531"/>
  <c r="R80" i="531"/>
  <c r="H80" i="531"/>
  <c r="I80" i="531"/>
  <c r="V80" i="531"/>
  <c r="W80" i="531" s="1"/>
  <c r="P80" i="532" s="1"/>
  <c r="F80" i="531"/>
  <c r="X80" i="531" s="1"/>
  <c r="P80" i="531"/>
  <c r="B80" i="531"/>
  <c r="O80" i="531"/>
  <c r="S80" i="531"/>
  <c r="J80" i="531"/>
  <c r="M80" i="531"/>
  <c r="D54" i="531"/>
  <c r="O43" i="531"/>
  <c r="D53" i="531"/>
  <c r="R61" i="531"/>
  <c r="V61" i="531"/>
  <c r="W61" i="531" s="1"/>
  <c r="F61" i="531"/>
  <c r="X61" i="531" s="1"/>
  <c r="J61" i="531"/>
  <c r="E61" i="531"/>
  <c r="I61" i="531"/>
  <c r="M61" i="531"/>
  <c r="U61" i="531"/>
  <c r="D61" i="531"/>
  <c r="L61" i="531"/>
  <c r="O61" i="531"/>
  <c r="H61" i="531"/>
  <c r="P61" i="531"/>
  <c r="S61" i="531"/>
  <c r="B44" i="531"/>
  <c r="E43" i="531"/>
  <c r="S43" i="531"/>
  <c r="J43" i="531"/>
  <c r="K70" i="530"/>
  <c r="B70" i="531"/>
  <c r="B95" i="531"/>
  <c r="B60" i="531"/>
  <c r="K67" i="530"/>
  <c r="K98" i="530"/>
  <c r="K97" i="530"/>
  <c r="K94" i="530"/>
  <c r="K93" i="530"/>
  <c r="K96" i="530"/>
  <c r="K92" i="530"/>
  <c r="U43" i="531"/>
  <c r="D43" i="531"/>
  <c r="H43" i="531"/>
  <c r="D58" i="531"/>
  <c r="P43" i="531"/>
  <c r="L43" i="531"/>
  <c r="F43" i="531"/>
  <c r="X43" i="531" s="1"/>
  <c r="V43" i="531"/>
  <c r="W43" i="531" s="1"/>
  <c r="P43" i="532" s="1"/>
  <c r="B43" i="531"/>
  <c r="M43" i="531"/>
  <c r="R43" i="531"/>
  <c r="D94" i="531"/>
  <c r="B94" i="531"/>
  <c r="D101" i="531"/>
  <c r="B101" i="531"/>
  <c r="B98" i="531"/>
  <c r="D98" i="531"/>
  <c r="B97" i="531"/>
  <c r="D97" i="531"/>
  <c r="D99" i="531"/>
  <c r="B99" i="531"/>
  <c r="D93" i="531"/>
  <c r="B93" i="531"/>
  <c r="D103" i="531"/>
  <c r="B103" i="531"/>
  <c r="D96" i="531"/>
  <c r="B96" i="531"/>
  <c r="B92" i="531"/>
  <c r="D92" i="531"/>
  <c r="B100" i="531"/>
  <c r="D100" i="531"/>
  <c r="D91" i="531"/>
  <c r="D50" i="531"/>
  <c r="G43" i="531"/>
  <c r="K90" i="530"/>
  <c r="D90" i="531"/>
  <c r="B90" i="531"/>
  <c r="D59" i="531"/>
  <c r="T35" i="475"/>
  <c r="U35" i="475" s="1"/>
  <c r="W35" i="475" s="1"/>
  <c r="Y35" i="475" s="1"/>
  <c r="I38" i="527"/>
  <c r="B38" i="527"/>
  <c r="B40" i="527"/>
  <c r="I40" i="527"/>
  <c r="I36" i="527"/>
  <c r="B36" i="527"/>
  <c r="I34" i="527"/>
  <c r="B34" i="527"/>
  <c r="I39" i="527"/>
  <c r="B39" i="527"/>
  <c r="F39" i="527" s="1"/>
  <c r="K39" i="527"/>
  <c r="I35" i="527"/>
  <c r="B35" i="527"/>
  <c r="B37" i="527"/>
  <c r="I37" i="527"/>
  <c r="AB42" i="469"/>
  <c r="AC42" i="469"/>
  <c r="W42" i="469"/>
  <c r="Y42" i="469" s="1"/>
  <c r="B42" i="469"/>
  <c r="AB61" i="469"/>
  <c r="AC61" i="469"/>
  <c r="Y61" i="469"/>
  <c r="W61" i="469"/>
  <c r="B61" i="469"/>
  <c r="AB50" i="469"/>
  <c r="AC50" i="469"/>
  <c r="W50" i="469"/>
  <c r="Y50" i="469" s="1"/>
  <c r="B50" i="469"/>
  <c r="AB74" i="469"/>
  <c r="AC74" i="469"/>
  <c r="Y74" i="469"/>
  <c r="W74" i="469"/>
  <c r="B74" i="469"/>
  <c r="AB77" i="469"/>
  <c r="AC77" i="469"/>
  <c r="W77" i="469"/>
  <c r="Y77" i="469" s="1"/>
  <c r="B77" i="469"/>
  <c r="AC44" i="469"/>
  <c r="AB44" i="469"/>
  <c r="W44" i="469"/>
  <c r="Y44" i="469" s="1"/>
  <c r="B44" i="469"/>
  <c r="AB60" i="469"/>
  <c r="AC60" i="469"/>
  <c r="W60" i="469"/>
  <c r="Y60" i="469" s="1"/>
  <c r="B60" i="469"/>
  <c r="AB76" i="469"/>
  <c r="AC76" i="469"/>
  <c r="W76" i="469"/>
  <c r="Y76" i="469" s="1"/>
  <c r="B76" i="469"/>
  <c r="AB47" i="469"/>
  <c r="AC47" i="469"/>
  <c r="W47" i="469"/>
  <c r="Y47" i="469" s="1"/>
  <c r="B47" i="469"/>
  <c r="AB55" i="469"/>
  <c r="AC55" i="469"/>
  <c r="W55" i="469"/>
  <c r="Y55" i="469"/>
  <c r="B55" i="469"/>
  <c r="AB63" i="469"/>
  <c r="AC63" i="469"/>
  <c r="W63" i="469"/>
  <c r="Y63" i="469" s="1"/>
  <c r="B63" i="469"/>
  <c r="AB71" i="469"/>
  <c r="AC71" i="469"/>
  <c r="W71" i="469"/>
  <c r="Y71" i="469" s="1"/>
  <c r="B71" i="469"/>
  <c r="AB79" i="469"/>
  <c r="AC79" i="469"/>
  <c r="W79" i="469"/>
  <c r="Y79" i="469"/>
  <c r="B79" i="469"/>
  <c r="AC48" i="469"/>
  <c r="AB48" i="469"/>
  <c r="Y48" i="469"/>
  <c r="W48" i="469"/>
  <c r="B48" i="469"/>
  <c r="AC64" i="469"/>
  <c r="AB64" i="469"/>
  <c r="W64" i="469"/>
  <c r="Y64" i="469" s="1"/>
  <c r="B64" i="469"/>
  <c r="AB49" i="469"/>
  <c r="AC49" i="469"/>
  <c r="W49" i="469"/>
  <c r="Y49" i="469" s="1"/>
  <c r="B49" i="469"/>
  <c r="AC65" i="469"/>
  <c r="AB65" i="469"/>
  <c r="W65" i="469"/>
  <c r="Y65" i="469" s="1"/>
  <c r="B65" i="469"/>
  <c r="AB58" i="469"/>
  <c r="AC58" i="469"/>
  <c r="W58" i="469"/>
  <c r="Y58" i="469" s="1"/>
  <c r="B58" i="469"/>
  <c r="AB45" i="469"/>
  <c r="AC45" i="469"/>
  <c r="W45" i="469"/>
  <c r="Y45" i="469" s="1"/>
  <c r="B45" i="469"/>
  <c r="AB54" i="469"/>
  <c r="AC54" i="469"/>
  <c r="W54" i="469"/>
  <c r="Y54" i="469" s="1"/>
  <c r="B54" i="469"/>
  <c r="AB62" i="469"/>
  <c r="AC62" i="469"/>
  <c r="W62" i="469"/>
  <c r="Y62" i="469" s="1"/>
  <c r="B62" i="469"/>
  <c r="AB70" i="469"/>
  <c r="AC70" i="469"/>
  <c r="W70" i="469"/>
  <c r="Y70" i="469" s="1"/>
  <c r="B70" i="469"/>
  <c r="AB78" i="469"/>
  <c r="AC78" i="469"/>
  <c r="W78" i="469"/>
  <c r="Y78" i="469" s="1"/>
  <c r="B78" i="469"/>
  <c r="AC41" i="469"/>
  <c r="AB41" i="469"/>
  <c r="W41" i="469"/>
  <c r="Y41" i="469" s="1"/>
  <c r="B41" i="469"/>
  <c r="AC53" i="469"/>
  <c r="AB53" i="469"/>
  <c r="W53" i="469"/>
  <c r="Y53" i="469" s="1"/>
  <c r="B53" i="469"/>
  <c r="AB69" i="469"/>
  <c r="AC69" i="469"/>
  <c r="W69" i="469"/>
  <c r="Y69" i="469" s="1"/>
  <c r="B69" i="469"/>
  <c r="AB66" i="469"/>
  <c r="AC66" i="469"/>
  <c r="W66" i="469"/>
  <c r="Y66" i="469" s="1"/>
  <c r="B66" i="469"/>
  <c r="AB46" i="469"/>
  <c r="AC46" i="469"/>
  <c r="W46" i="469"/>
  <c r="Y46" i="469" s="1"/>
  <c r="B46" i="469"/>
  <c r="AC40" i="469"/>
  <c r="AB40" i="469"/>
  <c r="W40" i="469"/>
  <c r="Y40" i="469" s="1"/>
  <c r="B40" i="469"/>
  <c r="AB52" i="469"/>
  <c r="AC52" i="469"/>
  <c r="W52" i="469"/>
  <c r="Y52" i="469" s="1"/>
  <c r="B52" i="469"/>
  <c r="AB68" i="469"/>
  <c r="AC68" i="469"/>
  <c r="W68" i="469"/>
  <c r="Y68" i="469" s="1"/>
  <c r="Z68" i="469" s="1"/>
  <c r="D68" i="370" s="1"/>
  <c r="AH68" i="370" s="1"/>
  <c r="B68" i="469"/>
  <c r="AC43" i="469"/>
  <c r="AB43" i="469"/>
  <c r="Y43" i="469"/>
  <c r="W43" i="469"/>
  <c r="B43" i="469"/>
  <c r="AB51" i="469"/>
  <c r="AC51" i="469"/>
  <c r="W51" i="469"/>
  <c r="Y51" i="469" s="1"/>
  <c r="B51" i="469"/>
  <c r="AC59" i="469"/>
  <c r="AB59" i="469"/>
  <c r="W59" i="469"/>
  <c r="Y59" i="469" s="1"/>
  <c r="B59" i="469"/>
  <c r="AC67" i="469"/>
  <c r="AB67" i="469"/>
  <c r="W67" i="469"/>
  <c r="Y67" i="469" s="1"/>
  <c r="B67" i="469"/>
  <c r="AC75" i="469"/>
  <c r="AB75" i="469"/>
  <c r="W75" i="469"/>
  <c r="Y75" i="469" s="1"/>
  <c r="B75" i="469"/>
  <c r="AB56" i="469"/>
  <c r="AC56" i="469"/>
  <c r="W56" i="469"/>
  <c r="Y56" i="469" s="1"/>
  <c r="B56" i="469"/>
  <c r="AB72" i="469"/>
  <c r="AC72" i="469"/>
  <c r="W72" i="469"/>
  <c r="Y72" i="469" s="1"/>
  <c r="B72" i="469"/>
  <c r="AC57" i="469"/>
  <c r="AB57" i="469"/>
  <c r="W57" i="469"/>
  <c r="Y57" i="469" s="1"/>
  <c r="B57" i="469"/>
  <c r="AC73" i="469"/>
  <c r="AB73" i="469"/>
  <c r="W73" i="469"/>
  <c r="Y73" i="469" s="1"/>
  <c r="B73" i="469"/>
  <c r="J55" i="527" l="1"/>
  <c r="P55" i="535"/>
  <c r="K55" i="531"/>
  <c r="N55" i="531" s="1"/>
  <c r="Q55" i="531" s="1"/>
  <c r="T55" i="531" s="1"/>
  <c r="J61" i="527"/>
  <c r="P61" i="532"/>
  <c r="Q80" i="532"/>
  <c r="Q80" i="535" s="1"/>
  <c r="P80" i="535"/>
  <c r="P43" i="535"/>
  <c r="Q43" i="532"/>
  <c r="Q43" i="535" s="1"/>
  <c r="J48" i="527"/>
  <c r="P48" i="532"/>
  <c r="K48" i="531"/>
  <c r="N48" i="531" s="1"/>
  <c r="J80" i="527"/>
  <c r="K80" i="531"/>
  <c r="N80" i="531" s="1"/>
  <c r="Q80" i="531" s="1"/>
  <c r="T80" i="531" s="1"/>
  <c r="K61" i="531"/>
  <c r="N61" i="531" s="1"/>
  <c r="K43" i="531"/>
  <c r="N43" i="531" s="1"/>
  <c r="Q43" i="531" s="1"/>
  <c r="T43" i="531" s="1"/>
  <c r="J43" i="527"/>
  <c r="U39" i="528"/>
  <c r="Q39" i="528"/>
  <c r="M39" i="528"/>
  <c r="P39" i="528"/>
  <c r="J39" i="528"/>
  <c r="T39" i="528"/>
  <c r="S39" i="528"/>
  <c r="N39" i="528"/>
  <c r="K39" i="528"/>
  <c r="AC35" i="528"/>
  <c r="AC34" i="528"/>
  <c r="AC36" i="528"/>
  <c r="AC40" i="528"/>
  <c r="AC37" i="528"/>
  <c r="Z39" i="528"/>
  <c r="AC39" i="528"/>
  <c r="AC38" i="528"/>
  <c r="B35" i="528"/>
  <c r="B34" i="528"/>
  <c r="B36" i="528"/>
  <c r="B40" i="528"/>
  <c r="B37" i="528"/>
  <c r="E39" i="528"/>
  <c r="H39" i="528"/>
  <c r="F39" i="528"/>
  <c r="G39" i="528"/>
  <c r="B39" i="528"/>
  <c r="B38" i="528"/>
  <c r="Q48" i="532" l="1"/>
  <c r="Q48" i="535" s="1"/>
  <c r="P48" i="535"/>
  <c r="P61" i="535"/>
  <c r="Q61" i="532"/>
  <c r="Q61" i="535" s="1"/>
  <c r="Q48" i="531"/>
  <c r="T48" i="531" s="1"/>
  <c r="Q61" i="531"/>
  <c r="T61" i="531" s="1"/>
  <c r="I39" i="528"/>
  <c r="L39" i="528" s="1"/>
  <c r="J38" i="529"/>
  <c r="J40" i="529"/>
  <c r="J37" i="529"/>
  <c r="J36" i="529"/>
  <c r="J39" i="529"/>
  <c r="H39" i="529"/>
  <c r="J34" i="529"/>
  <c r="J35" i="529"/>
  <c r="F39" i="529"/>
  <c r="T39" i="532" s="1"/>
  <c r="G39" i="529"/>
  <c r="K38" i="529"/>
  <c r="K40" i="529"/>
  <c r="K37" i="529"/>
  <c r="K36" i="529"/>
  <c r="M39" i="529"/>
  <c r="K39" i="529"/>
  <c r="L39" i="529"/>
  <c r="K34" i="529"/>
  <c r="K35" i="529"/>
  <c r="D39" i="529"/>
  <c r="B36" i="529"/>
  <c r="B34" i="529"/>
  <c r="B35" i="529"/>
  <c r="B39" i="529"/>
  <c r="B38" i="529"/>
  <c r="B37" i="529"/>
  <c r="B40" i="529"/>
  <c r="L38" i="529" l="1"/>
  <c r="L34" i="529"/>
  <c r="L37" i="529"/>
  <c r="L36" i="529"/>
  <c r="L35" i="529"/>
  <c r="L40" i="529"/>
  <c r="D39" i="530"/>
  <c r="O39" i="528"/>
  <c r="R39" i="528" s="1"/>
  <c r="J38" i="530"/>
  <c r="G39" i="530"/>
  <c r="J39" i="530"/>
  <c r="J37" i="530"/>
  <c r="J34" i="530"/>
  <c r="J40" i="530"/>
  <c r="J35" i="530"/>
  <c r="J36" i="530"/>
  <c r="F39" i="530"/>
  <c r="I34" i="530"/>
  <c r="I38" i="530"/>
  <c r="I39" i="530"/>
  <c r="L39" i="530"/>
  <c r="K39" i="530"/>
  <c r="I35" i="530"/>
  <c r="I37" i="530"/>
  <c r="I36" i="530"/>
  <c r="I40" i="530"/>
  <c r="B37" i="530"/>
  <c r="B35" i="530"/>
  <c r="B36" i="530"/>
  <c r="B38" i="530"/>
  <c r="B40" i="530"/>
  <c r="B39" i="530"/>
  <c r="B34" i="530"/>
  <c r="K34" i="530" l="1"/>
  <c r="K36" i="530"/>
  <c r="K37" i="530"/>
  <c r="K35" i="530"/>
  <c r="K40" i="530"/>
  <c r="K38" i="530"/>
  <c r="D40" i="531"/>
  <c r="B40" i="531"/>
  <c r="B35" i="531"/>
  <c r="D35" i="531"/>
  <c r="G39" i="531"/>
  <c r="H39" i="531"/>
  <c r="U39" i="531"/>
  <c r="S39" i="531"/>
  <c r="B39" i="531"/>
  <c r="D39" i="531"/>
  <c r="O39" i="531"/>
  <c r="I39" i="531"/>
  <c r="P39" i="531"/>
  <c r="V39" i="531"/>
  <c r="W39" i="531" s="1"/>
  <c r="P39" i="532" s="1"/>
  <c r="J39" i="531"/>
  <c r="R39" i="531"/>
  <c r="L39" i="531"/>
  <c r="F39" i="531"/>
  <c r="X39" i="531" s="1"/>
  <c r="E39" i="531"/>
  <c r="M39" i="531"/>
  <c r="B36" i="531"/>
  <c r="D36" i="531"/>
  <c r="D34" i="531"/>
  <c r="B34" i="531"/>
  <c r="D38" i="531"/>
  <c r="B38" i="531"/>
  <c r="D37" i="531"/>
  <c r="B37" i="531"/>
  <c r="P39" i="535" l="1"/>
  <c r="Q39" i="532"/>
  <c r="Q39" i="535" s="1"/>
  <c r="J39" i="527"/>
  <c r="B36" i="532"/>
  <c r="U36" i="532" s="1"/>
  <c r="B39" i="532"/>
  <c r="U39" i="532" s="1"/>
  <c r="B35" i="532"/>
  <c r="U35" i="532" s="1"/>
  <c r="B40" i="532"/>
  <c r="U40" i="532" s="1"/>
  <c r="B37" i="532"/>
  <c r="U37" i="532" s="1"/>
  <c r="B38" i="532"/>
  <c r="U38" i="532" s="1"/>
  <c r="B34" i="532"/>
  <c r="U34" i="532" s="1"/>
  <c r="K39" i="531"/>
  <c r="N39" i="531" s="1"/>
  <c r="B38" i="535" l="1"/>
  <c r="B40" i="535"/>
  <c r="B35" i="535"/>
  <c r="B33" i="532"/>
  <c r="U33" i="532" s="1"/>
  <c r="B32" i="532"/>
  <c r="U32" i="532" s="1"/>
  <c r="B34" i="535"/>
  <c r="B37" i="535"/>
  <c r="B39" i="535"/>
  <c r="B36" i="535"/>
  <c r="Q39" i="531"/>
  <c r="T39" i="531" s="1"/>
  <c r="B33" i="535" l="1"/>
  <c r="B32" i="535"/>
  <c r="AC34" i="469" l="1"/>
  <c r="W34" i="469"/>
  <c r="Y34" i="469" s="1"/>
  <c r="B34" i="469"/>
  <c r="AB34" i="469"/>
  <c r="B36" i="469" l="1"/>
  <c r="AB36" i="469"/>
  <c r="W36" i="469"/>
  <c r="Y36" i="469" s="1"/>
  <c r="AC36" i="469"/>
  <c r="AB35" i="469"/>
  <c r="AC35" i="469"/>
  <c r="W35" i="469"/>
  <c r="Y35" i="469" s="1"/>
  <c r="B35" i="469"/>
  <c r="AB37" i="469" l="1"/>
  <c r="AC37" i="469"/>
  <c r="W37" i="469"/>
  <c r="Y37" i="469" s="1"/>
  <c r="B37" i="469"/>
  <c r="W38" i="469" l="1"/>
  <c r="Y38" i="469" s="1"/>
  <c r="B38" i="469"/>
  <c r="AB38" i="469"/>
  <c r="AC38" i="469"/>
  <c r="AB39" i="469" l="1"/>
  <c r="Y39" i="469"/>
  <c r="Z39" i="469" s="1"/>
  <c r="D39" i="370" s="1"/>
  <c r="AH39" i="370" s="1"/>
  <c r="AC39" i="469"/>
  <c r="W39" i="469"/>
  <c r="B39" i="469"/>
  <c r="AB80" i="469" l="1"/>
  <c r="Y80" i="469"/>
  <c r="AC80" i="469"/>
  <c r="W80" i="469"/>
  <c r="B80" i="469"/>
  <c r="W81" i="469" l="1"/>
  <c r="Y81" i="469" s="1"/>
  <c r="AB81" i="469"/>
  <c r="AC81" i="469"/>
  <c r="B81" i="469"/>
  <c r="AC82" i="469" l="1"/>
  <c r="W82" i="469"/>
  <c r="Y82" i="469" s="1"/>
  <c r="B82" i="469"/>
  <c r="AB82" i="469"/>
  <c r="AB83" i="469" l="1"/>
  <c r="B83" i="469"/>
  <c r="W83" i="469"/>
  <c r="Y83" i="469" s="1"/>
  <c r="AC83" i="469"/>
  <c r="AB84" i="469" l="1"/>
  <c r="AC84" i="469"/>
  <c r="W84" i="469"/>
  <c r="Y84" i="469" s="1"/>
  <c r="B84" i="469"/>
  <c r="AC85" i="469" l="1"/>
  <c r="B85" i="469"/>
  <c r="AB85" i="469"/>
  <c r="W85" i="469"/>
  <c r="Y85" i="469" s="1"/>
  <c r="B86" i="469" l="1"/>
  <c r="W86" i="469"/>
  <c r="Y86" i="469" s="1"/>
  <c r="AB86" i="469"/>
  <c r="AC86" i="469"/>
  <c r="AC87" i="469" l="1"/>
  <c r="B87" i="469"/>
  <c r="W87" i="469"/>
  <c r="Y87" i="469" s="1"/>
  <c r="AB87" i="469"/>
  <c r="W88" i="469" l="1"/>
  <c r="AC88" i="469"/>
  <c r="B88" i="469"/>
  <c r="Y88" i="469"/>
  <c r="AB88" i="469"/>
  <c r="Z88" i="469" l="1"/>
  <c r="D88" i="370" s="1"/>
  <c r="AH88" i="370" s="1"/>
  <c r="AG88" i="370" s="1"/>
  <c r="B89" i="469"/>
  <c r="W89" i="469"/>
  <c r="Y89" i="469" s="1"/>
  <c r="AB89" i="469"/>
  <c r="AC89" i="469"/>
  <c r="AD88" i="370" l="1"/>
  <c r="AC90" i="469"/>
  <c r="AB90" i="469"/>
  <c r="B90" i="469"/>
  <c r="W90" i="469"/>
  <c r="Y90" i="469" s="1"/>
  <c r="B91" i="469" l="1"/>
  <c r="AB91" i="469"/>
  <c r="W91" i="469"/>
  <c r="Y91" i="469" s="1"/>
  <c r="AC91" i="469"/>
  <c r="AB92" i="469" l="1"/>
  <c r="AC92" i="469"/>
  <c r="W92" i="469"/>
  <c r="Y92" i="469" s="1"/>
  <c r="B92" i="469"/>
  <c r="B93" i="469" l="1"/>
  <c r="AC93" i="469"/>
  <c r="AB93" i="469"/>
  <c r="W93" i="469"/>
  <c r="Y93" i="469" s="1"/>
  <c r="AB94" i="469" l="1"/>
  <c r="AC94" i="469"/>
  <c r="W94" i="469"/>
  <c r="Y94" i="469" s="1"/>
  <c r="B94" i="469"/>
  <c r="AC95" i="469" l="1"/>
  <c r="W95" i="469"/>
  <c r="Y95" i="469" s="1"/>
  <c r="B95" i="469"/>
  <c r="AB95" i="469"/>
  <c r="AC96" i="469" l="1"/>
  <c r="W96" i="469"/>
  <c r="Y96" i="469" s="1"/>
  <c r="B96" i="469"/>
  <c r="AB96" i="469"/>
  <c r="AC97" i="469" l="1"/>
  <c r="W97" i="469"/>
  <c r="Y97" i="469" s="1"/>
  <c r="B97" i="469"/>
  <c r="AB97" i="469"/>
  <c r="AC98" i="469" l="1"/>
  <c r="W98" i="469"/>
  <c r="Y98" i="469" s="1"/>
  <c r="B98" i="469"/>
  <c r="AB98" i="469"/>
  <c r="B101" i="469"/>
  <c r="AB101" i="469"/>
  <c r="AC101" i="469"/>
  <c r="W101" i="469"/>
  <c r="Y101" i="469" s="1"/>
  <c r="AC99" i="469" l="1"/>
  <c r="W99" i="469"/>
  <c r="Y99" i="469" s="1"/>
  <c r="B99" i="469"/>
  <c r="AB99" i="469"/>
  <c r="B102" i="469"/>
  <c r="AB102" i="469"/>
  <c r="AC102" i="469"/>
  <c r="Y102" i="469"/>
  <c r="W102" i="469"/>
  <c r="B100" i="469" l="1"/>
  <c r="AB100" i="469"/>
  <c r="AC100" i="469"/>
  <c r="W100" i="469"/>
  <c r="Y100" i="469" s="1"/>
  <c r="B103" i="469"/>
  <c r="AB103" i="469"/>
  <c r="AC103" i="469"/>
  <c r="Y103" i="469"/>
  <c r="Z103" i="469" s="1"/>
  <c r="D103" i="370" s="1"/>
  <c r="AH103" i="370" s="1"/>
  <c r="AG103" i="370" s="1"/>
  <c r="W103" i="469"/>
  <c r="AD103" i="370" l="1"/>
  <c r="B104" i="469"/>
  <c r="AB104" i="469"/>
  <c r="AC104" i="469"/>
  <c r="Y104" i="469"/>
  <c r="Z102" i="469" s="1"/>
  <c r="D102" i="370" s="1"/>
  <c r="AH102" i="370" s="1"/>
  <c r="AG102" i="370" s="1"/>
  <c r="AD102" i="370" s="1"/>
  <c r="W104" i="469"/>
  <c r="B105" i="469" l="1"/>
  <c r="AB105" i="469"/>
  <c r="AC105" i="469"/>
  <c r="W105" i="469"/>
  <c r="Y105" i="469" s="1"/>
  <c r="B106" i="469" l="1"/>
  <c r="AB106" i="469"/>
  <c r="AC106" i="469"/>
  <c r="W106" i="469"/>
  <c r="Y106" i="469" s="1"/>
  <c r="B107" i="469" l="1"/>
  <c r="AB107" i="469"/>
  <c r="AC107" i="469"/>
  <c r="W107" i="469"/>
  <c r="Y107" i="469" s="1"/>
  <c r="B108" i="469" l="1"/>
  <c r="AB108" i="469"/>
  <c r="AC108" i="469"/>
  <c r="Y108" i="469"/>
  <c r="W108" i="469"/>
  <c r="B109" i="469" l="1"/>
  <c r="AB109" i="469"/>
  <c r="AC109" i="469"/>
  <c r="Y109" i="469"/>
  <c r="W109" i="469"/>
  <c r="B110" i="469" l="1"/>
  <c r="AB110" i="469"/>
  <c r="AC110" i="469"/>
  <c r="Y110" i="469"/>
  <c r="W110" i="469"/>
  <c r="B111" i="469" l="1"/>
  <c r="AB111" i="469"/>
  <c r="AC111" i="469"/>
  <c r="Y111" i="469"/>
  <c r="W111" i="469"/>
  <c r="B112" i="469" l="1"/>
  <c r="AB112" i="469"/>
  <c r="AC112" i="469"/>
  <c r="Y112" i="469"/>
  <c r="W112" i="469"/>
  <c r="B113" i="469" l="1"/>
  <c r="AB113" i="469"/>
  <c r="AC113" i="469"/>
  <c r="W113" i="469"/>
  <c r="Y113" i="469"/>
  <c r="B114" i="469" l="1"/>
  <c r="AB114" i="469"/>
  <c r="AC114" i="469"/>
  <c r="W114" i="469"/>
  <c r="Y114" i="469"/>
  <c r="B115" i="469" l="1"/>
  <c r="AB115" i="469"/>
  <c r="AC115" i="469"/>
  <c r="Y115" i="469"/>
  <c r="W115" i="469"/>
  <c r="B116" i="469" l="1"/>
  <c r="AB116" i="469"/>
  <c r="AC116" i="469"/>
  <c r="Y116" i="469"/>
  <c r="W116" i="469"/>
  <c r="B117" i="469" l="1"/>
  <c r="AB117" i="469"/>
  <c r="AC117" i="469"/>
  <c r="Y117" i="469"/>
  <c r="W117" i="469"/>
  <c r="O131" i="532" l="1"/>
  <c r="B118" i="469"/>
  <c r="AB118" i="469"/>
  <c r="AC118" i="469"/>
  <c r="Y118" i="469"/>
  <c r="W118" i="469"/>
  <c r="B119" i="469" l="1"/>
  <c r="AB119" i="469"/>
  <c r="AC119" i="469"/>
  <c r="Y119" i="469"/>
  <c r="W119" i="469"/>
  <c r="B120" i="469" l="1"/>
  <c r="AB120" i="469"/>
  <c r="AC120" i="469"/>
  <c r="Y120" i="469"/>
  <c r="W120" i="469"/>
  <c r="B121" i="469" l="1"/>
  <c r="AB121" i="469"/>
  <c r="AC121" i="469"/>
  <c r="Y121" i="469"/>
  <c r="W121" i="469"/>
  <c r="B122" i="469" l="1"/>
  <c r="AB122" i="469"/>
  <c r="AC122" i="469"/>
  <c r="W122" i="469"/>
  <c r="Y122" i="469"/>
  <c r="B123" i="469" l="1"/>
  <c r="AB123" i="469"/>
  <c r="AC123" i="469"/>
  <c r="Y123" i="469"/>
  <c r="W123" i="469"/>
  <c r="B124" i="469" l="1"/>
  <c r="AB124" i="469"/>
  <c r="AC124" i="469"/>
  <c r="Y124" i="469"/>
  <c r="W124" i="469"/>
  <c r="B125" i="469" l="1"/>
  <c r="AB125" i="469"/>
  <c r="AC125" i="469"/>
  <c r="W125" i="469"/>
  <c r="Y125" i="469"/>
  <c r="B126" i="469" l="1"/>
  <c r="AB126" i="469"/>
  <c r="AC126" i="469"/>
  <c r="W126" i="469"/>
  <c r="Y126" i="469"/>
  <c r="B127" i="469" l="1"/>
  <c r="AB127" i="469"/>
  <c r="AC127" i="469"/>
  <c r="Y127" i="469"/>
  <c r="W127" i="469"/>
  <c r="B128" i="469" l="1"/>
  <c r="AB128" i="469"/>
  <c r="AC128" i="469"/>
  <c r="Y128" i="469"/>
  <c r="W128" i="469"/>
  <c r="B129" i="469" l="1"/>
  <c r="AB129" i="469"/>
  <c r="AC129" i="469"/>
  <c r="Y129" i="469"/>
  <c r="W129" i="469"/>
  <c r="AB130" i="469" l="1"/>
  <c r="AC130" i="469"/>
  <c r="W130" i="469"/>
  <c r="Y130" i="469"/>
  <c r="Z101" i="469" s="1"/>
  <c r="D101" i="370" s="1"/>
  <c r="AH101" i="370" s="1"/>
  <c r="AG101" i="370" s="1"/>
  <c r="AD101" i="370" s="1"/>
  <c r="B130" i="469"/>
  <c r="Z100" i="469" l="1"/>
  <c r="D100" i="370" s="1"/>
  <c r="AH100" i="370" s="1"/>
  <c r="AG100" i="370" s="1"/>
  <c r="AD100" i="370" s="1"/>
  <c r="Z99" i="469"/>
  <c r="D99" i="370" s="1"/>
  <c r="AH99" i="370" s="1"/>
  <c r="AG99" i="370" s="1"/>
  <c r="AD99" i="370" s="1"/>
  <c r="I131" i="536"/>
  <c r="J131" i="536"/>
  <c r="K131" i="536"/>
  <c r="O131" i="536"/>
  <c r="AI2" i="473" l="1"/>
  <c r="AE2" i="473"/>
  <c r="AF2" i="473"/>
  <c r="AK2" i="473"/>
  <c r="AJ2" i="473"/>
  <c r="AM2" i="473"/>
  <c r="AH2" i="473"/>
  <c r="AG2" i="473"/>
  <c r="AE55" i="526" l="1"/>
  <c r="AE110" i="526"/>
  <c r="AE74" i="526"/>
  <c r="AE121" i="526"/>
  <c r="AE124" i="526"/>
  <c r="AE61" i="526"/>
  <c r="Z39" i="473"/>
  <c r="G39" i="370" s="1"/>
  <c r="AK39" i="370" s="1"/>
  <c r="AE120" i="526" l="1"/>
  <c r="AE119" i="526"/>
  <c r="AE130" i="526"/>
  <c r="AE80" i="526"/>
  <c r="AE128" i="526"/>
  <c r="AE123" i="526"/>
  <c r="AE117" i="526"/>
  <c r="AE126" i="526"/>
  <c r="AE116" i="526"/>
  <c r="AE108" i="526"/>
  <c r="AE113" i="526"/>
  <c r="AE125" i="526"/>
  <c r="AE114" i="526"/>
  <c r="AE118" i="526"/>
  <c r="AE111" i="526"/>
  <c r="AE122" i="526"/>
  <c r="AE112" i="526"/>
  <c r="AE115" i="526"/>
  <c r="AE104" i="526"/>
  <c r="AE127" i="526"/>
  <c r="AE43" i="526"/>
  <c r="AE129" i="526"/>
  <c r="AE109" i="526"/>
  <c r="AO39" i="370"/>
  <c r="Z39" i="471"/>
  <c r="E39" i="370" s="1"/>
  <c r="AI39" i="370" s="1"/>
  <c r="N131" i="370" l="1"/>
  <c r="AR31" i="370"/>
  <c r="AT31" i="370"/>
  <c r="P131" i="370"/>
  <c r="AQ31" i="370"/>
  <c r="M131" i="370"/>
  <c r="AS31" i="370"/>
  <c r="O131" i="370"/>
  <c r="AU31" i="370"/>
  <c r="Q131" i="370"/>
  <c r="AG39" i="370"/>
  <c r="AD39" i="370"/>
  <c r="AE39" i="370"/>
  <c r="D39" i="521" s="1"/>
  <c r="AF39" i="521" s="1"/>
  <c r="AF39" i="370"/>
  <c r="AP34" i="370"/>
  <c r="AP32" i="370"/>
  <c r="AP35" i="370"/>
  <c r="L131" i="370" l="1"/>
  <c r="AP31" i="370"/>
  <c r="B31" i="532" l="1"/>
  <c r="U31" i="532" s="1"/>
  <c r="O131" i="535" l="1"/>
  <c r="U131" i="532"/>
  <c r="B31" i="535"/>
  <c r="AE39" i="526" l="1"/>
  <c r="AE48" i="526"/>
  <c r="AQ31" i="477"/>
  <c r="AQ33" i="477"/>
  <c r="AO33" i="477" s="1"/>
  <c r="C33" i="539" s="1"/>
  <c r="AQ32" i="477"/>
  <c r="AO32" i="477" s="1"/>
  <c r="C32" i="539" s="1"/>
  <c r="C32" i="370" l="1"/>
  <c r="F32" i="469"/>
  <c r="G32" i="469" s="1"/>
  <c r="F32" i="558"/>
  <c r="F32" i="472"/>
  <c r="F32" i="473"/>
  <c r="U32" i="473" s="1"/>
  <c r="C32" i="521"/>
  <c r="F32" i="536"/>
  <c r="G32" i="536" s="1"/>
  <c r="C32" i="526"/>
  <c r="F32" i="475"/>
  <c r="G32" i="475" s="1"/>
  <c r="F32" i="476"/>
  <c r="U32" i="476" s="1"/>
  <c r="F32" i="471"/>
  <c r="C32" i="527"/>
  <c r="C32" i="522"/>
  <c r="F32" i="474"/>
  <c r="H32" i="474" s="1"/>
  <c r="C33" i="370"/>
  <c r="F33" i="558"/>
  <c r="F33" i="469"/>
  <c r="F33" i="472"/>
  <c r="F33" i="536"/>
  <c r="G33" i="536" s="1"/>
  <c r="C33" i="521"/>
  <c r="F33" i="474"/>
  <c r="H33" i="474" s="1"/>
  <c r="F33" i="471"/>
  <c r="F33" i="476"/>
  <c r="U33" i="476" s="1"/>
  <c r="C33" i="526"/>
  <c r="C33" i="527"/>
  <c r="F33" i="473"/>
  <c r="U33" i="473" s="1"/>
  <c r="F33" i="475"/>
  <c r="G33" i="475" s="1"/>
  <c r="C33" i="522"/>
  <c r="AQ28" i="477"/>
  <c r="AO31" i="477"/>
  <c r="C31" i="539" s="1"/>
  <c r="BD32" i="474" l="1"/>
  <c r="BE32" i="474"/>
  <c r="BC32" i="474"/>
  <c r="BF32" i="474"/>
  <c r="BE33" i="474"/>
  <c r="BF33" i="474"/>
  <c r="BC33" i="474"/>
  <c r="BD33" i="474"/>
  <c r="G32" i="472"/>
  <c r="U32" i="472" s="1"/>
  <c r="W32" i="472" s="1"/>
  <c r="Y32" i="472" s="1"/>
  <c r="G33" i="469"/>
  <c r="G33" i="472" s="1"/>
  <c r="U33" i="472" s="1"/>
  <c r="W33" i="472" s="1"/>
  <c r="Y33" i="472" s="1"/>
  <c r="BC33" i="473"/>
  <c r="BD33" i="473"/>
  <c r="BA33" i="473"/>
  <c r="BB33" i="473"/>
  <c r="BD32" i="473"/>
  <c r="BC32" i="473"/>
  <c r="BB32" i="473"/>
  <c r="BA32" i="473"/>
  <c r="G33" i="526"/>
  <c r="H33" i="526" s="1"/>
  <c r="B33" i="526"/>
  <c r="AD33" i="521"/>
  <c r="B33" i="521"/>
  <c r="AE33" i="521"/>
  <c r="B33" i="469"/>
  <c r="AC33" i="469"/>
  <c r="AB33" i="469"/>
  <c r="AB32" i="476"/>
  <c r="B32" i="476"/>
  <c r="AC32" i="476"/>
  <c r="W32" i="476"/>
  <c r="Y32" i="476" s="1"/>
  <c r="H32" i="536"/>
  <c r="AB32" i="536"/>
  <c r="BA32" i="536"/>
  <c r="AC32" i="536"/>
  <c r="B32" i="536"/>
  <c r="Y32" i="536"/>
  <c r="BB32" i="536"/>
  <c r="B32" i="472"/>
  <c r="AB32" i="472"/>
  <c r="AC32" i="472"/>
  <c r="C31" i="370"/>
  <c r="C31" i="526"/>
  <c r="F31" i="473"/>
  <c r="U31" i="473" s="1"/>
  <c r="F31" i="471"/>
  <c r="F31" i="472"/>
  <c r="C31" i="521"/>
  <c r="F31" i="474"/>
  <c r="H31" i="474" s="1"/>
  <c r="F31" i="536"/>
  <c r="G31" i="536" s="1"/>
  <c r="C31" i="527"/>
  <c r="C31" i="522"/>
  <c r="F31" i="558"/>
  <c r="F31" i="469"/>
  <c r="G31" i="469" s="1"/>
  <c r="F31" i="475"/>
  <c r="F31" i="476"/>
  <c r="U31" i="476" s="1"/>
  <c r="E33" i="527"/>
  <c r="I33" i="527"/>
  <c r="B33" i="527"/>
  <c r="C33" i="528"/>
  <c r="AB33" i="558"/>
  <c r="B33" i="558"/>
  <c r="AC33" i="558"/>
  <c r="U33" i="558"/>
  <c r="W33" i="558" s="1"/>
  <c r="Y33" i="558" s="1"/>
  <c r="BB32" i="522"/>
  <c r="B32" i="522"/>
  <c r="BC32" i="522"/>
  <c r="B32" i="475"/>
  <c r="AB32" i="475"/>
  <c r="T32" i="475"/>
  <c r="U32" i="475" s="1"/>
  <c r="W32" i="475" s="1"/>
  <c r="Y32" i="475" s="1"/>
  <c r="AC32" i="475"/>
  <c r="BA32" i="475"/>
  <c r="BB32" i="475"/>
  <c r="AE32" i="521"/>
  <c r="B32" i="521"/>
  <c r="AD32" i="521"/>
  <c r="AB32" i="558"/>
  <c r="U32" i="558"/>
  <c r="W32" i="558" s="1"/>
  <c r="Y32" i="558" s="1"/>
  <c r="B32" i="558"/>
  <c r="AC32" i="558"/>
  <c r="AB33" i="473"/>
  <c r="B33" i="473"/>
  <c r="AC33" i="473"/>
  <c r="AC33" i="476"/>
  <c r="AB33" i="476"/>
  <c r="W33" i="476"/>
  <c r="Y33" i="476" s="1"/>
  <c r="B33" i="476"/>
  <c r="BB33" i="522"/>
  <c r="B33" i="522"/>
  <c r="BC33" i="522"/>
  <c r="B33" i="471"/>
  <c r="AB33" i="471"/>
  <c r="AC33" i="471"/>
  <c r="G33" i="471"/>
  <c r="U33" i="471" s="1"/>
  <c r="B33" i="472"/>
  <c r="AC33" i="472"/>
  <c r="AB33" i="472"/>
  <c r="I32" i="527"/>
  <c r="E32" i="527"/>
  <c r="B32" i="527"/>
  <c r="C32" i="528"/>
  <c r="AC32" i="473"/>
  <c r="AB32" i="473"/>
  <c r="B32" i="473"/>
  <c r="B32" i="469"/>
  <c r="AB32" i="469"/>
  <c r="S32" i="469"/>
  <c r="T32" i="469" s="1"/>
  <c r="AC32" i="469"/>
  <c r="AC33" i="536"/>
  <c r="BA33" i="536"/>
  <c r="H33" i="536"/>
  <c r="U33" i="536" s="1"/>
  <c r="Y33" i="536"/>
  <c r="AB33" i="536"/>
  <c r="BB33" i="536"/>
  <c r="B33" i="536"/>
  <c r="BB33" i="475"/>
  <c r="T33" i="475"/>
  <c r="U33" i="475" s="1"/>
  <c r="W33" i="475" s="1"/>
  <c r="Y33" i="475" s="1"/>
  <c r="BA33" i="475"/>
  <c r="AB33" i="475"/>
  <c r="B33" i="475"/>
  <c r="AC33" i="475"/>
  <c r="AD33" i="474"/>
  <c r="B33" i="474"/>
  <c r="AE33" i="474"/>
  <c r="W33" i="474"/>
  <c r="Y33" i="474" s="1"/>
  <c r="AA33" i="474" s="1"/>
  <c r="B32" i="474"/>
  <c r="W32" i="474"/>
  <c r="Y32" i="474" s="1"/>
  <c r="AA32" i="474" s="1"/>
  <c r="AD32" i="474"/>
  <c r="AE32" i="474"/>
  <c r="AC32" i="471"/>
  <c r="B32" i="471"/>
  <c r="G32" i="471"/>
  <c r="U32" i="471" s="1"/>
  <c r="AB32" i="471"/>
  <c r="G32" i="526"/>
  <c r="H32" i="526" s="1"/>
  <c r="B32" i="526"/>
  <c r="G31" i="475" l="1"/>
  <c r="S33" i="469"/>
  <c r="T33" i="469" s="1"/>
  <c r="U33" i="469" s="1"/>
  <c r="BE31" i="474"/>
  <c r="BD31" i="474"/>
  <c r="BC31" i="474"/>
  <c r="BF31" i="474"/>
  <c r="G31" i="472"/>
  <c r="U31" i="472" s="1"/>
  <c r="U131" i="472" s="1"/>
  <c r="W33" i="536"/>
  <c r="Z33" i="536"/>
  <c r="V33" i="471" s="1"/>
  <c r="W33" i="471" s="1"/>
  <c r="Y33" i="471" s="1"/>
  <c r="W31" i="474"/>
  <c r="W131" i="474" s="1"/>
  <c r="BB31" i="473"/>
  <c r="BD31" i="473"/>
  <c r="BC31" i="473"/>
  <c r="BA31" i="473"/>
  <c r="U32" i="469"/>
  <c r="U32" i="536"/>
  <c r="W32" i="536" s="1"/>
  <c r="BH31" i="476"/>
  <c r="BC31" i="476"/>
  <c r="BD31" i="476"/>
  <c r="BG31" i="476"/>
  <c r="BE31" i="476"/>
  <c r="BJ31" i="476"/>
  <c r="BA31" i="476"/>
  <c r="AB31" i="476"/>
  <c r="AC31" i="476"/>
  <c r="BI31" i="476"/>
  <c r="BB31" i="476"/>
  <c r="B31" i="476"/>
  <c r="BF31" i="476"/>
  <c r="W31" i="476"/>
  <c r="W131" i="476" s="1"/>
  <c r="U131" i="476"/>
  <c r="E131" i="522"/>
  <c r="B31" i="522"/>
  <c r="BB31" i="522"/>
  <c r="BC31" i="522"/>
  <c r="AE31" i="474"/>
  <c r="AD31" i="474"/>
  <c r="B31" i="474"/>
  <c r="BG31" i="471"/>
  <c r="BH31" i="471"/>
  <c r="BB31" i="471"/>
  <c r="BF31" i="471"/>
  <c r="B31" i="471"/>
  <c r="BJ31" i="471"/>
  <c r="BC31" i="471"/>
  <c r="BD31" i="471"/>
  <c r="AC31" i="471"/>
  <c r="BE31" i="471"/>
  <c r="AB31" i="471"/>
  <c r="BA31" i="471"/>
  <c r="BI31" i="471"/>
  <c r="G31" i="471"/>
  <c r="U31" i="471" s="1"/>
  <c r="AB31" i="475"/>
  <c r="BA31" i="475"/>
  <c r="B31" i="475"/>
  <c r="BB31" i="475"/>
  <c r="AC31" i="475"/>
  <c r="T31" i="475"/>
  <c r="T131" i="475" s="1"/>
  <c r="E31" i="527"/>
  <c r="E131" i="527" s="1"/>
  <c r="B31" i="527"/>
  <c r="C31" i="528"/>
  <c r="I31" i="527"/>
  <c r="I131" i="527" s="1"/>
  <c r="AD31" i="521"/>
  <c r="AE31" i="521"/>
  <c r="B31" i="521"/>
  <c r="E131" i="521"/>
  <c r="G54" i="521" s="1"/>
  <c r="AB31" i="473"/>
  <c r="B31" i="473"/>
  <c r="AC31" i="473"/>
  <c r="U131" i="473"/>
  <c r="AF33" i="539"/>
  <c r="AE33" i="539"/>
  <c r="B33" i="539"/>
  <c r="B33" i="528"/>
  <c r="AC33" i="528"/>
  <c r="C33" i="529"/>
  <c r="BJ31" i="469"/>
  <c r="BH31" i="469"/>
  <c r="BB31" i="469"/>
  <c r="BG31" i="469"/>
  <c r="BA31" i="469"/>
  <c r="BD31" i="469"/>
  <c r="B31" i="469"/>
  <c r="AB31" i="469"/>
  <c r="AC31" i="469"/>
  <c r="BE31" i="469"/>
  <c r="BF31" i="469"/>
  <c r="BC31" i="469"/>
  <c r="BI31" i="469"/>
  <c r="S31" i="469"/>
  <c r="B31" i="536"/>
  <c r="AB31" i="536"/>
  <c r="BA31" i="536"/>
  <c r="BB31" i="536"/>
  <c r="AC31" i="536"/>
  <c r="Y31" i="536"/>
  <c r="Y131" i="536" s="1"/>
  <c r="H31" i="536"/>
  <c r="H131" i="536" s="1"/>
  <c r="B31" i="526"/>
  <c r="G31" i="526"/>
  <c r="G131" i="526" s="1"/>
  <c r="AC32" i="528"/>
  <c r="B32" i="528"/>
  <c r="C32" i="529"/>
  <c r="BF31" i="558"/>
  <c r="BC31" i="558"/>
  <c r="BA31" i="558"/>
  <c r="BH31" i="558"/>
  <c r="BJ31" i="558"/>
  <c r="BG31" i="558"/>
  <c r="AB31" i="558"/>
  <c r="B31" i="558"/>
  <c r="BD31" i="558"/>
  <c r="BI31" i="558"/>
  <c r="BB31" i="558"/>
  <c r="AC31" i="558"/>
  <c r="BE31" i="558"/>
  <c r="U31" i="558"/>
  <c r="U131" i="558" s="1"/>
  <c r="BE31" i="472"/>
  <c r="BI31" i="472"/>
  <c r="BG31" i="472"/>
  <c r="BC31" i="472"/>
  <c r="B31" i="472"/>
  <c r="BJ31" i="472"/>
  <c r="BA31" i="472"/>
  <c r="BD31" i="472"/>
  <c r="BF31" i="472"/>
  <c r="AC31" i="472"/>
  <c r="AB31" i="472"/>
  <c r="BB31" i="472"/>
  <c r="BH31" i="472"/>
  <c r="F54" i="522" l="1"/>
  <c r="D54" i="527"/>
  <c r="G82" i="521"/>
  <c r="F82" i="522" s="1"/>
  <c r="G73" i="521"/>
  <c r="G90" i="521"/>
  <c r="D90" i="527" s="1"/>
  <c r="G91" i="521"/>
  <c r="G87" i="521"/>
  <c r="G81" i="521"/>
  <c r="G40" i="521"/>
  <c r="G37" i="521"/>
  <c r="G89" i="521"/>
  <c r="G86" i="521"/>
  <c r="G85" i="521"/>
  <c r="G47" i="521"/>
  <c r="G51" i="521"/>
  <c r="G65" i="521"/>
  <c r="G38" i="521"/>
  <c r="G67" i="521"/>
  <c r="G57" i="521"/>
  <c r="G34" i="521"/>
  <c r="G36" i="521"/>
  <c r="G70" i="521"/>
  <c r="G78" i="521"/>
  <c r="G42" i="521"/>
  <c r="G66" i="521"/>
  <c r="G56" i="521"/>
  <c r="G58" i="521"/>
  <c r="G52" i="521"/>
  <c r="G53" i="521"/>
  <c r="G45" i="521"/>
  <c r="G69" i="521"/>
  <c r="G41" i="521"/>
  <c r="G33" i="521"/>
  <c r="G32" i="521"/>
  <c r="G31" i="521"/>
  <c r="D31" i="527" s="1"/>
  <c r="V33" i="473"/>
  <c r="W33" i="473" s="1"/>
  <c r="Y33" i="473" s="1"/>
  <c r="V33" i="469"/>
  <c r="W33" i="469" s="1"/>
  <c r="Y33" i="469" s="1"/>
  <c r="W31" i="558"/>
  <c r="Y31" i="476"/>
  <c r="Z107" i="476" s="1"/>
  <c r="J107" i="370" s="1"/>
  <c r="AN107" i="370" s="1"/>
  <c r="U31" i="475"/>
  <c r="Y31" i="474"/>
  <c r="W31" i="472"/>
  <c r="S131" i="469"/>
  <c r="T31" i="469"/>
  <c r="T131" i="469" s="1"/>
  <c r="AE32" i="539"/>
  <c r="B32" i="539"/>
  <c r="AF32" i="539"/>
  <c r="Z32" i="536"/>
  <c r="V32" i="471" s="1"/>
  <c r="W32" i="471" s="1"/>
  <c r="Y32" i="471" s="1"/>
  <c r="U31" i="536"/>
  <c r="U131" i="536" s="1"/>
  <c r="U131" i="471"/>
  <c r="H31" i="526"/>
  <c r="H131" i="526" s="1"/>
  <c r="J32" i="529"/>
  <c r="K32" i="529"/>
  <c r="B32" i="529"/>
  <c r="C32" i="530"/>
  <c r="AH2" i="469"/>
  <c r="AK2" i="469"/>
  <c r="AM2" i="469"/>
  <c r="AE2" i="469"/>
  <c r="AF2" i="469"/>
  <c r="AI2" i="469"/>
  <c r="G131" i="469"/>
  <c r="AG2" i="469"/>
  <c r="AJ2" i="469"/>
  <c r="E134" i="521"/>
  <c r="D1" i="521"/>
  <c r="AE2" i="475"/>
  <c r="AI2" i="475"/>
  <c r="G131" i="475"/>
  <c r="AM2" i="475"/>
  <c r="AG2" i="475"/>
  <c r="AH2" i="475"/>
  <c r="AK2" i="475"/>
  <c r="AF2" i="475"/>
  <c r="AJ2" i="475"/>
  <c r="AC31" i="528"/>
  <c r="B31" i="528"/>
  <c r="C31" i="529"/>
  <c r="AF2" i="471"/>
  <c r="AK2" i="471"/>
  <c r="AE2" i="471"/>
  <c r="G131" i="471"/>
  <c r="AJ2" i="471"/>
  <c r="AI2" i="471"/>
  <c r="AM2" i="471"/>
  <c r="AH2" i="471"/>
  <c r="AG2" i="471"/>
  <c r="AK2" i="536"/>
  <c r="AN2" i="536"/>
  <c r="AG2" i="536"/>
  <c r="AM2" i="536"/>
  <c r="AI2" i="536"/>
  <c r="AH2" i="536"/>
  <c r="AJ2" i="536"/>
  <c r="AF2" i="536"/>
  <c r="AE2" i="536"/>
  <c r="G131" i="536"/>
  <c r="G131" i="472"/>
  <c r="AG2" i="472"/>
  <c r="AI2" i="472"/>
  <c r="AK2" i="472"/>
  <c r="AF2" i="472"/>
  <c r="AJ2" i="472"/>
  <c r="AM2" i="472"/>
  <c r="AE2" i="472"/>
  <c r="AH2" i="472"/>
  <c r="J33" i="529"/>
  <c r="C33" i="530"/>
  <c r="K33" i="529"/>
  <c r="B33" i="529"/>
  <c r="Z106" i="476" l="1"/>
  <c r="J106" i="370" s="1"/>
  <c r="AN106" i="370" s="1"/>
  <c r="Z105" i="476"/>
  <c r="J105" i="370" s="1"/>
  <c r="AN105" i="370" s="1"/>
  <c r="Z98" i="476"/>
  <c r="J98" i="370" s="1"/>
  <c r="AN98" i="370" s="1"/>
  <c r="Z91" i="476"/>
  <c r="J91" i="370" s="1"/>
  <c r="AN91" i="370" s="1"/>
  <c r="Z90" i="476"/>
  <c r="J90" i="370" s="1"/>
  <c r="AN90" i="370" s="1"/>
  <c r="Z97" i="476"/>
  <c r="J97" i="370" s="1"/>
  <c r="AN97" i="370" s="1"/>
  <c r="Z95" i="476"/>
  <c r="J95" i="370" s="1"/>
  <c r="AN95" i="370" s="1"/>
  <c r="Z96" i="476"/>
  <c r="J96" i="370" s="1"/>
  <c r="AN96" i="370" s="1"/>
  <c r="Z93" i="476"/>
  <c r="J93" i="370" s="1"/>
  <c r="AN93" i="370" s="1"/>
  <c r="Z92" i="476"/>
  <c r="J92" i="370" s="1"/>
  <c r="AN92" i="370" s="1"/>
  <c r="Z94" i="476"/>
  <c r="J94" i="370" s="1"/>
  <c r="AN94" i="370" s="1"/>
  <c r="D82" i="527"/>
  <c r="D73" i="527"/>
  <c r="F73" i="522"/>
  <c r="F90" i="522"/>
  <c r="D91" i="527"/>
  <c r="F91" i="522"/>
  <c r="F31" i="522"/>
  <c r="F32" i="522"/>
  <c r="D32" i="527"/>
  <c r="D45" i="527"/>
  <c r="F45" i="522"/>
  <c r="F56" i="522"/>
  <c r="D56" i="527"/>
  <c r="F70" i="522"/>
  <c r="D70" i="527"/>
  <c r="F67" i="522"/>
  <c r="D67" i="527"/>
  <c r="F47" i="522"/>
  <c r="D47" i="527"/>
  <c r="D37" i="527"/>
  <c r="F37" i="522"/>
  <c r="D33" i="527"/>
  <c r="F33" i="522"/>
  <c r="F53" i="522"/>
  <c r="D53" i="527"/>
  <c r="F66" i="522"/>
  <c r="D66" i="527"/>
  <c r="F36" i="522"/>
  <c r="D36" i="527"/>
  <c r="F38" i="522"/>
  <c r="D38" i="527"/>
  <c r="D85" i="527"/>
  <c r="F85" i="522"/>
  <c r="D40" i="527"/>
  <c r="F40" i="522"/>
  <c r="Z87" i="476"/>
  <c r="J87" i="370" s="1"/>
  <c r="AN87" i="370" s="1"/>
  <c r="Z89" i="476"/>
  <c r="J89" i="370" s="1"/>
  <c r="AN89" i="370" s="1"/>
  <c r="D41" i="527"/>
  <c r="F41" i="522"/>
  <c r="F52" i="522"/>
  <c r="D52" i="527"/>
  <c r="F42" i="522"/>
  <c r="D42" i="527"/>
  <c r="D34" i="527"/>
  <c r="F34" i="522"/>
  <c r="D65" i="527"/>
  <c r="F65" i="522"/>
  <c r="D86" i="527"/>
  <c r="F86" i="522"/>
  <c r="F81" i="522"/>
  <c r="D81" i="527"/>
  <c r="G131" i="521"/>
  <c r="F69" i="522"/>
  <c r="D69" i="527"/>
  <c r="F58" i="522"/>
  <c r="D58" i="527"/>
  <c r="F78" i="522"/>
  <c r="D78" i="527"/>
  <c r="F57" i="522"/>
  <c r="D57" i="527"/>
  <c r="D51" i="527"/>
  <c r="F51" i="522"/>
  <c r="F89" i="522"/>
  <c r="D89" i="527"/>
  <c r="F87" i="522"/>
  <c r="D87" i="527"/>
  <c r="Z86" i="476"/>
  <c r="J86" i="370" s="1"/>
  <c r="AN86" i="370" s="1"/>
  <c r="Z85" i="476"/>
  <c r="J85" i="370" s="1"/>
  <c r="AN85" i="370" s="1"/>
  <c r="Z83" i="476"/>
  <c r="J83" i="370" s="1"/>
  <c r="AN83" i="370" s="1"/>
  <c r="Z77" i="476"/>
  <c r="J77" i="370" s="1"/>
  <c r="AN77" i="370" s="1"/>
  <c r="Z76" i="476"/>
  <c r="J76" i="370" s="1"/>
  <c r="AN76" i="370" s="1"/>
  <c r="Z81" i="476"/>
  <c r="J81" i="370" s="1"/>
  <c r="AN81" i="370" s="1"/>
  <c r="Z75" i="476"/>
  <c r="J75" i="370" s="1"/>
  <c r="AN75" i="370" s="1"/>
  <c r="Z84" i="476"/>
  <c r="J84" i="370" s="1"/>
  <c r="AN84" i="370" s="1"/>
  <c r="Z82" i="476"/>
  <c r="J82" i="370" s="1"/>
  <c r="AN82" i="370" s="1"/>
  <c r="Z79" i="476"/>
  <c r="J79" i="370" s="1"/>
  <c r="AN79" i="370" s="1"/>
  <c r="Z78" i="476"/>
  <c r="J78" i="370" s="1"/>
  <c r="AN78" i="370" s="1"/>
  <c r="Z71" i="476"/>
  <c r="J71" i="370" s="1"/>
  <c r="AN71" i="370" s="1"/>
  <c r="Z73" i="476"/>
  <c r="J73" i="370" s="1"/>
  <c r="AN73" i="370" s="1"/>
  <c r="Z72" i="476"/>
  <c r="J72" i="370" s="1"/>
  <c r="AN72" i="370" s="1"/>
  <c r="Z67" i="476"/>
  <c r="J67" i="370" s="1"/>
  <c r="AN67" i="370" s="1"/>
  <c r="Z70" i="476"/>
  <c r="J70" i="370" s="1"/>
  <c r="AN70" i="370" s="1"/>
  <c r="Z69" i="476"/>
  <c r="J69" i="370" s="1"/>
  <c r="AN69" i="370" s="1"/>
  <c r="Z56" i="476"/>
  <c r="J56" i="370" s="1"/>
  <c r="AN56" i="370" s="1"/>
  <c r="Z45" i="476"/>
  <c r="J45" i="370" s="1"/>
  <c r="AN45" i="370" s="1"/>
  <c r="Z50" i="476"/>
  <c r="J50" i="370" s="1"/>
  <c r="AN50" i="370" s="1"/>
  <c r="Z57" i="476"/>
  <c r="J57" i="370" s="1"/>
  <c r="AN57" i="370" s="1"/>
  <c r="Z51" i="476"/>
  <c r="J51" i="370" s="1"/>
  <c r="AN51" i="370" s="1"/>
  <c r="Z58" i="476"/>
  <c r="J58" i="370" s="1"/>
  <c r="AN58" i="370" s="1"/>
  <c r="Z46" i="476"/>
  <c r="J46" i="370" s="1"/>
  <c r="AN46" i="370" s="1"/>
  <c r="Z41" i="476"/>
  <c r="J41" i="370" s="1"/>
  <c r="AN41" i="370" s="1"/>
  <c r="Z37" i="476"/>
  <c r="J37" i="370" s="1"/>
  <c r="AN37" i="370" s="1"/>
  <c r="Z53" i="476"/>
  <c r="J53" i="370" s="1"/>
  <c r="AN53" i="370" s="1"/>
  <c r="Z64" i="476"/>
  <c r="J64" i="370" s="1"/>
  <c r="AN64" i="370" s="1"/>
  <c r="Z65" i="476"/>
  <c r="J65" i="370" s="1"/>
  <c r="AN65" i="370" s="1"/>
  <c r="Z52" i="476"/>
  <c r="J52" i="370" s="1"/>
  <c r="AN52" i="370" s="1"/>
  <c r="Z40" i="476"/>
  <c r="J40" i="370" s="1"/>
  <c r="AN40" i="370" s="1"/>
  <c r="Z54" i="476"/>
  <c r="J54" i="370" s="1"/>
  <c r="AN54" i="370" s="1"/>
  <c r="Z44" i="476"/>
  <c r="J44" i="370" s="1"/>
  <c r="AN44" i="370" s="1"/>
  <c r="Z49" i="476"/>
  <c r="J49" i="370" s="1"/>
  <c r="AN49" i="370" s="1"/>
  <c r="Z33" i="476"/>
  <c r="J33" i="370" s="1"/>
  <c r="AN33" i="370" s="1"/>
  <c r="L33" i="529"/>
  <c r="Z60" i="476"/>
  <c r="J60" i="370" s="1"/>
  <c r="AN60" i="370" s="1"/>
  <c r="Z34" i="476"/>
  <c r="J34" i="370" s="1"/>
  <c r="AN34" i="370" s="1"/>
  <c r="Z36" i="476"/>
  <c r="J36" i="370" s="1"/>
  <c r="AN36" i="370" s="1"/>
  <c r="Z31" i="476"/>
  <c r="J31" i="370" s="1"/>
  <c r="AN31" i="370" s="1"/>
  <c r="Z47" i="476"/>
  <c r="J47" i="370" s="1"/>
  <c r="AN47" i="370" s="1"/>
  <c r="Z62" i="476"/>
  <c r="J62" i="370" s="1"/>
  <c r="AN62" i="370" s="1"/>
  <c r="Z59" i="476"/>
  <c r="J59" i="370" s="1"/>
  <c r="AN59" i="370" s="1"/>
  <c r="Z42" i="476"/>
  <c r="J42" i="370" s="1"/>
  <c r="AN42" i="370" s="1"/>
  <c r="Z63" i="476"/>
  <c r="J63" i="370" s="1"/>
  <c r="AN63" i="370" s="1"/>
  <c r="Z35" i="476"/>
  <c r="J35" i="370" s="1"/>
  <c r="AN35" i="370" s="1"/>
  <c r="Z66" i="476"/>
  <c r="J66" i="370" s="1"/>
  <c r="AN66" i="370" s="1"/>
  <c r="Z38" i="476"/>
  <c r="J38" i="370" s="1"/>
  <c r="AN38" i="370" s="1"/>
  <c r="Z31" i="536"/>
  <c r="W131" i="558"/>
  <c r="Y31" i="558"/>
  <c r="Z107" i="558" s="1"/>
  <c r="K107" i="370" s="1"/>
  <c r="AO107" i="370" s="1"/>
  <c r="Y131" i="476"/>
  <c r="Z32" i="476"/>
  <c r="J32" i="370" s="1"/>
  <c r="AN32" i="370" s="1"/>
  <c r="U131" i="475"/>
  <c r="W31" i="475"/>
  <c r="Y131" i="474"/>
  <c r="AA31" i="474"/>
  <c r="AB107" i="474" s="1"/>
  <c r="H107" i="370" s="1"/>
  <c r="AL107" i="370" s="1"/>
  <c r="W131" i="472"/>
  <c r="Y31" i="472"/>
  <c r="Z107" i="472" s="1"/>
  <c r="F107" i="370" s="1"/>
  <c r="U31" i="469"/>
  <c r="L32" i="529"/>
  <c r="V32" i="473"/>
  <c r="V32" i="469"/>
  <c r="W31" i="536"/>
  <c r="K31" i="529"/>
  <c r="J31" i="529"/>
  <c r="B31" i="529"/>
  <c r="C31" i="530"/>
  <c r="B32" i="530"/>
  <c r="I32" i="530"/>
  <c r="J32" i="530"/>
  <c r="C32" i="531"/>
  <c r="J33" i="530"/>
  <c r="I33" i="530"/>
  <c r="B33" i="530"/>
  <c r="C33" i="531"/>
  <c r="B107" i="370" l="1"/>
  <c r="AJ107" i="370"/>
  <c r="Z105" i="472"/>
  <c r="F105" i="370" s="1"/>
  <c r="Z106" i="472"/>
  <c r="F106" i="370" s="1"/>
  <c r="AB91" i="474"/>
  <c r="H91" i="370" s="1"/>
  <c r="AL91" i="370" s="1"/>
  <c r="AB105" i="474"/>
  <c r="H105" i="370" s="1"/>
  <c r="AL105" i="370" s="1"/>
  <c r="AB106" i="474"/>
  <c r="H106" i="370" s="1"/>
  <c r="AL106" i="370" s="1"/>
  <c r="Z106" i="558"/>
  <c r="K106" i="370" s="1"/>
  <c r="AO106" i="370" s="1"/>
  <c r="Z105" i="558"/>
  <c r="K105" i="370" s="1"/>
  <c r="AO105" i="370" s="1"/>
  <c r="Z91" i="558"/>
  <c r="K91" i="370" s="1"/>
  <c r="AO91" i="370" s="1"/>
  <c r="Z98" i="558"/>
  <c r="K98" i="370" s="1"/>
  <c r="AO98" i="370" s="1"/>
  <c r="Z91" i="472"/>
  <c r="F91" i="370" s="1"/>
  <c r="Z98" i="472"/>
  <c r="F98" i="370" s="1"/>
  <c r="AB90" i="474"/>
  <c r="H90" i="370" s="1"/>
  <c r="AL90" i="370" s="1"/>
  <c r="AB98" i="474"/>
  <c r="H98" i="370" s="1"/>
  <c r="AL98" i="370" s="1"/>
  <c r="AB96" i="474"/>
  <c r="H96" i="370" s="1"/>
  <c r="AL96" i="370" s="1"/>
  <c r="AB94" i="474"/>
  <c r="H94" i="370" s="1"/>
  <c r="AL94" i="370" s="1"/>
  <c r="AB95" i="474"/>
  <c r="H95" i="370" s="1"/>
  <c r="AL95" i="370" s="1"/>
  <c r="AB92" i="474"/>
  <c r="H92" i="370" s="1"/>
  <c r="AL92" i="370" s="1"/>
  <c r="AB93" i="474"/>
  <c r="H93" i="370" s="1"/>
  <c r="AL93" i="370" s="1"/>
  <c r="AB97" i="474"/>
  <c r="H97" i="370" s="1"/>
  <c r="AL97" i="370" s="1"/>
  <c r="Z90" i="472"/>
  <c r="F90" i="370" s="1"/>
  <c r="B90" i="370" s="1"/>
  <c r="Z96" i="472"/>
  <c r="F96" i="370" s="1"/>
  <c r="Z94" i="472"/>
  <c r="F94" i="370" s="1"/>
  <c r="Z95" i="472"/>
  <c r="F95" i="370" s="1"/>
  <c r="Z92" i="472"/>
  <c r="F92" i="370" s="1"/>
  <c r="Z93" i="472"/>
  <c r="F93" i="370" s="1"/>
  <c r="Z97" i="472"/>
  <c r="F97" i="370" s="1"/>
  <c r="Z90" i="558"/>
  <c r="K90" i="370" s="1"/>
  <c r="AO90" i="370" s="1"/>
  <c r="Z97" i="558"/>
  <c r="K97" i="370" s="1"/>
  <c r="AO97" i="370" s="1"/>
  <c r="Z96" i="558"/>
  <c r="K96" i="370" s="1"/>
  <c r="AO96" i="370" s="1"/>
  <c r="Z94" i="558"/>
  <c r="K94" i="370" s="1"/>
  <c r="AO94" i="370" s="1"/>
  <c r="Z95" i="558"/>
  <c r="K95" i="370" s="1"/>
  <c r="AO95" i="370" s="1"/>
  <c r="Z92" i="558"/>
  <c r="K92" i="370" s="1"/>
  <c r="AO92" i="370" s="1"/>
  <c r="Z93" i="558"/>
  <c r="K93" i="370" s="1"/>
  <c r="AO93" i="370" s="1"/>
  <c r="F131" i="522"/>
  <c r="Z87" i="472"/>
  <c r="F87" i="370" s="1"/>
  <c r="B87" i="370" s="1"/>
  <c r="Z89" i="472"/>
  <c r="F89" i="370" s="1"/>
  <c r="Z87" i="558"/>
  <c r="K87" i="370" s="1"/>
  <c r="AO87" i="370" s="1"/>
  <c r="Z89" i="558"/>
  <c r="K89" i="370" s="1"/>
  <c r="AO89" i="370" s="1"/>
  <c r="AB87" i="474"/>
  <c r="H87" i="370" s="1"/>
  <c r="AL87" i="370" s="1"/>
  <c r="AB89" i="474"/>
  <c r="H89" i="370" s="1"/>
  <c r="AL89" i="370" s="1"/>
  <c r="Z85" i="472"/>
  <c r="F85" i="370" s="1"/>
  <c r="Z86" i="472"/>
  <c r="F86" i="370" s="1"/>
  <c r="Z86" i="558"/>
  <c r="K86" i="370" s="1"/>
  <c r="AO86" i="370" s="1"/>
  <c r="Z85" i="558"/>
  <c r="K85" i="370" s="1"/>
  <c r="AO85" i="370" s="1"/>
  <c r="AB86" i="474"/>
  <c r="H86" i="370" s="1"/>
  <c r="AL86" i="370" s="1"/>
  <c r="AB85" i="474"/>
  <c r="H85" i="370" s="1"/>
  <c r="AL85" i="370" s="1"/>
  <c r="AB82" i="474"/>
  <c r="H82" i="370" s="1"/>
  <c r="AL82" i="370" s="1"/>
  <c r="AB75" i="474"/>
  <c r="H75" i="370" s="1"/>
  <c r="AL75" i="370" s="1"/>
  <c r="AB77" i="474"/>
  <c r="H77" i="370" s="1"/>
  <c r="AL77" i="370" s="1"/>
  <c r="AB84" i="474"/>
  <c r="H84" i="370" s="1"/>
  <c r="AL84" i="370" s="1"/>
  <c r="AB83" i="474"/>
  <c r="H83" i="370" s="1"/>
  <c r="AL83" i="370" s="1"/>
  <c r="AB81" i="474"/>
  <c r="H81" i="370" s="1"/>
  <c r="AL81" i="370" s="1"/>
  <c r="AB79" i="474"/>
  <c r="H79" i="370" s="1"/>
  <c r="AL79" i="370" s="1"/>
  <c r="AB78" i="474"/>
  <c r="H78" i="370" s="1"/>
  <c r="AL78" i="370" s="1"/>
  <c r="AB76" i="474"/>
  <c r="H76" i="370" s="1"/>
  <c r="AL76" i="370" s="1"/>
  <c r="Z84" i="472"/>
  <c r="F84" i="370" s="1"/>
  <c r="Z81" i="472"/>
  <c r="F81" i="370" s="1"/>
  <c r="Z82" i="472"/>
  <c r="F82" i="370" s="1"/>
  <c r="Z78" i="472"/>
  <c r="F78" i="370" s="1"/>
  <c r="Z83" i="472"/>
  <c r="F83" i="370" s="1"/>
  <c r="Z79" i="472"/>
  <c r="F79" i="370" s="1"/>
  <c r="Z76" i="472"/>
  <c r="F76" i="370" s="1"/>
  <c r="Z77" i="472"/>
  <c r="F77" i="370" s="1"/>
  <c r="Z75" i="472"/>
  <c r="F75" i="370" s="1"/>
  <c r="Z83" i="558"/>
  <c r="K83" i="370" s="1"/>
  <c r="AO83" i="370" s="1"/>
  <c r="Z81" i="558"/>
  <c r="K81" i="370" s="1"/>
  <c r="AO81" i="370" s="1"/>
  <c r="Z79" i="558"/>
  <c r="K79" i="370" s="1"/>
  <c r="AO79" i="370" s="1"/>
  <c r="Z75" i="558"/>
  <c r="K75" i="370" s="1"/>
  <c r="AO75" i="370" s="1"/>
  <c r="Z82" i="558"/>
  <c r="K82" i="370" s="1"/>
  <c r="AO82" i="370" s="1"/>
  <c r="Z78" i="558"/>
  <c r="K78" i="370" s="1"/>
  <c r="AO78" i="370" s="1"/>
  <c r="Z84" i="558"/>
  <c r="K84" i="370" s="1"/>
  <c r="AO84" i="370" s="1"/>
  <c r="Z76" i="558"/>
  <c r="K76" i="370" s="1"/>
  <c r="AO76" i="370" s="1"/>
  <c r="Z77" i="558"/>
  <c r="K77" i="370" s="1"/>
  <c r="AO77" i="370" s="1"/>
  <c r="Z71" i="472"/>
  <c r="F71" i="370" s="1"/>
  <c r="B71" i="370" s="1"/>
  <c r="Z67" i="472"/>
  <c r="F67" i="370" s="1"/>
  <c r="Z72" i="472"/>
  <c r="F72" i="370" s="1"/>
  <c r="Z73" i="472"/>
  <c r="F73" i="370" s="1"/>
  <c r="AB71" i="474"/>
  <c r="H71" i="370" s="1"/>
  <c r="AL71" i="370" s="1"/>
  <c r="AB72" i="474"/>
  <c r="H72" i="370" s="1"/>
  <c r="AL72" i="370" s="1"/>
  <c r="AB73" i="474"/>
  <c r="H73" i="370" s="1"/>
  <c r="AL73" i="370" s="1"/>
  <c r="AB67" i="474"/>
  <c r="H67" i="370" s="1"/>
  <c r="AL67" i="370" s="1"/>
  <c r="Z71" i="558"/>
  <c r="K71" i="370" s="1"/>
  <c r="AO71" i="370" s="1"/>
  <c r="Z73" i="558"/>
  <c r="K73" i="370" s="1"/>
  <c r="AO73" i="370" s="1"/>
  <c r="Z72" i="558"/>
  <c r="K72" i="370" s="1"/>
  <c r="AO72" i="370" s="1"/>
  <c r="Z67" i="558"/>
  <c r="K67" i="370" s="1"/>
  <c r="AO67" i="370" s="1"/>
  <c r="AB45" i="474"/>
  <c r="H45" i="370" s="1"/>
  <c r="AL45" i="370" s="1"/>
  <c r="AB69" i="474"/>
  <c r="H69" i="370" s="1"/>
  <c r="AL69" i="370" s="1"/>
  <c r="AB70" i="474"/>
  <c r="H70" i="370" s="1"/>
  <c r="AL70" i="370" s="1"/>
  <c r="Z70" i="472"/>
  <c r="F70" i="370" s="1"/>
  <c r="Z69" i="472"/>
  <c r="F69" i="370" s="1"/>
  <c r="Z70" i="558"/>
  <c r="K70" i="370" s="1"/>
  <c r="AO70" i="370" s="1"/>
  <c r="Z69" i="558"/>
  <c r="K69" i="370" s="1"/>
  <c r="AO69" i="370" s="1"/>
  <c r="Z56" i="472"/>
  <c r="F56" i="370" s="1"/>
  <c r="B56" i="370" s="1"/>
  <c r="Z45" i="472"/>
  <c r="F45" i="370" s="1"/>
  <c r="Z50" i="472"/>
  <c r="F50" i="370" s="1"/>
  <c r="Z56" i="558"/>
  <c r="K56" i="370" s="1"/>
  <c r="AO56" i="370" s="1"/>
  <c r="Z50" i="558"/>
  <c r="K50" i="370" s="1"/>
  <c r="AO50" i="370" s="1"/>
  <c r="Z45" i="558"/>
  <c r="K45" i="370" s="1"/>
  <c r="AO45" i="370" s="1"/>
  <c r="AB56" i="474"/>
  <c r="H56" i="370" s="1"/>
  <c r="AL56" i="370" s="1"/>
  <c r="AB50" i="474"/>
  <c r="H50" i="370" s="1"/>
  <c r="AL50" i="370" s="1"/>
  <c r="AB63" i="474"/>
  <c r="H63" i="370" s="1"/>
  <c r="AL63" i="370" s="1"/>
  <c r="AB34" i="474"/>
  <c r="H34" i="370" s="1"/>
  <c r="AL34" i="370" s="1"/>
  <c r="AB57" i="474"/>
  <c r="H57" i="370" s="1"/>
  <c r="AL57" i="370" s="1"/>
  <c r="AB58" i="474"/>
  <c r="H58" i="370" s="1"/>
  <c r="AL58" i="370" s="1"/>
  <c r="AB49" i="474"/>
  <c r="H49" i="370" s="1"/>
  <c r="AL49" i="370" s="1"/>
  <c r="AB51" i="474"/>
  <c r="H51" i="370" s="1"/>
  <c r="AL51" i="370" s="1"/>
  <c r="AB44" i="474"/>
  <c r="H44" i="370" s="1"/>
  <c r="AL44" i="370" s="1"/>
  <c r="AB53" i="474"/>
  <c r="H53" i="370" s="1"/>
  <c r="AL53" i="370" s="1"/>
  <c r="AB46" i="474"/>
  <c r="H46" i="370" s="1"/>
  <c r="AL46" i="370" s="1"/>
  <c r="AB37" i="474"/>
  <c r="H37" i="370" s="1"/>
  <c r="AL37" i="370" s="1"/>
  <c r="AB65" i="474"/>
  <c r="H65" i="370" s="1"/>
  <c r="AL65" i="370" s="1"/>
  <c r="AB41" i="474"/>
  <c r="H41" i="370" s="1"/>
  <c r="AL41" i="370" s="1"/>
  <c r="AB42" i="474"/>
  <c r="H42" i="370" s="1"/>
  <c r="AL42" i="370" s="1"/>
  <c r="AB33" i="474"/>
  <c r="H33" i="370" s="1"/>
  <c r="AL33" i="370" s="1"/>
  <c r="AB36" i="474"/>
  <c r="H36" i="370" s="1"/>
  <c r="AL36" i="370" s="1"/>
  <c r="AB54" i="474"/>
  <c r="H54" i="370" s="1"/>
  <c r="AL54" i="370" s="1"/>
  <c r="AB52" i="474"/>
  <c r="H52" i="370" s="1"/>
  <c r="AL52" i="370" s="1"/>
  <c r="AB64" i="474"/>
  <c r="H64" i="370" s="1"/>
  <c r="AL64" i="370" s="1"/>
  <c r="K33" i="530"/>
  <c r="Z62" i="472"/>
  <c r="F62" i="370" s="1"/>
  <c r="AJ62" i="370" s="1"/>
  <c r="Z57" i="472"/>
  <c r="F57" i="370" s="1"/>
  <c r="Z52" i="472"/>
  <c r="F52" i="370" s="1"/>
  <c r="Z58" i="472"/>
  <c r="F58" i="370" s="1"/>
  <c r="Z63" i="472"/>
  <c r="F63" i="370" s="1"/>
  <c r="Z51" i="472"/>
  <c r="F51" i="370" s="1"/>
  <c r="Z44" i="472"/>
  <c r="F44" i="370" s="1"/>
  <c r="Z41" i="472"/>
  <c r="F41" i="370" s="1"/>
  <c r="Z65" i="472"/>
  <c r="F65" i="370" s="1"/>
  <c r="Z42" i="472"/>
  <c r="F42" i="370" s="1"/>
  <c r="Z53" i="472"/>
  <c r="F53" i="370" s="1"/>
  <c r="Z49" i="472"/>
  <c r="F49" i="370" s="1"/>
  <c r="Z64" i="472"/>
  <c r="F64" i="370" s="1"/>
  <c r="Z59" i="472"/>
  <c r="F59" i="370" s="1"/>
  <c r="Z47" i="472"/>
  <c r="F47" i="370" s="1"/>
  <c r="Z46" i="472"/>
  <c r="F46" i="370" s="1"/>
  <c r="Z37" i="472"/>
  <c r="F37" i="370" s="1"/>
  <c r="Z54" i="472"/>
  <c r="F54" i="370" s="1"/>
  <c r="Z34" i="472"/>
  <c r="F34" i="370" s="1"/>
  <c r="Z36" i="472"/>
  <c r="F36" i="370" s="1"/>
  <c r="Z33" i="472"/>
  <c r="F33" i="370" s="1"/>
  <c r="Z40" i="558"/>
  <c r="K40" i="370" s="1"/>
  <c r="AO40" i="370" s="1"/>
  <c r="Z60" i="558"/>
  <c r="K60" i="370" s="1"/>
  <c r="AO60" i="370" s="1"/>
  <c r="Z64" i="558"/>
  <c r="K64" i="370" s="1"/>
  <c r="AO64" i="370" s="1"/>
  <c r="Z37" i="558"/>
  <c r="K37" i="370" s="1"/>
  <c r="AO37" i="370" s="1"/>
  <c r="Z57" i="558"/>
  <c r="K57" i="370" s="1"/>
  <c r="AO57" i="370" s="1"/>
  <c r="Z46" i="558"/>
  <c r="K46" i="370" s="1"/>
  <c r="AO46" i="370" s="1"/>
  <c r="Z38" i="558"/>
  <c r="K38" i="370" s="1"/>
  <c r="AO38" i="370" s="1"/>
  <c r="Z52" i="558"/>
  <c r="K52" i="370" s="1"/>
  <c r="AO52" i="370" s="1"/>
  <c r="Z42" i="558"/>
  <c r="K42" i="370" s="1"/>
  <c r="AO42" i="370" s="1"/>
  <c r="Z41" i="558"/>
  <c r="K41" i="370" s="1"/>
  <c r="AO41" i="370" s="1"/>
  <c r="Z65" i="558"/>
  <c r="K65" i="370" s="1"/>
  <c r="AO65" i="370" s="1"/>
  <c r="Z49" i="558"/>
  <c r="K49" i="370" s="1"/>
  <c r="AO49" i="370" s="1"/>
  <c r="Z34" i="558"/>
  <c r="K34" i="370" s="1"/>
  <c r="AO34" i="370" s="1"/>
  <c r="Z36" i="558"/>
  <c r="K36" i="370" s="1"/>
  <c r="AO36" i="370" s="1"/>
  <c r="Z58" i="558"/>
  <c r="K58" i="370" s="1"/>
  <c r="AO58" i="370" s="1"/>
  <c r="Z33" i="558"/>
  <c r="K33" i="370" s="1"/>
  <c r="AO33" i="370" s="1"/>
  <c r="Z53" i="558"/>
  <c r="K53" i="370" s="1"/>
  <c r="AO53" i="370" s="1"/>
  <c r="Z54" i="558"/>
  <c r="K54" i="370" s="1"/>
  <c r="AO54" i="370" s="1"/>
  <c r="Z44" i="558"/>
  <c r="K44" i="370" s="1"/>
  <c r="AO44" i="370" s="1"/>
  <c r="Z51" i="558"/>
  <c r="K51" i="370" s="1"/>
  <c r="AO51" i="370" s="1"/>
  <c r="AB40" i="474"/>
  <c r="H40" i="370" s="1"/>
  <c r="AL40" i="370" s="1"/>
  <c r="AB59" i="474"/>
  <c r="H59" i="370" s="1"/>
  <c r="AL59" i="370" s="1"/>
  <c r="AB38" i="474"/>
  <c r="H38" i="370" s="1"/>
  <c r="AL38" i="370" s="1"/>
  <c r="AB62" i="474"/>
  <c r="H62" i="370" s="1"/>
  <c r="AL62" i="370" s="1"/>
  <c r="AB60" i="474"/>
  <c r="H60" i="370" s="1"/>
  <c r="AL60" i="370" s="1"/>
  <c r="AB47" i="474"/>
  <c r="H47" i="370" s="1"/>
  <c r="AL47" i="370" s="1"/>
  <c r="AB35" i="474"/>
  <c r="H35" i="370" s="1"/>
  <c r="AL35" i="370" s="1"/>
  <c r="Z40" i="472"/>
  <c r="F40" i="370" s="1"/>
  <c r="Z60" i="472"/>
  <c r="F60" i="370" s="1"/>
  <c r="Z38" i="472"/>
  <c r="F38" i="370" s="1"/>
  <c r="Z35" i="472"/>
  <c r="F35" i="370" s="1"/>
  <c r="Z32" i="472"/>
  <c r="F32" i="370" s="1"/>
  <c r="AJ32" i="370" s="1"/>
  <c r="Z66" i="472"/>
  <c r="F66" i="370" s="1"/>
  <c r="AB32" i="474"/>
  <c r="H32" i="370" s="1"/>
  <c r="AL32" i="370" s="1"/>
  <c r="AB66" i="474"/>
  <c r="H66" i="370" s="1"/>
  <c r="AL66" i="370" s="1"/>
  <c r="Z32" i="558"/>
  <c r="K32" i="370" s="1"/>
  <c r="AO32" i="370" s="1"/>
  <c r="Z66" i="558"/>
  <c r="K66" i="370" s="1"/>
  <c r="AO66" i="370" s="1"/>
  <c r="Z63" i="558"/>
  <c r="K63" i="370" s="1"/>
  <c r="AO63" i="370" s="1"/>
  <c r="Z62" i="558"/>
  <c r="K62" i="370" s="1"/>
  <c r="AO62" i="370" s="1"/>
  <c r="Z35" i="558"/>
  <c r="K35" i="370" s="1"/>
  <c r="AO35" i="370" s="1"/>
  <c r="Z59" i="558"/>
  <c r="K59" i="370" s="1"/>
  <c r="AO59" i="370" s="1"/>
  <c r="Z47" i="558"/>
  <c r="K47" i="370" s="1"/>
  <c r="AO47" i="370" s="1"/>
  <c r="V31" i="469"/>
  <c r="V131" i="469" s="1"/>
  <c r="K32" i="530"/>
  <c r="V31" i="471"/>
  <c r="V131" i="471" s="1"/>
  <c r="V31" i="473"/>
  <c r="W31" i="473" s="1"/>
  <c r="Y31" i="473" s="1"/>
  <c r="J131" i="370"/>
  <c r="Z131" i="476"/>
  <c r="W32" i="469"/>
  <c r="Y32" i="469" s="1"/>
  <c r="W32" i="473"/>
  <c r="Y32" i="473" s="1"/>
  <c r="Y131" i="558"/>
  <c r="Z31" i="558"/>
  <c r="W131" i="475"/>
  <c r="Y31" i="475"/>
  <c r="Z107" i="475" s="1"/>
  <c r="I107" i="370" s="1"/>
  <c r="AM107" i="370" s="1"/>
  <c r="AA131" i="474"/>
  <c r="AB31" i="474"/>
  <c r="Y131" i="472"/>
  <c r="Z31" i="472"/>
  <c r="U131" i="469"/>
  <c r="W131" i="536"/>
  <c r="L31" i="529"/>
  <c r="B31" i="530"/>
  <c r="I31" i="530"/>
  <c r="J31" i="530"/>
  <c r="C31" i="531"/>
  <c r="B33" i="531"/>
  <c r="D33" i="531"/>
  <c r="D32" i="531"/>
  <c r="B32" i="531"/>
  <c r="Z107" i="473" l="1"/>
  <c r="G107" i="370" s="1"/>
  <c r="AK107" i="370" s="1"/>
  <c r="Z105" i="475"/>
  <c r="I105" i="370" s="1"/>
  <c r="AM105" i="370" s="1"/>
  <c r="Z106" i="475"/>
  <c r="I106" i="370" s="1"/>
  <c r="AM106" i="370" s="1"/>
  <c r="B106" i="370"/>
  <c r="AJ106" i="370"/>
  <c r="AJ105" i="370"/>
  <c r="B105" i="370"/>
  <c r="Z106" i="473"/>
  <c r="G106" i="370" s="1"/>
  <c r="AK106" i="370" s="1"/>
  <c r="Z105" i="473"/>
  <c r="G105" i="370" s="1"/>
  <c r="AK105" i="370" s="1"/>
  <c r="B98" i="370"/>
  <c r="AJ98" i="370"/>
  <c r="B91" i="370"/>
  <c r="AJ91" i="370"/>
  <c r="Z98" i="475"/>
  <c r="I98" i="370" s="1"/>
  <c r="AM98" i="370" s="1"/>
  <c r="Z91" i="475"/>
  <c r="I91" i="370" s="1"/>
  <c r="AM91" i="370" s="1"/>
  <c r="AJ90" i="370"/>
  <c r="Z90" i="475"/>
  <c r="I90" i="370" s="1"/>
  <c r="AM90" i="370" s="1"/>
  <c r="Z97" i="475"/>
  <c r="I97" i="370" s="1"/>
  <c r="AM97" i="370" s="1"/>
  <c r="Z92" i="475"/>
  <c r="I92" i="370" s="1"/>
  <c r="AM92" i="370" s="1"/>
  <c r="Z94" i="475"/>
  <c r="I94" i="370" s="1"/>
  <c r="AM94" i="370" s="1"/>
  <c r="Z95" i="475"/>
  <c r="I95" i="370" s="1"/>
  <c r="AM95" i="370" s="1"/>
  <c r="Z96" i="475"/>
  <c r="I96" i="370" s="1"/>
  <c r="AM96" i="370" s="1"/>
  <c r="Z93" i="475"/>
  <c r="I93" i="370" s="1"/>
  <c r="AM93" i="370" s="1"/>
  <c r="Z91" i="473"/>
  <c r="G91" i="370" s="1"/>
  <c r="AK91" i="370" s="1"/>
  <c r="Z98" i="473"/>
  <c r="G98" i="370" s="1"/>
  <c r="AK98" i="370" s="1"/>
  <c r="Z94" i="473"/>
  <c r="G94" i="370" s="1"/>
  <c r="AK94" i="370" s="1"/>
  <c r="Z96" i="473"/>
  <c r="G96" i="370" s="1"/>
  <c r="AK96" i="370" s="1"/>
  <c r="Z93" i="473"/>
  <c r="G93" i="370" s="1"/>
  <c r="AK93" i="370" s="1"/>
  <c r="Z92" i="473"/>
  <c r="G92" i="370" s="1"/>
  <c r="AK92" i="370" s="1"/>
  <c r="Z97" i="473"/>
  <c r="G97" i="370" s="1"/>
  <c r="AK97" i="370" s="1"/>
  <c r="Z95" i="473"/>
  <c r="G95" i="370" s="1"/>
  <c r="AK95" i="370" s="1"/>
  <c r="B95" i="370"/>
  <c r="AJ95" i="370"/>
  <c r="B97" i="370"/>
  <c r="AJ97" i="370"/>
  <c r="B94" i="370"/>
  <c r="AJ94" i="370"/>
  <c r="AJ93" i="370"/>
  <c r="B93" i="370"/>
  <c r="AJ96" i="370"/>
  <c r="B96" i="370"/>
  <c r="B92" i="370"/>
  <c r="AJ92" i="370"/>
  <c r="Z90" i="473"/>
  <c r="G90" i="370" s="1"/>
  <c r="AK90" i="370" s="1"/>
  <c r="AJ87" i="370"/>
  <c r="Z87" i="475"/>
  <c r="I87" i="370" s="1"/>
  <c r="AM87" i="370" s="1"/>
  <c r="Z89" i="475"/>
  <c r="I89" i="370" s="1"/>
  <c r="AM89" i="370" s="1"/>
  <c r="Z89" i="473"/>
  <c r="G89" i="370" s="1"/>
  <c r="AK89" i="370" s="1"/>
  <c r="AJ89" i="370"/>
  <c r="B89" i="370"/>
  <c r="Z87" i="473"/>
  <c r="G87" i="370" s="1"/>
  <c r="AK87" i="370" s="1"/>
  <c r="Z85" i="473"/>
  <c r="G85" i="370" s="1"/>
  <c r="AK85" i="370" s="1"/>
  <c r="Z86" i="473"/>
  <c r="G86" i="370" s="1"/>
  <c r="AK86" i="370" s="1"/>
  <c r="B86" i="370"/>
  <c r="AJ86" i="370"/>
  <c r="Z85" i="475"/>
  <c r="I85" i="370" s="1"/>
  <c r="AM85" i="370" s="1"/>
  <c r="Z86" i="475"/>
  <c r="I86" i="370" s="1"/>
  <c r="AM86" i="370" s="1"/>
  <c r="B85" i="370"/>
  <c r="AJ85" i="370"/>
  <c r="AJ76" i="370"/>
  <c r="B76" i="370"/>
  <c r="B82" i="370"/>
  <c r="AJ82" i="370"/>
  <c r="B79" i="370"/>
  <c r="AJ79" i="370"/>
  <c r="B81" i="370"/>
  <c r="AJ81" i="370"/>
  <c r="AJ75" i="370"/>
  <c r="B75" i="370"/>
  <c r="AJ83" i="370"/>
  <c r="B83" i="370"/>
  <c r="AJ84" i="370"/>
  <c r="B84" i="370"/>
  <c r="Z84" i="475"/>
  <c r="I84" i="370" s="1"/>
  <c r="AM84" i="370" s="1"/>
  <c r="Z82" i="475"/>
  <c r="I82" i="370" s="1"/>
  <c r="AM82" i="370" s="1"/>
  <c r="Z76" i="475"/>
  <c r="I76" i="370" s="1"/>
  <c r="AM76" i="370" s="1"/>
  <c r="Z81" i="475"/>
  <c r="I81" i="370" s="1"/>
  <c r="AM81" i="370" s="1"/>
  <c r="Z77" i="475"/>
  <c r="I77" i="370" s="1"/>
  <c r="AM77" i="370" s="1"/>
  <c r="Z75" i="475"/>
  <c r="I75" i="370" s="1"/>
  <c r="AM75" i="370" s="1"/>
  <c r="Z79" i="475"/>
  <c r="I79" i="370" s="1"/>
  <c r="AM79" i="370" s="1"/>
  <c r="Z78" i="475"/>
  <c r="I78" i="370" s="1"/>
  <c r="AM78" i="370" s="1"/>
  <c r="Z83" i="475"/>
  <c r="I83" i="370" s="1"/>
  <c r="AM83" i="370" s="1"/>
  <c r="Z78" i="473"/>
  <c r="G78" i="370" s="1"/>
  <c r="AK78" i="370" s="1"/>
  <c r="Z79" i="473"/>
  <c r="G79" i="370" s="1"/>
  <c r="AK79" i="370" s="1"/>
  <c r="Z75" i="473"/>
  <c r="G75" i="370" s="1"/>
  <c r="AK75" i="370" s="1"/>
  <c r="Z77" i="473"/>
  <c r="G77" i="370" s="1"/>
  <c r="AK77" i="370" s="1"/>
  <c r="Z83" i="473"/>
  <c r="G83" i="370" s="1"/>
  <c r="AK83" i="370" s="1"/>
  <c r="Z81" i="473"/>
  <c r="G81" i="370" s="1"/>
  <c r="AK81" i="370" s="1"/>
  <c r="Z82" i="473"/>
  <c r="G82" i="370" s="1"/>
  <c r="AK82" i="370" s="1"/>
  <c r="Z76" i="473"/>
  <c r="G76" i="370" s="1"/>
  <c r="AK76" i="370" s="1"/>
  <c r="Z84" i="473"/>
  <c r="G84" i="370" s="1"/>
  <c r="AK84" i="370" s="1"/>
  <c r="B77" i="370"/>
  <c r="AJ77" i="370"/>
  <c r="B78" i="370"/>
  <c r="AJ78" i="370"/>
  <c r="AJ71" i="370"/>
  <c r="Z73" i="473"/>
  <c r="G73" i="370" s="1"/>
  <c r="AK73" i="370" s="1"/>
  <c r="Z67" i="473"/>
  <c r="G67" i="370" s="1"/>
  <c r="AK67" i="370" s="1"/>
  <c r="Z72" i="473"/>
  <c r="G72" i="370" s="1"/>
  <c r="AK72" i="370" s="1"/>
  <c r="B73" i="370"/>
  <c r="AJ73" i="370"/>
  <c r="B72" i="370"/>
  <c r="AJ72" i="370"/>
  <c r="B67" i="370"/>
  <c r="AJ67" i="370"/>
  <c r="Z73" i="475"/>
  <c r="I73" i="370" s="1"/>
  <c r="AM73" i="370" s="1"/>
  <c r="Z72" i="475"/>
  <c r="I72" i="370" s="1"/>
  <c r="AM72" i="370" s="1"/>
  <c r="Z71" i="475"/>
  <c r="I71" i="370" s="1"/>
  <c r="AM71" i="370" s="1"/>
  <c r="Z67" i="475"/>
  <c r="I67" i="370" s="1"/>
  <c r="AM67" i="370" s="1"/>
  <c r="Z71" i="473"/>
  <c r="G71" i="370" s="1"/>
  <c r="AK71" i="370" s="1"/>
  <c r="AJ56" i="370"/>
  <c r="B70" i="370"/>
  <c r="AJ70" i="370"/>
  <c r="Z69" i="475"/>
  <c r="I69" i="370" s="1"/>
  <c r="AM69" i="370" s="1"/>
  <c r="Z70" i="475"/>
  <c r="I70" i="370" s="1"/>
  <c r="AM70" i="370" s="1"/>
  <c r="Z69" i="473"/>
  <c r="G69" i="370" s="1"/>
  <c r="AK69" i="370" s="1"/>
  <c r="Z70" i="473"/>
  <c r="G70" i="370" s="1"/>
  <c r="AK70" i="370" s="1"/>
  <c r="Z50" i="473"/>
  <c r="G50" i="370" s="1"/>
  <c r="AK50" i="370" s="1"/>
  <c r="Z45" i="473"/>
  <c r="G45" i="370" s="1"/>
  <c r="AK45" i="370" s="1"/>
  <c r="B69" i="370"/>
  <c r="AJ69" i="370"/>
  <c r="B50" i="370"/>
  <c r="AJ50" i="370"/>
  <c r="Z56" i="475"/>
  <c r="I56" i="370" s="1"/>
  <c r="AM56" i="370" s="1"/>
  <c r="Z50" i="475"/>
  <c r="I50" i="370" s="1"/>
  <c r="AM50" i="370" s="1"/>
  <c r="Z45" i="475"/>
  <c r="I45" i="370" s="1"/>
  <c r="AM45" i="370" s="1"/>
  <c r="AJ45" i="370"/>
  <c r="B45" i="370"/>
  <c r="B62" i="370"/>
  <c r="Z56" i="473"/>
  <c r="G56" i="370" s="1"/>
  <c r="AK56" i="370" s="1"/>
  <c r="Z46" i="473"/>
  <c r="G46" i="370" s="1"/>
  <c r="AK46" i="370" s="1"/>
  <c r="Z54" i="473"/>
  <c r="G54" i="370" s="1"/>
  <c r="AK54" i="370" s="1"/>
  <c r="Z49" i="473"/>
  <c r="G49" i="370" s="1"/>
  <c r="AK49" i="370" s="1"/>
  <c r="Z52" i="473"/>
  <c r="G52" i="370" s="1"/>
  <c r="AK52" i="370" s="1"/>
  <c r="Z44" i="473"/>
  <c r="G44" i="370" s="1"/>
  <c r="AK44" i="370" s="1"/>
  <c r="Z53" i="473"/>
  <c r="G53" i="370" s="1"/>
  <c r="AK53" i="370" s="1"/>
  <c r="Z51" i="473"/>
  <c r="G51" i="370" s="1"/>
  <c r="AK51" i="370" s="1"/>
  <c r="Z57" i="473"/>
  <c r="G57" i="370" s="1"/>
  <c r="AK57" i="370" s="1"/>
  <c r="Z58" i="473"/>
  <c r="G58" i="370" s="1"/>
  <c r="AK58" i="370" s="1"/>
  <c r="Z41" i="473"/>
  <c r="G41" i="370" s="1"/>
  <c r="AK41" i="370" s="1"/>
  <c r="Z36" i="473"/>
  <c r="G36" i="370" s="1"/>
  <c r="AK36" i="370" s="1"/>
  <c r="Z34" i="473"/>
  <c r="G34" i="370" s="1"/>
  <c r="AK34" i="370" s="1"/>
  <c r="Z37" i="473"/>
  <c r="G37" i="370" s="1"/>
  <c r="AK37" i="370" s="1"/>
  <c r="Z65" i="473"/>
  <c r="G65" i="370" s="1"/>
  <c r="AK65" i="370" s="1"/>
  <c r="Z64" i="473"/>
  <c r="G64" i="370" s="1"/>
  <c r="AK64" i="370" s="1"/>
  <c r="Z33" i="473"/>
  <c r="G33" i="370" s="1"/>
  <c r="AK33" i="370" s="1"/>
  <c r="AJ54" i="370"/>
  <c r="B54" i="370"/>
  <c r="B59" i="370"/>
  <c r="AJ59" i="370"/>
  <c r="B42" i="370"/>
  <c r="AJ42" i="370"/>
  <c r="AJ51" i="370"/>
  <c r="B51" i="370"/>
  <c r="AJ57" i="370"/>
  <c r="B57" i="370"/>
  <c r="B33" i="370"/>
  <c r="AJ33" i="370"/>
  <c r="B37" i="370"/>
  <c r="AJ37" i="370"/>
  <c r="B64" i="370"/>
  <c r="AJ64" i="370"/>
  <c r="AJ65" i="370"/>
  <c r="B65" i="370"/>
  <c r="AJ63" i="370"/>
  <c r="B63" i="370"/>
  <c r="Z34" i="475"/>
  <c r="I34" i="370" s="1"/>
  <c r="AM34" i="370" s="1"/>
  <c r="Z49" i="475"/>
  <c r="I49" i="370" s="1"/>
  <c r="AM49" i="370" s="1"/>
  <c r="Z65" i="475"/>
  <c r="I65" i="370" s="1"/>
  <c r="AM65" i="370" s="1"/>
  <c r="Z54" i="475"/>
  <c r="I54" i="370" s="1"/>
  <c r="AM54" i="370" s="1"/>
  <c r="Z58" i="475"/>
  <c r="I58" i="370" s="1"/>
  <c r="AM58" i="370" s="1"/>
  <c r="Z64" i="475"/>
  <c r="I64" i="370" s="1"/>
  <c r="AM64" i="370" s="1"/>
  <c r="Z44" i="475"/>
  <c r="I44" i="370" s="1"/>
  <c r="AM44" i="370" s="1"/>
  <c r="Z52" i="475"/>
  <c r="I52" i="370" s="1"/>
  <c r="AM52" i="370" s="1"/>
  <c r="Z36" i="475"/>
  <c r="I36" i="370" s="1"/>
  <c r="AM36" i="370" s="1"/>
  <c r="Z37" i="475"/>
  <c r="I37" i="370" s="1"/>
  <c r="AM37" i="370" s="1"/>
  <c r="Z41" i="475"/>
  <c r="I41" i="370" s="1"/>
  <c r="AM41" i="370" s="1"/>
  <c r="Z57" i="475"/>
  <c r="I57" i="370" s="1"/>
  <c r="AM57" i="370" s="1"/>
  <c r="Z51" i="475"/>
  <c r="I51" i="370" s="1"/>
  <c r="AM51" i="370" s="1"/>
  <c r="Z46" i="475"/>
  <c r="I46" i="370" s="1"/>
  <c r="AM46" i="370" s="1"/>
  <c r="Z53" i="475"/>
  <c r="I53" i="370" s="1"/>
  <c r="AM53" i="370" s="1"/>
  <c r="Z33" i="475"/>
  <c r="I33" i="370" s="1"/>
  <c r="AM33" i="370" s="1"/>
  <c r="W31" i="469"/>
  <c r="W131" i="469" s="1"/>
  <c r="AJ36" i="370"/>
  <c r="B36" i="370"/>
  <c r="AJ46" i="370"/>
  <c r="B46" i="370"/>
  <c r="B49" i="370"/>
  <c r="AJ49" i="370"/>
  <c r="B41" i="370"/>
  <c r="AJ41" i="370"/>
  <c r="AJ58" i="370"/>
  <c r="B58" i="370"/>
  <c r="AJ34" i="370"/>
  <c r="B34" i="370"/>
  <c r="B47" i="370"/>
  <c r="AJ47" i="370"/>
  <c r="AJ53" i="370"/>
  <c r="B53" i="370"/>
  <c r="AJ44" i="370"/>
  <c r="B44" i="370"/>
  <c r="AJ52" i="370"/>
  <c r="B52" i="370"/>
  <c r="Z42" i="473"/>
  <c r="G42" i="370" s="1"/>
  <c r="AK42" i="370" s="1"/>
  <c r="Z62" i="473"/>
  <c r="G62" i="370" s="1"/>
  <c r="AK62" i="370" s="1"/>
  <c r="Z47" i="473"/>
  <c r="G47" i="370" s="1"/>
  <c r="AK47" i="370" s="1"/>
  <c r="Z60" i="473"/>
  <c r="G60" i="370" s="1"/>
  <c r="AK60" i="370" s="1"/>
  <c r="Z59" i="473"/>
  <c r="G59" i="370" s="1"/>
  <c r="AK59" i="370" s="1"/>
  <c r="Z66" i="473"/>
  <c r="G66" i="370" s="1"/>
  <c r="AK66" i="370" s="1"/>
  <c r="Z63" i="473"/>
  <c r="G63" i="370" s="1"/>
  <c r="AK63" i="370" s="1"/>
  <c r="Z40" i="473"/>
  <c r="G40" i="370" s="1"/>
  <c r="AK40" i="370" s="1"/>
  <c r="Z38" i="473"/>
  <c r="G38" i="370" s="1"/>
  <c r="AK38" i="370" s="1"/>
  <c r="Z35" i="473"/>
  <c r="G35" i="370" s="1"/>
  <c r="AK35" i="370" s="1"/>
  <c r="B35" i="370"/>
  <c r="AJ35" i="370"/>
  <c r="AJ38" i="370"/>
  <c r="B38" i="370"/>
  <c r="AJ60" i="370"/>
  <c r="B60" i="370"/>
  <c r="AJ40" i="370"/>
  <c r="B40" i="370"/>
  <c r="B32" i="370"/>
  <c r="AJ66" i="370"/>
  <c r="B66" i="370"/>
  <c r="Z31" i="473"/>
  <c r="G31" i="370" s="1"/>
  <c r="Z60" i="475"/>
  <c r="I60" i="370" s="1"/>
  <c r="AM60" i="370" s="1"/>
  <c r="Z66" i="475"/>
  <c r="I66" i="370" s="1"/>
  <c r="AM66" i="370" s="1"/>
  <c r="Z63" i="475"/>
  <c r="I63" i="370" s="1"/>
  <c r="AM63" i="370" s="1"/>
  <c r="Z47" i="475"/>
  <c r="I47" i="370" s="1"/>
  <c r="AM47" i="370" s="1"/>
  <c r="Z59" i="475"/>
  <c r="I59" i="370" s="1"/>
  <c r="AM59" i="370" s="1"/>
  <c r="Z42" i="475"/>
  <c r="I42" i="370" s="1"/>
  <c r="AM42" i="370" s="1"/>
  <c r="Z62" i="475"/>
  <c r="I62" i="370" s="1"/>
  <c r="AM62" i="370" s="1"/>
  <c r="Z32" i="475"/>
  <c r="I32" i="370" s="1"/>
  <c r="AM32" i="370" s="1"/>
  <c r="Z40" i="475"/>
  <c r="I40" i="370" s="1"/>
  <c r="AM40" i="370" s="1"/>
  <c r="Z38" i="475"/>
  <c r="I38" i="370" s="1"/>
  <c r="AM38" i="370" s="1"/>
  <c r="Z35" i="475"/>
  <c r="I35" i="370" s="1"/>
  <c r="AM35" i="370" s="1"/>
  <c r="Y131" i="473"/>
  <c r="W31" i="471"/>
  <c r="Z32" i="473"/>
  <c r="G32" i="370" s="1"/>
  <c r="AK32" i="370" s="1"/>
  <c r="V131" i="473"/>
  <c r="W131" i="473"/>
  <c r="K31" i="370"/>
  <c r="Z131" i="558"/>
  <c r="Y131" i="475"/>
  <c r="Z31" i="475"/>
  <c r="H31" i="370"/>
  <c r="AB131" i="474"/>
  <c r="F31" i="370"/>
  <c r="Z131" i="472"/>
  <c r="K31" i="530"/>
  <c r="AF31" i="539"/>
  <c r="B31" i="539"/>
  <c r="AE31" i="539"/>
  <c r="B31" i="531"/>
  <c r="D31" i="531"/>
  <c r="D131" i="531" s="1"/>
  <c r="Y31" i="469" l="1"/>
  <c r="Z107" i="469" s="1"/>
  <c r="D107" i="370" s="1"/>
  <c r="AH107" i="370" s="1"/>
  <c r="Z44" i="469"/>
  <c r="D44" i="370" s="1"/>
  <c r="AH44" i="370" s="1"/>
  <c r="Z49" i="469"/>
  <c r="D49" i="370" s="1"/>
  <c r="AH49" i="370" s="1"/>
  <c r="Z64" i="469"/>
  <c r="D64" i="370" s="1"/>
  <c r="AH64" i="370" s="1"/>
  <c r="Z60" i="469"/>
  <c r="D60" i="370" s="1"/>
  <c r="AH60" i="370" s="1"/>
  <c r="Z63" i="469"/>
  <c r="D63" i="370" s="1"/>
  <c r="AH63" i="370" s="1"/>
  <c r="Z59" i="469"/>
  <c r="D59" i="370" s="1"/>
  <c r="AH59" i="370" s="1"/>
  <c r="Z62" i="469"/>
  <c r="D62" i="370" s="1"/>
  <c r="AH62" i="370" s="1"/>
  <c r="Z66" i="469"/>
  <c r="D66" i="370" s="1"/>
  <c r="AH66" i="370" s="1"/>
  <c r="Z35" i="469"/>
  <c r="D35" i="370" s="1"/>
  <c r="AH35" i="370" s="1"/>
  <c r="Z131" i="473"/>
  <c r="W131" i="471"/>
  <c r="Y31" i="471"/>
  <c r="Z107" i="471" s="1"/>
  <c r="E107" i="370" s="1"/>
  <c r="AI107" i="370" s="1"/>
  <c r="AO31" i="370"/>
  <c r="K131" i="370"/>
  <c r="Z131" i="475"/>
  <c r="I31" i="370"/>
  <c r="H131" i="370"/>
  <c r="AL31" i="370"/>
  <c r="AK31" i="370"/>
  <c r="G131" i="370"/>
  <c r="B31" i="370"/>
  <c r="F131" i="370"/>
  <c r="AJ31" i="370"/>
  <c r="AG107" i="370" l="1"/>
  <c r="Z106" i="471"/>
  <c r="E106" i="370" s="1"/>
  <c r="AI106" i="370" s="1"/>
  <c r="Z105" i="471"/>
  <c r="E105" i="370" s="1"/>
  <c r="AI105" i="370" s="1"/>
  <c r="Z36" i="469"/>
  <c r="D36" i="370" s="1"/>
  <c r="AH36" i="370" s="1"/>
  <c r="Z105" i="469"/>
  <c r="D105" i="370" s="1"/>
  <c r="AH105" i="370" s="1"/>
  <c r="Z106" i="469"/>
  <c r="D106" i="370" s="1"/>
  <c r="AH106" i="370" s="1"/>
  <c r="Z42" i="469"/>
  <c r="D42" i="370" s="1"/>
  <c r="AH42" i="370" s="1"/>
  <c r="Z54" i="469"/>
  <c r="D54" i="370" s="1"/>
  <c r="AH54" i="370" s="1"/>
  <c r="Z46" i="469"/>
  <c r="D46" i="370" s="1"/>
  <c r="AH46" i="370" s="1"/>
  <c r="Z38" i="469"/>
  <c r="D38" i="370" s="1"/>
  <c r="AH38" i="370" s="1"/>
  <c r="Z31" i="469"/>
  <c r="D31" i="370" s="1"/>
  <c r="Z40" i="469"/>
  <c r="D40" i="370" s="1"/>
  <c r="AH40" i="370" s="1"/>
  <c r="Z32" i="469"/>
  <c r="D32" i="370" s="1"/>
  <c r="AH32" i="370" s="1"/>
  <c r="Z34" i="469"/>
  <c r="D34" i="370" s="1"/>
  <c r="AH34" i="370" s="1"/>
  <c r="Y131" i="469"/>
  <c r="Z47" i="469"/>
  <c r="D47" i="370" s="1"/>
  <c r="AH47" i="370" s="1"/>
  <c r="Z98" i="471"/>
  <c r="E98" i="370" s="1"/>
  <c r="AI98" i="370" s="1"/>
  <c r="Z91" i="471"/>
  <c r="E91" i="370" s="1"/>
  <c r="AI91" i="370" s="1"/>
  <c r="Z93" i="471"/>
  <c r="E93" i="370" s="1"/>
  <c r="AI93" i="370" s="1"/>
  <c r="Z95" i="471"/>
  <c r="E95" i="370" s="1"/>
  <c r="AI95" i="370" s="1"/>
  <c r="Z94" i="471"/>
  <c r="E94" i="370" s="1"/>
  <c r="AI94" i="370" s="1"/>
  <c r="Z96" i="471"/>
  <c r="E96" i="370" s="1"/>
  <c r="AI96" i="370" s="1"/>
  <c r="Z97" i="471"/>
  <c r="E97" i="370" s="1"/>
  <c r="AI97" i="370" s="1"/>
  <c r="Z90" i="469"/>
  <c r="D90" i="370" s="1"/>
  <c r="AH90" i="370" s="1"/>
  <c r="Z98" i="469"/>
  <c r="D98" i="370" s="1"/>
  <c r="AH98" i="370" s="1"/>
  <c r="Z91" i="469"/>
  <c r="D91" i="370" s="1"/>
  <c r="AH91" i="370" s="1"/>
  <c r="Z94" i="469"/>
  <c r="D94" i="370" s="1"/>
  <c r="AH94" i="370" s="1"/>
  <c r="Z96" i="469"/>
  <c r="D96" i="370" s="1"/>
  <c r="AH96" i="370" s="1"/>
  <c r="Z93" i="469"/>
  <c r="D93" i="370" s="1"/>
  <c r="AH93" i="370" s="1"/>
  <c r="Z95" i="469"/>
  <c r="D95" i="370" s="1"/>
  <c r="AH95" i="370" s="1"/>
  <c r="Z92" i="469"/>
  <c r="D92" i="370" s="1"/>
  <c r="AH92" i="370" s="1"/>
  <c r="Z97" i="469"/>
  <c r="D97" i="370" s="1"/>
  <c r="AH97" i="370" s="1"/>
  <c r="Z90" i="471"/>
  <c r="E90" i="370" s="1"/>
  <c r="AI90" i="370" s="1"/>
  <c r="Z92" i="471"/>
  <c r="E92" i="370" s="1"/>
  <c r="AI92" i="370" s="1"/>
  <c r="Z33" i="469"/>
  <c r="D33" i="370" s="1"/>
  <c r="AH33" i="370" s="1"/>
  <c r="Z37" i="469"/>
  <c r="D37" i="370" s="1"/>
  <c r="AH37" i="370" s="1"/>
  <c r="Z58" i="469"/>
  <c r="D58" i="370" s="1"/>
  <c r="AH58" i="370" s="1"/>
  <c r="Z51" i="469"/>
  <c r="D51" i="370" s="1"/>
  <c r="AH51" i="370" s="1"/>
  <c r="Z52" i="469"/>
  <c r="D52" i="370" s="1"/>
  <c r="AH52" i="370" s="1"/>
  <c r="Z87" i="471"/>
  <c r="E87" i="370" s="1"/>
  <c r="AI87" i="370" s="1"/>
  <c r="Z89" i="471"/>
  <c r="E89" i="370" s="1"/>
  <c r="AI89" i="370" s="1"/>
  <c r="Z87" i="469"/>
  <c r="D87" i="370" s="1"/>
  <c r="AH87" i="370" s="1"/>
  <c r="Z89" i="469"/>
  <c r="D89" i="370" s="1"/>
  <c r="AH89" i="370" s="1"/>
  <c r="Z86" i="471"/>
  <c r="E86" i="370" s="1"/>
  <c r="AI86" i="370" s="1"/>
  <c r="Z85" i="471"/>
  <c r="E85" i="370" s="1"/>
  <c r="AI85" i="370" s="1"/>
  <c r="Z85" i="469"/>
  <c r="D85" i="370" s="1"/>
  <c r="AH85" i="370" s="1"/>
  <c r="Z86" i="469"/>
  <c r="D86" i="370" s="1"/>
  <c r="AH86" i="370" s="1"/>
  <c r="Z84" i="471"/>
  <c r="E84" i="370" s="1"/>
  <c r="AI84" i="370" s="1"/>
  <c r="Z81" i="471"/>
  <c r="E81" i="370" s="1"/>
  <c r="AI81" i="370" s="1"/>
  <c r="Z82" i="471"/>
  <c r="E82" i="370" s="1"/>
  <c r="AI82" i="370" s="1"/>
  <c r="Z79" i="471"/>
  <c r="E79" i="370" s="1"/>
  <c r="AI79" i="370" s="1"/>
  <c r="Z77" i="471"/>
  <c r="E77" i="370" s="1"/>
  <c r="AI77" i="370" s="1"/>
  <c r="Z78" i="471"/>
  <c r="E78" i="370" s="1"/>
  <c r="AI78" i="370" s="1"/>
  <c r="Z76" i="471"/>
  <c r="E76" i="370" s="1"/>
  <c r="AI76" i="370" s="1"/>
  <c r="Z83" i="471"/>
  <c r="E83" i="370" s="1"/>
  <c r="AI83" i="370" s="1"/>
  <c r="Z75" i="471"/>
  <c r="E75" i="370" s="1"/>
  <c r="AI75" i="370" s="1"/>
  <c r="Z81" i="469"/>
  <c r="D81" i="370" s="1"/>
  <c r="AH81" i="370" s="1"/>
  <c r="Z83" i="469"/>
  <c r="D83" i="370" s="1"/>
  <c r="AH83" i="370" s="1"/>
  <c r="Z84" i="469"/>
  <c r="D84" i="370" s="1"/>
  <c r="AH84" i="370" s="1"/>
  <c r="Z82" i="469"/>
  <c r="D82" i="370" s="1"/>
  <c r="AH82" i="370" s="1"/>
  <c r="Z75" i="469"/>
  <c r="D75" i="370" s="1"/>
  <c r="AH75" i="370" s="1"/>
  <c r="Z76" i="469"/>
  <c r="D76" i="370" s="1"/>
  <c r="AH76" i="370" s="1"/>
  <c r="Z77" i="469"/>
  <c r="D77" i="370" s="1"/>
  <c r="AH77" i="370" s="1"/>
  <c r="Z79" i="469"/>
  <c r="D79" i="370" s="1"/>
  <c r="AH79" i="370" s="1"/>
  <c r="Z78" i="469"/>
  <c r="D78" i="370" s="1"/>
  <c r="AH78" i="370" s="1"/>
  <c r="Z73" i="471"/>
  <c r="E73" i="370" s="1"/>
  <c r="AI73" i="370" s="1"/>
  <c r="Z72" i="471"/>
  <c r="E72" i="370" s="1"/>
  <c r="AI72" i="370" s="1"/>
  <c r="Z71" i="469"/>
  <c r="D71" i="370" s="1"/>
  <c r="AH71" i="370" s="1"/>
  <c r="Z72" i="469"/>
  <c r="D72" i="370" s="1"/>
  <c r="AH72" i="370" s="1"/>
  <c r="Z73" i="469"/>
  <c r="D73" i="370" s="1"/>
  <c r="AH73" i="370" s="1"/>
  <c r="Z67" i="469"/>
  <c r="D67" i="370" s="1"/>
  <c r="AH67" i="370" s="1"/>
  <c r="Z71" i="471"/>
  <c r="E71" i="370" s="1"/>
  <c r="AI71" i="370" s="1"/>
  <c r="Z67" i="471"/>
  <c r="E67" i="370" s="1"/>
  <c r="AI67" i="370" s="1"/>
  <c r="Z69" i="471"/>
  <c r="E69" i="370" s="1"/>
  <c r="AI69" i="370" s="1"/>
  <c r="Z70" i="471"/>
  <c r="E70" i="370" s="1"/>
  <c r="AI70" i="370" s="1"/>
  <c r="Z57" i="469"/>
  <c r="D57" i="370" s="1"/>
  <c r="AH57" i="370" s="1"/>
  <c r="Z70" i="469"/>
  <c r="D70" i="370" s="1"/>
  <c r="AH70" i="370" s="1"/>
  <c r="Z69" i="469"/>
  <c r="D69" i="370" s="1"/>
  <c r="AH69" i="370" s="1"/>
  <c r="Z68" i="471"/>
  <c r="E68" i="370" s="1"/>
  <c r="AI68" i="370" s="1"/>
  <c r="AG68" i="370" s="1"/>
  <c r="Z45" i="471"/>
  <c r="E45" i="370" s="1"/>
  <c r="AI45" i="370" s="1"/>
  <c r="Z65" i="469"/>
  <c r="D65" i="370" s="1"/>
  <c r="AH65" i="370" s="1"/>
  <c r="Z41" i="469"/>
  <c r="D41" i="370" s="1"/>
  <c r="AH41" i="370" s="1"/>
  <c r="Z53" i="469"/>
  <c r="D53" i="370" s="1"/>
  <c r="AH53" i="370" s="1"/>
  <c r="Z56" i="469"/>
  <c r="D56" i="370" s="1"/>
  <c r="AH56" i="370" s="1"/>
  <c r="Z50" i="469"/>
  <c r="D50" i="370" s="1"/>
  <c r="AH50" i="370" s="1"/>
  <c r="Z45" i="469"/>
  <c r="D45" i="370" s="1"/>
  <c r="AH45" i="370" s="1"/>
  <c r="AF68" i="370"/>
  <c r="F68" i="527" s="1"/>
  <c r="AE68" i="370"/>
  <c r="D68" i="521" s="1"/>
  <c r="AF68" i="521" s="1"/>
  <c r="AI68" i="521" s="1"/>
  <c r="H68" i="521" s="1"/>
  <c r="AD68" i="370"/>
  <c r="Z56" i="471"/>
  <c r="E56" i="370" s="1"/>
  <c r="AI56" i="370" s="1"/>
  <c r="Z50" i="471"/>
  <c r="E50" i="370" s="1"/>
  <c r="AI50" i="370" s="1"/>
  <c r="Z57" i="471"/>
  <c r="E57" i="370" s="1"/>
  <c r="AI57" i="370" s="1"/>
  <c r="Z58" i="471"/>
  <c r="E58" i="370" s="1"/>
  <c r="AI58" i="370" s="1"/>
  <c r="Z53" i="471"/>
  <c r="E53" i="370" s="1"/>
  <c r="AI53" i="370" s="1"/>
  <c r="Z65" i="471"/>
  <c r="E65" i="370" s="1"/>
  <c r="AI65" i="370" s="1"/>
  <c r="Z64" i="471"/>
  <c r="E64" i="370" s="1"/>
  <c r="AI64" i="370" s="1"/>
  <c r="AG64" i="370" s="1"/>
  <c r="AD64" i="370" s="1"/>
  <c r="Z51" i="471"/>
  <c r="E51" i="370" s="1"/>
  <c r="AI51" i="370" s="1"/>
  <c r="Z49" i="471"/>
  <c r="E49" i="370" s="1"/>
  <c r="AI49" i="370" s="1"/>
  <c r="AG49" i="370" s="1"/>
  <c r="AD49" i="370" s="1"/>
  <c r="Z52" i="471"/>
  <c r="E52" i="370" s="1"/>
  <c r="AI52" i="370" s="1"/>
  <c r="Z54" i="471"/>
  <c r="E54" i="370" s="1"/>
  <c r="AI54" i="370" s="1"/>
  <c r="Z46" i="471"/>
  <c r="E46" i="370" s="1"/>
  <c r="AI46" i="370" s="1"/>
  <c r="Z37" i="471"/>
  <c r="E37" i="370" s="1"/>
  <c r="AI37" i="370" s="1"/>
  <c r="Z33" i="471"/>
  <c r="E33" i="370" s="1"/>
  <c r="AI33" i="370" s="1"/>
  <c r="Z34" i="471"/>
  <c r="E34" i="370" s="1"/>
  <c r="AI34" i="370" s="1"/>
  <c r="Z36" i="471"/>
  <c r="E36" i="370" s="1"/>
  <c r="AI36" i="370" s="1"/>
  <c r="Z60" i="471"/>
  <c r="E60" i="370" s="1"/>
  <c r="AI60" i="370" s="1"/>
  <c r="AG60" i="370" s="1"/>
  <c r="Z59" i="471"/>
  <c r="E59" i="370" s="1"/>
  <c r="AI59" i="370" s="1"/>
  <c r="AG59" i="370" s="1"/>
  <c r="Z66" i="471"/>
  <c r="E66" i="370" s="1"/>
  <c r="AI66" i="370" s="1"/>
  <c r="AG66" i="370" s="1"/>
  <c r="Z38" i="471"/>
  <c r="E38" i="370" s="1"/>
  <c r="AI38" i="370" s="1"/>
  <c r="Z63" i="471"/>
  <c r="E63" i="370" s="1"/>
  <c r="AI63" i="370" s="1"/>
  <c r="AG63" i="370" s="1"/>
  <c r="Z40" i="471"/>
  <c r="E40" i="370" s="1"/>
  <c r="AI40" i="370" s="1"/>
  <c r="Z42" i="471"/>
  <c r="E42" i="370" s="1"/>
  <c r="AI42" i="370" s="1"/>
  <c r="Z35" i="471"/>
  <c r="E35" i="370" s="1"/>
  <c r="AI35" i="370" s="1"/>
  <c r="AG35" i="370" s="1"/>
  <c r="Z47" i="471"/>
  <c r="E47" i="370" s="1"/>
  <c r="AI47" i="370" s="1"/>
  <c r="Z62" i="471"/>
  <c r="E62" i="370" s="1"/>
  <c r="AI62" i="370" s="1"/>
  <c r="AG62" i="370" s="1"/>
  <c r="Z44" i="471"/>
  <c r="E44" i="370" s="1"/>
  <c r="AI44" i="370" s="1"/>
  <c r="AG44" i="370" s="1"/>
  <c r="Z41" i="471"/>
  <c r="E41" i="370" s="1"/>
  <c r="AI41" i="370" s="1"/>
  <c r="Z31" i="471"/>
  <c r="Y131" i="471"/>
  <c r="Z32" i="471"/>
  <c r="E32" i="370" s="1"/>
  <c r="AI32" i="370" s="1"/>
  <c r="I131" i="370"/>
  <c r="AM31" i="370"/>
  <c r="AD107" i="370" l="1"/>
  <c r="AG106" i="370"/>
  <c r="AG36" i="370"/>
  <c r="AD36" i="370" s="1"/>
  <c r="AG105" i="370"/>
  <c r="AG54" i="370"/>
  <c r="AD54" i="370" s="1"/>
  <c r="AG42" i="370"/>
  <c r="AD42" i="370" s="1"/>
  <c r="AG46" i="370"/>
  <c r="AD46" i="370" s="1"/>
  <c r="AG38" i="370"/>
  <c r="AD38" i="370" s="1"/>
  <c r="AG91" i="370"/>
  <c r="AD91" i="370" s="1"/>
  <c r="AG98" i="370"/>
  <c r="AD98" i="370" s="1"/>
  <c r="AG34" i="370"/>
  <c r="AD34" i="370" s="1"/>
  <c r="AG40" i="370"/>
  <c r="AD40" i="370" s="1"/>
  <c r="AG32" i="370"/>
  <c r="AD32" i="370" s="1"/>
  <c r="AG47" i="370"/>
  <c r="AD47" i="370" s="1"/>
  <c r="AG97" i="370"/>
  <c r="AD97" i="370" s="1"/>
  <c r="AG96" i="370"/>
  <c r="AD96" i="370" s="1"/>
  <c r="AG93" i="370"/>
  <c r="AD93" i="370" s="1"/>
  <c r="AG94" i="370"/>
  <c r="AD94" i="370" s="1"/>
  <c r="AG95" i="370"/>
  <c r="AD95" i="370" s="1"/>
  <c r="AG90" i="370"/>
  <c r="AD90" i="370" s="1"/>
  <c r="AG92" i="370"/>
  <c r="AD92" i="370" s="1"/>
  <c r="AG51" i="370"/>
  <c r="AD51" i="370" s="1"/>
  <c r="AG58" i="370"/>
  <c r="AD58" i="370" s="1"/>
  <c r="AG37" i="370"/>
  <c r="AD37" i="370" s="1"/>
  <c r="AG33" i="370"/>
  <c r="AD33" i="370" s="1"/>
  <c r="AG52" i="370"/>
  <c r="AD52" i="370" s="1"/>
  <c r="AG89" i="370"/>
  <c r="AD89" i="370" s="1"/>
  <c r="AG87" i="370"/>
  <c r="AD87" i="370" s="1"/>
  <c r="AG78" i="370"/>
  <c r="AD78" i="370" s="1"/>
  <c r="AG81" i="370"/>
  <c r="AD81" i="370" s="1"/>
  <c r="AG86" i="370"/>
  <c r="AD86" i="370" s="1"/>
  <c r="AG76" i="370"/>
  <c r="AD76" i="370" s="1"/>
  <c r="AG85" i="370"/>
  <c r="AD85" i="370" s="1"/>
  <c r="AG77" i="370"/>
  <c r="AD77" i="370" s="1"/>
  <c r="AG84" i="370"/>
  <c r="AD84" i="370" s="1"/>
  <c r="AG75" i="370"/>
  <c r="AD75" i="370" s="1"/>
  <c r="AG83" i="370"/>
  <c r="AD83" i="370" s="1"/>
  <c r="AG79" i="370"/>
  <c r="AD79" i="370" s="1"/>
  <c r="AG82" i="370"/>
  <c r="AD82" i="370" s="1"/>
  <c r="AG71" i="370"/>
  <c r="AD71" i="370" s="1"/>
  <c r="AG73" i="370"/>
  <c r="AG72" i="370"/>
  <c r="AG67" i="370"/>
  <c r="AG69" i="370"/>
  <c r="AD69" i="370" s="1"/>
  <c r="AG57" i="370"/>
  <c r="AD57" i="370" s="1"/>
  <c r="AG70" i="370"/>
  <c r="AD70" i="370" s="1"/>
  <c r="AG53" i="370"/>
  <c r="AD53" i="370" s="1"/>
  <c r="AG45" i="370"/>
  <c r="AD45" i="370" s="1"/>
  <c r="AG56" i="370"/>
  <c r="AD56" i="370" s="1"/>
  <c r="AG65" i="370"/>
  <c r="AD65" i="370" s="1"/>
  <c r="AG50" i="370"/>
  <c r="AD50" i="370" s="1"/>
  <c r="AG41" i="370"/>
  <c r="AD41" i="370" s="1"/>
  <c r="Z131" i="469"/>
  <c r="AD60" i="370"/>
  <c r="AD35" i="370"/>
  <c r="AD59" i="370"/>
  <c r="AD66" i="370"/>
  <c r="AD63" i="370"/>
  <c r="AD44" i="370"/>
  <c r="AD62" i="370"/>
  <c r="E31" i="370"/>
  <c r="Z131" i="471"/>
  <c r="AH31" i="370"/>
  <c r="D131" i="370"/>
  <c r="AD106" i="370" l="1"/>
  <c r="AD105" i="370"/>
  <c r="AD67" i="370"/>
  <c r="AD73" i="370"/>
  <c r="AD72" i="370"/>
  <c r="AI31" i="370"/>
  <c r="AG31" i="370" s="1"/>
  <c r="AD31" i="370" s="1"/>
  <c r="E131" i="370"/>
  <c r="AD131" i="370" l="1"/>
  <c r="AE49" i="370"/>
  <c r="D49" i="521" s="1"/>
  <c r="AF49" i="521" s="1"/>
  <c r="AI49" i="521" s="1"/>
  <c r="H49" i="521" s="1"/>
  <c r="AE44" i="370"/>
  <c r="AE60" i="370"/>
  <c r="AE59" i="370"/>
  <c r="AE35" i="370"/>
  <c r="AE106" i="370" l="1"/>
  <c r="D106" i="521" s="1"/>
  <c r="AF106" i="521" s="1"/>
  <c r="AI106" i="521" s="1"/>
  <c r="H106" i="521" s="1"/>
  <c r="AE107" i="370"/>
  <c r="AE98" i="370"/>
  <c r="D98" i="521" s="1"/>
  <c r="AF98" i="521" s="1"/>
  <c r="AI98" i="521" s="1"/>
  <c r="H98" i="521" s="1"/>
  <c r="AE105" i="370"/>
  <c r="AE102" i="370"/>
  <c r="D102" i="521" s="1"/>
  <c r="AF102" i="521" s="1"/>
  <c r="AI102" i="521" s="1"/>
  <c r="H102" i="521" s="1"/>
  <c r="AE103" i="370"/>
  <c r="AF102" i="370"/>
  <c r="F102" i="527" s="1"/>
  <c r="AE100" i="370"/>
  <c r="D100" i="521" s="1"/>
  <c r="AF100" i="521" s="1"/>
  <c r="AI100" i="521" s="1"/>
  <c r="H100" i="521" s="1"/>
  <c r="AE101" i="370"/>
  <c r="AE97" i="370"/>
  <c r="D97" i="521" s="1"/>
  <c r="AF97" i="521" s="1"/>
  <c r="AI97" i="521" s="1"/>
  <c r="H97" i="521" s="1"/>
  <c r="AE99" i="370"/>
  <c r="AE95" i="370"/>
  <c r="D95" i="521" s="1"/>
  <c r="AF95" i="521" s="1"/>
  <c r="AI95" i="521" s="1"/>
  <c r="H95" i="521" s="1"/>
  <c r="AE96" i="370"/>
  <c r="AE93" i="370"/>
  <c r="D93" i="521" s="1"/>
  <c r="AF93" i="521" s="1"/>
  <c r="AI93" i="521" s="1"/>
  <c r="H93" i="521" s="1"/>
  <c r="AE94" i="370"/>
  <c r="AE91" i="370"/>
  <c r="D91" i="521" s="1"/>
  <c r="AF91" i="521" s="1"/>
  <c r="AI91" i="521" s="1"/>
  <c r="H91" i="521" s="1"/>
  <c r="AE92" i="370"/>
  <c r="AE89" i="370"/>
  <c r="D89" i="521" s="1"/>
  <c r="AF89" i="521" s="1"/>
  <c r="AI89" i="521" s="1"/>
  <c r="H89" i="521" s="1"/>
  <c r="AE90" i="370"/>
  <c r="AE87" i="370"/>
  <c r="D87" i="521" s="1"/>
  <c r="AF87" i="521" s="1"/>
  <c r="AI87" i="521" s="1"/>
  <c r="H87" i="521" s="1"/>
  <c r="AE88" i="370"/>
  <c r="AE85" i="370"/>
  <c r="D85" i="521" s="1"/>
  <c r="AF85" i="521" s="1"/>
  <c r="AI85" i="521" s="1"/>
  <c r="H85" i="521" s="1"/>
  <c r="AE86" i="370"/>
  <c r="AE83" i="370"/>
  <c r="D83" i="521" s="1"/>
  <c r="AF83" i="521" s="1"/>
  <c r="AI83" i="521" s="1"/>
  <c r="H83" i="521" s="1"/>
  <c r="AE84" i="370"/>
  <c r="AE81" i="370"/>
  <c r="D81" i="521" s="1"/>
  <c r="AF81" i="521" s="1"/>
  <c r="AI81" i="521" s="1"/>
  <c r="H81" i="521" s="1"/>
  <c r="AE82" i="370"/>
  <c r="AE78" i="370"/>
  <c r="D78" i="521" s="1"/>
  <c r="AF78" i="521" s="1"/>
  <c r="AI78" i="521" s="1"/>
  <c r="H78" i="521" s="1"/>
  <c r="AE79" i="370"/>
  <c r="AE76" i="370"/>
  <c r="D76" i="521" s="1"/>
  <c r="AF76" i="521" s="1"/>
  <c r="AI76" i="521" s="1"/>
  <c r="H76" i="521" s="1"/>
  <c r="AE77" i="370"/>
  <c r="AE73" i="370"/>
  <c r="D73" i="521" s="1"/>
  <c r="AF73" i="521" s="1"/>
  <c r="AI73" i="521" s="1"/>
  <c r="H73" i="521" s="1"/>
  <c r="AE75" i="370"/>
  <c r="AE47" i="370"/>
  <c r="D47" i="521" s="1"/>
  <c r="AF47" i="521" s="1"/>
  <c r="AI47" i="521" s="1"/>
  <c r="H47" i="521" s="1"/>
  <c r="AE65" i="370"/>
  <c r="D65" i="521" s="1"/>
  <c r="AF65" i="521" s="1"/>
  <c r="AI65" i="521" s="1"/>
  <c r="H65" i="521" s="1"/>
  <c r="AE42" i="370"/>
  <c r="D42" i="521" s="1"/>
  <c r="AF42" i="521" s="1"/>
  <c r="AI42" i="521" s="1"/>
  <c r="H42" i="521" s="1"/>
  <c r="AE52" i="370"/>
  <c r="AF52" i="370" s="1"/>
  <c r="F52" i="527" s="1"/>
  <c r="AE63" i="370"/>
  <c r="D63" i="521" s="1"/>
  <c r="AF63" i="521" s="1"/>
  <c r="AI63" i="521" s="1"/>
  <c r="H63" i="521" s="1"/>
  <c r="AE57" i="370"/>
  <c r="AF57" i="370" s="1"/>
  <c r="F57" i="527" s="1"/>
  <c r="AE38" i="370"/>
  <c r="D38" i="521" s="1"/>
  <c r="AF38" i="521" s="1"/>
  <c r="AI38" i="521" s="1"/>
  <c r="H38" i="521" s="1"/>
  <c r="AE62" i="370"/>
  <c r="D62" i="521" s="1"/>
  <c r="AF62" i="521" s="1"/>
  <c r="AI62" i="521" s="1"/>
  <c r="H62" i="521" s="1"/>
  <c r="AE32" i="370"/>
  <c r="AF32" i="370" s="1"/>
  <c r="F32" i="527" s="1"/>
  <c r="AE41" i="370"/>
  <c r="D41" i="521" s="1"/>
  <c r="AF41" i="521" s="1"/>
  <c r="AI41" i="521" s="1"/>
  <c r="H41" i="521" s="1"/>
  <c r="AE64" i="370"/>
  <c r="AF64" i="370" s="1"/>
  <c r="F64" i="527" s="1"/>
  <c r="AE54" i="370"/>
  <c r="D54" i="521" s="1"/>
  <c r="AF54" i="521" s="1"/>
  <c r="AI54" i="521" s="1"/>
  <c r="H54" i="521" s="1"/>
  <c r="AE40" i="370"/>
  <c r="D40" i="521" s="1"/>
  <c r="AF40" i="521" s="1"/>
  <c r="AI40" i="521" s="1"/>
  <c r="H40" i="521" s="1"/>
  <c r="AE53" i="370"/>
  <c r="AF53" i="370" s="1"/>
  <c r="F53" i="527" s="1"/>
  <c r="AE66" i="370"/>
  <c r="AF66" i="370" s="1"/>
  <c r="F66" i="527" s="1"/>
  <c r="AE31" i="370"/>
  <c r="D31" i="521" s="1"/>
  <c r="AF31" i="521" s="1"/>
  <c r="AI31" i="521" s="1"/>
  <c r="AE36" i="370"/>
  <c r="D36" i="521" s="1"/>
  <c r="AF36" i="521" s="1"/>
  <c r="AI36" i="521" s="1"/>
  <c r="H36" i="521" s="1"/>
  <c r="AE46" i="370"/>
  <c r="D46" i="521" s="1"/>
  <c r="AF46" i="521" s="1"/>
  <c r="AI46" i="521" s="1"/>
  <c r="H46" i="521" s="1"/>
  <c r="AE51" i="370"/>
  <c r="D51" i="521" s="1"/>
  <c r="AF51" i="521" s="1"/>
  <c r="AI51" i="521" s="1"/>
  <c r="H51" i="521" s="1"/>
  <c r="AE33" i="370"/>
  <c r="D33" i="521" s="1"/>
  <c r="AF33" i="521" s="1"/>
  <c r="AI33" i="521" s="1"/>
  <c r="H33" i="521" s="1"/>
  <c r="AE37" i="370"/>
  <c r="AF37" i="370" s="1"/>
  <c r="F37" i="527" s="1"/>
  <c r="AE34" i="370"/>
  <c r="D34" i="521" s="1"/>
  <c r="AF34" i="521" s="1"/>
  <c r="AI34" i="521" s="1"/>
  <c r="H34" i="521" s="1"/>
  <c r="AE50" i="370"/>
  <c r="AF50" i="370" s="1"/>
  <c r="F50" i="527" s="1"/>
  <c r="AE69" i="370"/>
  <c r="D69" i="521" s="1"/>
  <c r="AF69" i="521" s="1"/>
  <c r="AI69" i="521" s="1"/>
  <c r="H69" i="521" s="1"/>
  <c r="AE45" i="370"/>
  <c r="D45" i="521" s="1"/>
  <c r="AF45" i="521" s="1"/>
  <c r="AI45" i="521" s="1"/>
  <c r="H45" i="521" s="1"/>
  <c r="AE71" i="370"/>
  <c r="AF71" i="370" s="1"/>
  <c r="F71" i="527" s="1"/>
  <c r="AE58" i="370"/>
  <c r="D58" i="521" s="1"/>
  <c r="AF58" i="521" s="1"/>
  <c r="AI58" i="521" s="1"/>
  <c r="H58" i="521" s="1"/>
  <c r="AE56" i="370"/>
  <c r="AF56" i="370" s="1"/>
  <c r="F56" i="527" s="1"/>
  <c r="AE70" i="370"/>
  <c r="D70" i="521" s="1"/>
  <c r="AF70" i="521" s="1"/>
  <c r="AI70" i="521" s="1"/>
  <c r="H70" i="521" s="1"/>
  <c r="AE67" i="370"/>
  <c r="D67" i="521" s="1"/>
  <c r="AF67" i="521" s="1"/>
  <c r="AI67" i="521" s="1"/>
  <c r="H67" i="521" s="1"/>
  <c r="AE72" i="370"/>
  <c r="D72" i="521" s="1"/>
  <c r="AF72" i="521" s="1"/>
  <c r="AI72" i="521" s="1"/>
  <c r="H72" i="521" s="1"/>
  <c r="AF49" i="370"/>
  <c r="F49" i="527" s="1"/>
  <c r="D44" i="521"/>
  <c r="AF44" i="521" s="1"/>
  <c r="AI44" i="521" s="1"/>
  <c r="H44" i="521" s="1"/>
  <c r="AF44" i="370"/>
  <c r="F44" i="527" s="1"/>
  <c r="D60" i="521"/>
  <c r="AF60" i="521" s="1"/>
  <c r="AI60" i="521" s="1"/>
  <c r="H60" i="521" s="1"/>
  <c r="AF60" i="370"/>
  <c r="F60" i="527" s="1"/>
  <c r="D59" i="521"/>
  <c r="AF59" i="521" s="1"/>
  <c r="AI59" i="521" s="1"/>
  <c r="H59" i="521" s="1"/>
  <c r="AF59" i="370"/>
  <c r="F59" i="527" s="1"/>
  <c r="D35" i="521"/>
  <c r="AF35" i="521" s="1"/>
  <c r="AI35" i="521" s="1"/>
  <c r="H35" i="521" s="1"/>
  <c r="AF35" i="370"/>
  <c r="F35" i="527" s="1"/>
  <c r="AF106" i="370" l="1"/>
  <c r="F106" i="527" s="1"/>
  <c r="D107" i="521"/>
  <c r="AF107" i="521" s="1"/>
  <c r="AI107" i="521" s="1"/>
  <c r="H107" i="521" s="1"/>
  <c r="AF107" i="370"/>
  <c r="F107" i="527" s="1"/>
  <c r="AF98" i="370"/>
  <c r="F98" i="527" s="1"/>
  <c r="D105" i="521"/>
  <c r="AF105" i="521" s="1"/>
  <c r="AI105" i="521" s="1"/>
  <c r="H105" i="521" s="1"/>
  <c r="AF105" i="370"/>
  <c r="F105" i="527" s="1"/>
  <c r="AF91" i="370"/>
  <c r="F91" i="527" s="1"/>
  <c r="D103" i="521"/>
  <c r="AF103" i="521" s="1"/>
  <c r="AI103" i="521" s="1"/>
  <c r="H103" i="521" s="1"/>
  <c r="AF103" i="370"/>
  <c r="F103" i="527" s="1"/>
  <c r="AF100" i="370"/>
  <c r="F100" i="527" s="1"/>
  <c r="D101" i="521"/>
  <c r="AF101" i="521" s="1"/>
  <c r="AI101" i="521" s="1"/>
  <c r="H101" i="521" s="1"/>
  <c r="AF101" i="370"/>
  <c r="F101" i="527" s="1"/>
  <c r="AF97" i="370"/>
  <c r="F97" i="527" s="1"/>
  <c r="D99" i="521"/>
  <c r="AF99" i="521" s="1"/>
  <c r="AI99" i="521" s="1"/>
  <c r="H99" i="521" s="1"/>
  <c r="AF99" i="370"/>
  <c r="F99" i="527" s="1"/>
  <c r="AF95" i="370"/>
  <c r="F95" i="527" s="1"/>
  <c r="D96" i="521"/>
  <c r="AF96" i="521" s="1"/>
  <c r="AI96" i="521" s="1"/>
  <c r="H96" i="521" s="1"/>
  <c r="AF96" i="370"/>
  <c r="F96" i="527" s="1"/>
  <c r="AF93" i="370"/>
  <c r="F93" i="527" s="1"/>
  <c r="D94" i="521"/>
  <c r="AF94" i="521" s="1"/>
  <c r="AI94" i="521" s="1"/>
  <c r="H94" i="521" s="1"/>
  <c r="AF94" i="370"/>
  <c r="F94" i="527" s="1"/>
  <c r="D92" i="521"/>
  <c r="AF92" i="521" s="1"/>
  <c r="AI92" i="521" s="1"/>
  <c r="H92" i="521" s="1"/>
  <c r="AF92" i="370"/>
  <c r="F92" i="527" s="1"/>
  <c r="AF89" i="370"/>
  <c r="F89" i="527" s="1"/>
  <c r="D90" i="521"/>
  <c r="AF90" i="521" s="1"/>
  <c r="AI90" i="521" s="1"/>
  <c r="H90" i="521" s="1"/>
  <c r="AF90" i="370"/>
  <c r="F90" i="527" s="1"/>
  <c r="AF87" i="370"/>
  <c r="F87" i="527" s="1"/>
  <c r="D88" i="521"/>
  <c r="AF88" i="521" s="1"/>
  <c r="AI88" i="521" s="1"/>
  <c r="H88" i="521" s="1"/>
  <c r="AF88" i="370"/>
  <c r="F88" i="527" s="1"/>
  <c r="AF85" i="370"/>
  <c r="F85" i="527" s="1"/>
  <c r="D86" i="521"/>
  <c r="AF86" i="521" s="1"/>
  <c r="AI86" i="521" s="1"/>
  <c r="H86" i="521" s="1"/>
  <c r="AF86" i="370"/>
  <c r="F86" i="527" s="1"/>
  <c r="AF83" i="370"/>
  <c r="F83" i="527" s="1"/>
  <c r="D84" i="521"/>
  <c r="AF84" i="521" s="1"/>
  <c r="AI84" i="521" s="1"/>
  <c r="H84" i="521" s="1"/>
  <c r="AF84" i="370"/>
  <c r="F84" i="527" s="1"/>
  <c r="AF81" i="370"/>
  <c r="F81" i="527" s="1"/>
  <c r="D82" i="521"/>
  <c r="AF82" i="521" s="1"/>
  <c r="AI82" i="521" s="1"/>
  <c r="H82" i="521" s="1"/>
  <c r="AF82" i="370"/>
  <c r="F82" i="527" s="1"/>
  <c r="AF78" i="370"/>
  <c r="F78" i="527" s="1"/>
  <c r="D79" i="521"/>
  <c r="AF79" i="521" s="1"/>
  <c r="AI79" i="521" s="1"/>
  <c r="H79" i="521" s="1"/>
  <c r="AF79" i="370"/>
  <c r="F79" i="527" s="1"/>
  <c r="AF76" i="370"/>
  <c r="F76" i="527" s="1"/>
  <c r="D77" i="521"/>
  <c r="AF77" i="521" s="1"/>
  <c r="AI77" i="521" s="1"/>
  <c r="H77" i="521" s="1"/>
  <c r="AF77" i="370"/>
  <c r="F77" i="527" s="1"/>
  <c r="AF73" i="370"/>
  <c r="F73" i="527" s="1"/>
  <c r="D75" i="521"/>
  <c r="AF75" i="521" s="1"/>
  <c r="AI75" i="521" s="1"/>
  <c r="H75" i="521" s="1"/>
  <c r="AF75" i="370"/>
  <c r="F75" i="527" s="1"/>
  <c r="D57" i="521"/>
  <c r="AF57" i="521" s="1"/>
  <c r="AI57" i="521" s="1"/>
  <c r="H57" i="521" s="1"/>
  <c r="D52" i="521"/>
  <c r="AF52" i="521" s="1"/>
  <c r="AI52" i="521" s="1"/>
  <c r="H52" i="521" s="1"/>
  <c r="AF63" i="370"/>
  <c r="F63" i="527" s="1"/>
  <c r="AF65" i="370"/>
  <c r="F65" i="527" s="1"/>
  <c r="AF47" i="370"/>
  <c r="F47" i="527" s="1"/>
  <c r="AF42" i="370"/>
  <c r="F42" i="527" s="1"/>
  <c r="D66" i="521"/>
  <c r="AF66" i="521" s="1"/>
  <c r="AI66" i="521" s="1"/>
  <c r="H66" i="521" s="1"/>
  <c r="AF38" i="370"/>
  <c r="F38" i="527" s="1"/>
  <c r="AF51" i="370"/>
  <c r="F51" i="527" s="1"/>
  <c r="AF40" i="370"/>
  <c r="F40" i="527" s="1"/>
  <c r="AF62" i="370"/>
  <c r="F62" i="527" s="1"/>
  <c r="AF45" i="370"/>
  <c r="F45" i="527" s="1"/>
  <c r="D32" i="521"/>
  <c r="AF32" i="521" s="1"/>
  <c r="AI32" i="521" s="1"/>
  <c r="H32" i="521" s="1"/>
  <c r="AF31" i="370"/>
  <c r="F31" i="527" s="1"/>
  <c r="AF54" i="370"/>
  <c r="F54" i="527" s="1"/>
  <c r="D64" i="521"/>
  <c r="AF64" i="521" s="1"/>
  <c r="AI64" i="521" s="1"/>
  <c r="H64" i="521" s="1"/>
  <c r="AF41" i="370"/>
  <c r="F41" i="527" s="1"/>
  <c r="D53" i="521"/>
  <c r="AF53" i="521" s="1"/>
  <c r="AI53" i="521" s="1"/>
  <c r="H53" i="521" s="1"/>
  <c r="AF36" i="370"/>
  <c r="F36" i="527" s="1"/>
  <c r="AF33" i="370"/>
  <c r="F33" i="527" s="1"/>
  <c r="D37" i="521"/>
  <c r="AF37" i="521" s="1"/>
  <c r="AI37" i="521" s="1"/>
  <c r="H37" i="521" s="1"/>
  <c r="AF58" i="370"/>
  <c r="F58" i="527" s="1"/>
  <c r="AF46" i="370"/>
  <c r="F46" i="527" s="1"/>
  <c r="AF34" i="370"/>
  <c r="F34" i="527" s="1"/>
  <c r="D56" i="521"/>
  <c r="AF56" i="521" s="1"/>
  <c r="AI56" i="521" s="1"/>
  <c r="H56" i="521" s="1"/>
  <c r="AF69" i="370"/>
  <c r="F69" i="527" s="1"/>
  <c r="D50" i="521"/>
  <c r="AF50" i="521" s="1"/>
  <c r="AI50" i="521" s="1"/>
  <c r="H50" i="521" s="1"/>
  <c r="AE131" i="370"/>
  <c r="D71" i="521"/>
  <c r="AF71" i="521" s="1"/>
  <c r="AI71" i="521" s="1"/>
  <c r="H71" i="521" s="1"/>
  <c r="AF67" i="370"/>
  <c r="F67" i="527" s="1"/>
  <c r="AF70" i="370"/>
  <c r="F70" i="527" s="1"/>
  <c r="AF72" i="370"/>
  <c r="F72" i="527" s="1"/>
  <c r="H31" i="521"/>
  <c r="D131" i="521" l="1"/>
  <c r="AI28" i="521"/>
  <c r="H131" i="521"/>
  <c r="F131" i="527"/>
  <c r="AF131" i="370"/>
  <c r="Z68" i="521"/>
  <c r="Y68" i="521"/>
  <c r="D68" i="522" s="1"/>
  <c r="H68" i="522" s="1"/>
  <c r="Y49" i="521"/>
  <c r="D49" i="522" s="1"/>
  <c r="H49" i="522" s="1"/>
  <c r="Y59" i="521"/>
  <c r="D59" i="522" s="1"/>
  <c r="H59" i="522" s="1"/>
  <c r="Y60" i="521"/>
  <c r="D60" i="522" s="1"/>
  <c r="H60" i="522" s="1"/>
  <c r="Y35" i="521"/>
  <c r="D35" i="522" s="1"/>
  <c r="H35" i="522" s="1"/>
  <c r="Y44" i="521"/>
  <c r="D44" i="522" s="1"/>
  <c r="H44" i="522" s="1"/>
  <c r="Y107" i="521" l="1"/>
  <c r="D107" i="522" s="1"/>
  <c r="H107" i="522" s="1"/>
  <c r="Y106" i="521"/>
  <c r="D106" i="522" s="1"/>
  <c r="H106" i="522" s="1"/>
  <c r="Y105" i="521"/>
  <c r="D105" i="522" s="1"/>
  <c r="H105" i="522" s="1"/>
  <c r="Y98" i="521"/>
  <c r="D98" i="522" s="1"/>
  <c r="H98" i="522" s="1"/>
  <c r="Z103" i="521"/>
  <c r="Y103" i="521"/>
  <c r="D103" i="522" s="1"/>
  <c r="H103" i="522" s="1"/>
  <c r="Y102" i="521"/>
  <c r="D102" i="522" s="1"/>
  <c r="H102" i="522" s="1"/>
  <c r="Z102" i="521"/>
  <c r="Z101" i="521"/>
  <c r="Y101" i="521"/>
  <c r="D101" i="522" s="1"/>
  <c r="H101" i="522" s="1"/>
  <c r="Z100" i="521"/>
  <c r="Y100" i="521"/>
  <c r="D100" i="522" s="1"/>
  <c r="H100" i="522" s="1"/>
  <c r="Z99" i="521"/>
  <c r="Y99" i="521"/>
  <c r="D99" i="522" s="1"/>
  <c r="H99" i="522" s="1"/>
  <c r="Y97" i="521"/>
  <c r="D97" i="522" s="1"/>
  <c r="H97" i="522" s="1"/>
  <c r="Y96" i="521"/>
  <c r="D96" i="522" s="1"/>
  <c r="H96" i="522" s="1"/>
  <c r="Y95" i="521"/>
  <c r="D95" i="522" s="1"/>
  <c r="H95" i="522" s="1"/>
  <c r="Y94" i="521"/>
  <c r="D94" i="522" s="1"/>
  <c r="H94" i="522" s="1"/>
  <c r="Y93" i="521"/>
  <c r="D93" i="522" s="1"/>
  <c r="H93" i="522" s="1"/>
  <c r="Y92" i="521"/>
  <c r="D92" i="522" s="1"/>
  <c r="H92" i="522" s="1"/>
  <c r="Y91" i="521"/>
  <c r="D91" i="522" s="1"/>
  <c r="H91" i="522" s="1"/>
  <c r="Y90" i="521"/>
  <c r="D90" i="522" s="1"/>
  <c r="H90" i="522" s="1"/>
  <c r="Y89" i="521"/>
  <c r="D89" i="522" s="1"/>
  <c r="H89" i="522" s="1"/>
  <c r="Y88" i="521"/>
  <c r="D88" i="522" s="1"/>
  <c r="H88" i="522" s="1"/>
  <c r="Y87" i="521"/>
  <c r="D87" i="522" s="1"/>
  <c r="H87" i="522" s="1"/>
  <c r="Y86" i="521"/>
  <c r="D86" i="522" s="1"/>
  <c r="H86" i="522" s="1"/>
  <c r="Y85" i="521"/>
  <c r="D85" i="522" s="1"/>
  <c r="H85" i="522" s="1"/>
  <c r="Y84" i="521"/>
  <c r="D84" i="522" s="1"/>
  <c r="H84" i="522" s="1"/>
  <c r="Y83" i="521"/>
  <c r="D83" i="522" s="1"/>
  <c r="H83" i="522" s="1"/>
  <c r="Y82" i="521"/>
  <c r="D82" i="522" s="1"/>
  <c r="H82" i="522" s="1"/>
  <c r="Y81" i="521"/>
  <c r="D81" i="522" s="1"/>
  <c r="H81" i="522" s="1"/>
  <c r="Y79" i="521"/>
  <c r="D79" i="522" s="1"/>
  <c r="H79" i="522" s="1"/>
  <c r="Y78" i="521"/>
  <c r="D78" i="522" s="1"/>
  <c r="H78" i="522" s="1"/>
  <c r="Y77" i="521"/>
  <c r="D77" i="522" s="1"/>
  <c r="H77" i="522" s="1"/>
  <c r="Y76" i="521"/>
  <c r="D76" i="522" s="1"/>
  <c r="H76" i="522" s="1"/>
  <c r="Y75" i="521"/>
  <c r="D75" i="522" s="1"/>
  <c r="H75" i="522" s="1"/>
  <c r="Y73" i="521"/>
  <c r="D73" i="522" s="1"/>
  <c r="H73" i="522" s="1"/>
  <c r="I73" i="522" s="1"/>
  <c r="J73" i="522" s="1"/>
  <c r="Y32" i="521"/>
  <c r="D32" i="522" s="1"/>
  <c r="H32" i="522" s="1"/>
  <c r="I32" i="522" s="1"/>
  <c r="J32" i="522" s="1"/>
  <c r="Y46" i="521"/>
  <c r="D46" i="522" s="1"/>
  <c r="H46" i="522" s="1"/>
  <c r="I46" i="522" s="1"/>
  <c r="J46" i="522" s="1"/>
  <c r="Y50" i="521"/>
  <c r="D50" i="522" s="1"/>
  <c r="H50" i="522" s="1"/>
  <c r="I50" i="522" s="1"/>
  <c r="J50" i="522" s="1"/>
  <c r="Y67" i="521"/>
  <c r="D67" i="522" s="1"/>
  <c r="H67" i="522" s="1"/>
  <c r="I67" i="522" s="1"/>
  <c r="J67" i="522" s="1"/>
  <c r="Y41" i="521"/>
  <c r="D41" i="522" s="1"/>
  <c r="H41" i="522" s="1"/>
  <c r="I41" i="522" s="1"/>
  <c r="J41" i="522" s="1"/>
  <c r="Y40" i="521"/>
  <c r="D40" i="522" s="1"/>
  <c r="H40" i="522" s="1"/>
  <c r="I40" i="522" s="1"/>
  <c r="J40" i="522" s="1"/>
  <c r="Y66" i="521"/>
  <c r="D66" i="522" s="1"/>
  <c r="H66" i="522" s="1"/>
  <c r="I66" i="522" s="1"/>
  <c r="J66" i="522" s="1"/>
  <c r="Y36" i="521"/>
  <c r="D36" i="522" s="1"/>
  <c r="H36" i="522" s="1"/>
  <c r="I36" i="522" s="1"/>
  <c r="J36" i="522" s="1"/>
  <c r="Y64" i="521"/>
  <c r="D64" i="522" s="1"/>
  <c r="H64" i="522" s="1"/>
  <c r="I64" i="522" s="1"/>
  <c r="J64" i="522" s="1"/>
  <c r="Y34" i="521"/>
  <c r="D34" i="522" s="1"/>
  <c r="H34" i="522" s="1"/>
  <c r="I34" i="522" s="1"/>
  <c r="J34" i="522" s="1"/>
  <c r="Y71" i="521"/>
  <c r="D71" i="522" s="1"/>
  <c r="H71" i="522" s="1"/>
  <c r="I71" i="522" s="1"/>
  <c r="J71" i="522" s="1"/>
  <c r="Y72" i="521"/>
  <c r="D72" i="522" s="1"/>
  <c r="H72" i="522" s="1"/>
  <c r="I72" i="522" s="1"/>
  <c r="J72" i="522" s="1"/>
  <c r="Y63" i="521"/>
  <c r="D63" i="522" s="1"/>
  <c r="H63" i="522" s="1"/>
  <c r="I63" i="522" s="1"/>
  <c r="J63" i="522" s="1"/>
  <c r="Y54" i="521"/>
  <c r="D54" i="522" s="1"/>
  <c r="H54" i="522" s="1"/>
  <c r="I54" i="522" s="1"/>
  <c r="J54" i="522" s="1"/>
  <c r="Y51" i="521"/>
  <c r="D51" i="522" s="1"/>
  <c r="H51" i="522" s="1"/>
  <c r="I51" i="522" s="1"/>
  <c r="J51" i="522" s="1"/>
  <c r="Y69" i="521"/>
  <c r="D69" i="522" s="1"/>
  <c r="H69" i="522" s="1"/>
  <c r="I69" i="522" s="1"/>
  <c r="J69" i="522" s="1"/>
  <c r="Y58" i="521"/>
  <c r="D58" i="522" s="1"/>
  <c r="H58" i="522" s="1"/>
  <c r="I58" i="522" s="1"/>
  <c r="J58" i="522" s="1"/>
  <c r="Y45" i="521"/>
  <c r="D45" i="522" s="1"/>
  <c r="H45" i="522" s="1"/>
  <c r="I45" i="522" s="1"/>
  <c r="J45" i="522" s="1"/>
  <c r="Y70" i="521"/>
  <c r="D70" i="522" s="1"/>
  <c r="H70" i="522" s="1"/>
  <c r="I70" i="522" s="1"/>
  <c r="J70" i="522" s="1"/>
  <c r="Y42" i="521"/>
  <c r="D42" i="522" s="1"/>
  <c r="H42" i="522" s="1"/>
  <c r="I42" i="522" s="1"/>
  <c r="J42" i="522" s="1"/>
  <c r="Y38" i="521"/>
  <c r="D38" i="522" s="1"/>
  <c r="H38" i="522" s="1"/>
  <c r="I38" i="522" s="1"/>
  <c r="J38" i="522" s="1"/>
  <c r="Y65" i="521"/>
  <c r="D65" i="522" s="1"/>
  <c r="H65" i="522" s="1"/>
  <c r="I65" i="522" s="1"/>
  <c r="J65" i="522" s="1"/>
  <c r="Y53" i="521"/>
  <c r="D53" i="522" s="1"/>
  <c r="H53" i="522" s="1"/>
  <c r="I53" i="522" s="1"/>
  <c r="J53" i="522" s="1"/>
  <c r="Y57" i="521"/>
  <c r="D57" i="522" s="1"/>
  <c r="H57" i="522" s="1"/>
  <c r="I57" i="522" s="1"/>
  <c r="J57" i="522" s="1"/>
  <c r="Y31" i="521"/>
  <c r="D31" i="522" s="1"/>
  <c r="Y62" i="521"/>
  <c r="D62" i="522" s="1"/>
  <c r="H62" i="522" s="1"/>
  <c r="I62" i="522" s="1"/>
  <c r="J62" i="522" s="1"/>
  <c r="Y47" i="521"/>
  <c r="D47" i="522" s="1"/>
  <c r="H47" i="522" s="1"/>
  <c r="I47" i="522" s="1"/>
  <c r="J47" i="522" s="1"/>
  <c r="Y33" i="521"/>
  <c r="D33" i="522" s="1"/>
  <c r="H33" i="522" s="1"/>
  <c r="I33" i="522" s="1"/>
  <c r="J33" i="522" s="1"/>
  <c r="Y37" i="521"/>
  <c r="D37" i="522" s="1"/>
  <c r="H37" i="522" s="1"/>
  <c r="I37" i="522" s="1"/>
  <c r="J37" i="522" s="1"/>
  <c r="Y52" i="521"/>
  <c r="D52" i="522" s="1"/>
  <c r="H52" i="522" s="1"/>
  <c r="I52" i="522" s="1"/>
  <c r="J52" i="522" s="1"/>
  <c r="Y56" i="521"/>
  <c r="D56" i="522" s="1"/>
  <c r="H56" i="522" s="1"/>
  <c r="I56" i="522" s="1"/>
  <c r="J56" i="522" s="1"/>
  <c r="I68" i="522"/>
  <c r="J68" i="522" s="1"/>
  <c r="Z59" i="521"/>
  <c r="Z35" i="521"/>
  <c r="Z60" i="521"/>
  <c r="Z49" i="521"/>
  <c r="Z44" i="521"/>
  <c r="I49" i="522"/>
  <c r="J49" i="522" s="1"/>
  <c r="I59" i="522"/>
  <c r="J59" i="522" s="1"/>
  <c r="I60" i="522"/>
  <c r="J60" i="522" s="1"/>
  <c r="I35" i="522"/>
  <c r="J35" i="522" s="1"/>
  <c r="I44" i="522"/>
  <c r="J44" i="522" s="1"/>
  <c r="Z105" i="521" l="1"/>
  <c r="Z106" i="521"/>
  <c r="Z107" i="521"/>
  <c r="I107" i="522"/>
  <c r="J107" i="522" s="1"/>
  <c r="I106" i="522"/>
  <c r="J106" i="522" s="1"/>
  <c r="I105" i="522"/>
  <c r="J105" i="522" s="1"/>
  <c r="Z93" i="521"/>
  <c r="Z97" i="521"/>
  <c r="Z94" i="521"/>
  <c r="Z96" i="521"/>
  <c r="Z92" i="521"/>
  <c r="Z91" i="521"/>
  <c r="Z98" i="521"/>
  <c r="Z95" i="521"/>
  <c r="I98" i="522"/>
  <c r="J98" i="522" s="1"/>
  <c r="I103" i="522"/>
  <c r="J103" i="522" s="1"/>
  <c r="I102" i="522"/>
  <c r="J102" i="522" s="1"/>
  <c r="I101" i="522"/>
  <c r="J101" i="522" s="1"/>
  <c r="I100" i="522"/>
  <c r="J100" i="522" s="1"/>
  <c r="I99" i="522"/>
  <c r="J99" i="522" s="1"/>
  <c r="I97" i="522"/>
  <c r="J97" i="522" s="1"/>
  <c r="I96" i="522"/>
  <c r="J96" i="522" s="1"/>
  <c r="I95" i="522"/>
  <c r="J95" i="522" s="1"/>
  <c r="I94" i="522"/>
  <c r="J94" i="522" s="1"/>
  <c r="I93" i="522"/>
  <c r="J93" i="522" s="1"/>
  <c r="I92" i="522"/>
  <c r="J92" i="522" s="1"/>
  <c r="Z34" i="521"/>
  <c r="I91" i="522"/>
  <c r="J91" i="522" s="1"/>
  <c r="Z90" i="521"/>
  <c r="I90" i="522"/>
  <c r="J90" i="522" s="1"/>
  <c r="Z89" i="521"/>
  <c r="I89" i="522"/>
  <c r="J89" i="522" s="1"/>
  <c r="Z88" i="521"/>
  <c r="I88" i="522"/>
  <c r="J88" i="522" s="1"/>
  <c r="Z87" i="521"/>
  <c r="I87" i="522"/>
  <c r="J87" i="522" s="1"/>
  <c r="Z86" i="521"/>
  <c r="I86" i="522"/>
  <c r="J86" i="522" s="1"/>
  <c r="Z85" i="521"/>
  <c r="I85" i="522"/>
  <c r="J85" i="522" s="1"/>
  <c r="Z84" i="521"/>
  <c r="I84" i="522"/>
  <c r="J84" i="522" s="1"/>
  <c r="Z82" i="521"/>
  <c r="Z83" i="521"/>
  <c r="I83" i="522"/>
  <c r="J83" i="522" s="1"/>
  <c r="I82" i="522"/>
  <c r="J82" i="522" s="1"/>
  <c r="Z81" i="521"/>
  <c r="I81" i="522"/>
  <c r="J81" i="522" s="1"/>
  <c r="Z79" i="521"/>
  <c r="I79" i="522"/>
  <c r="J79" i="522" s="1"/>
  <c r="Z78" i="521"/>
  <c r="I78" i="522"/>
  <c r="J78" i="522" s="1"/>
  <c r="Z77" i="521"/>
  <c r="I77" i="522"/>
  <c r="J77" i="522" s="1"/>
  <c r="Z76" i="521"/>
  <c r="I76" i="522"/>
  <c r="J76" i="522" s="1"/>
  <c r="Z75" i="521"/>
  <c r="I75" i="522"/>
  <c r="J75" i="522" s="1"/>
  <c r="Z64" i="521"/>
  <c r="Z41" i="521"/>
  <c r="Z32" i="521"/>
  <c r="Z63" i="521"/>
  <c r="Z42" i="521"/>
  <c r="Z50" i="521"/>
  <c r="Z73" i="521"/>
  <c r="Z57" i="521"/>
  <c r="Z33" i="521"/>
  <c r="Z58" i="521"/>
  <c r="Z31" i="521"/>
  <c r="Z38" i="521"/>
  <c r="Z51" i="521"/>
  <c r="Z40" i="521"/>
  <c r="Z54" i="521"/>
  <c r="Z66" i="521"/>
  <c r="Z46" i="521"/>
  <c r="Z71" i="521"/>
  <c r="Z45" i="521"/>
  <c r="Z36" i="521"/>
  <c r="Z53" i="521"/>
  <c r="Z56" i="521"/>
  <c r="Z47" i="521"/>
  <c r="Z37" i="521"/>
  <c r="Z70" i="521"/>
  <c r="Z67" i="521"/>
  <c r="Z62" i="521"/>
  <c r="Z69" i="521"/>
  <c r="Z65" i="521"/>
  <c r="Z52" i="521"/>
  <c r="Z72" i="521"/>
  <c r="Y131" i="521"/>
  <c r="I134" i="521" s="1"/>
  <c r="K68" i="522"/>
  <c r="L68" i="522" s="1"/>
  <c r="D131" i="522"/>
  <c r="K103" i="522" l="1"/>
  <c r="L103" i="522" s="1"/>
  <c r="K102" i="522"/>
  <c r="L102" i="522" s="1"/>
  <c r="K101" i="522"/>
  <c r="L101" i="522" s="1"/>
  <c r="K100" i="522"/>
  <c r="L100" i="522" s="1"/>
  <c r="K99" i="522"/>
  <c r="L99" i="522" s="1"/>
  <c r="O99" i="522" s="1"/>
  <c r="P99" i="522" s="1"/>
  <c r="Z131" i="521"/>
  <c r="Z134" i="521" s="1"/>
  <c r="O68" i="522"/>
  <c r="P68" i="522" s="1"/>
  <c r="M68" i="522"/>
  <c r="N68" i="522" s="1"/>
  <c r="O103" i="522" l="1"/>
  <c r="P103" i="522" s="1"/>
  <c r="M103" i="522"/>
  <c r="N103" i="522" s="1"/>
  <c r="O102" i="522"/>
  <c r="P102" i="522" s="1"/>
  <c r="M102" i="522"/>
  <c r="N102" i="522" s="1"/>
  <c r="O101" i="522"/>
  <c r="P101" i="522" s="1"/>
  <c r="M101" i="522"/>
  <c r="N101" i="522" s="1"/>
  <c r="O100" i="522"/>
  <c r="P100" i="522" s="1"/>
  <c r="M100" i="522"/>
  <c r="N100" i="522" s="1"/>
  <c r="M99" i="522"/>
  <c r="N99" i="522" s="1"/>
  <c r="S99" i="522"/>
  <c r="T99" i="522" s="1"/>
  <c r="Q99" i="522"/>
  <c r="R99" i="522" s="1"/>
  <c r="S68" i="522"/>
  <c r="T68" i="522" s="1"/>
  <c r="Q68" i="522"/>
  <c r="R68" i="522" s="1"/>
  <c r="K97" i="522" l="1"/>
  <c r="L97" i="522" s="1"/>
  <c r="M97" i="522" s="1"/>
  <c r="N97" i="522" s="1"/>
  <c r="S103" i="522"/>
  <c r="T103" i="522" s="1"/>
  <c r="Q103" i="522"/>
  <c r="R103" i="522" s="1"/>
  <c r="S102" i="522"/>
  <c r="T102" i="522" s="1"/>
  <c r="Q102" i="522"/>
  <c r="R102" i="522" s="1"/>
  <c r="S101" i="522"/>
  <c r="T101" i="522" s="1"/>
  <c r="Q101" i="522"/>
  <c r="R101" i="522" s="1"/>
  <c r="S100" i="522"/>
  <c r="T100" i="522" s="1"/>
  <c r="Q100" i="522"/>
  <c r="R100" i="522" s="1"/>
  <c r="W99" i="522"/>
  <c r="X99" i="522" s="1"/>
  <c r="U99" i="522"/>
  <c r="V99" i="522" s="1"/>
  <c r="K88" i="522"/>
  <c r="L88" i="522" s="1"/>
  <c r="M88" i="522" s="1"/>
  <c r="N88" i="522" s="1"/>
  <c r="K86" i="522"/>
  <c r="L86" i="522" s="1"/>
  <c r="K81" i="522"/>
  <c r="L81" i="522" s="1"/>
  <c r="M81" i="522" s="1"/>
  <c r="N81" i="522" s="1"/>
  <c r="K84" i="522"/>
  <c r="L84" i="522" s="1"/>
  <c r="M84" i="522" s="1"/>
  <c r="N84" i="522" s="1"/>
  <c r="K83" i="522"/>
  <c r="L83" i="522" s="1"/>
  <c r="M83" i="522" s="1"/>
  <c r="N83" i="522" s="1"/>
  <c r="K79" i="522"/>
  <c r="L79" i="522" s="1"/>
  <c r="M79" i="522" s="1"/>
  <c r="N79" i="522" s="1"/>
  <c r="K77" i="522"/>
  <c r="L77" i="522" s="1"/>
  <c r="M77" i="522" s="1"/>
  <c r="N77" i="522" s="1"/>
  <c r="K76" i="522"/>
  <c r="L76" i="522" s="1"/>
  <c r="M76" i="522" s="1"/>
  <c r="N76" i="522" s="1"/>
  <c r="K72" i="522"/>
  <c r="L72" i="522" s="1"/>
  <c r="K71" i="522"/>
  <c r="L71" i="522" s="1"/>
  <c r="K69" i="522"/>
  <c r="L69" i="522" s="1"/>
  <c r="M69" i="522" s="1"/>
  <c r="N69" i="522" s="1"/>
  <c r="W68" i="522"/>
  <c r="X68" i="522" s="1"/>
  <c r="U68" i="522"/>
  <c r="V68" i="522" s="1"/>
  <c r="K50" i="522"/>
  <c r="L50" i="522" s="1"/>
  <c r="K63" i="522"/>
  <c r="L63" i="522" s="1"/>
  <c r="K59" i="522"/>
  <c r="L59" i="522" s="1"/>
  <c r="K64" i="522"/>
  <c r="L64" i="522" s="1"/>
  <c r="K60" i="522"/>
  <c r="L60" i="522" s="1"/>
  <c r="K62" i="522"/>
  <c r="L62" i="522" s="1"/>
  <c r="K49" i="522"/>
  <c r="L49" i="522" s="1"/>
  <c r="K44" i="522"/>
  <c r="L44" i="522" s="1"/>
  <c r="K35" i="522"/>
  <c r="L35" i="522" s="1"/>
  <c r="K66" i="522"/>
  <c r="L66" i="522" s="1"/>
  <c r="W103" i="522" l="1"/>
  <c r="X103" i="522" s="1"/>
  <c r="U103" i="522"/>
  <c r="V103" i="522" s="1"/>
  <c r="W102" i="522"/>
  <c r="X102" i="522" s="1"/>
  <c r="U102" i="522"/>
  <c r="V102" i="522" s="1"/>
  <c r="W101" i="522"/>
  <c r="X101" i="522" s="1"/>
  <c r="U101" i="522"/>
  <c r="V101" i="522" s="1"/>
  <c r="W100" i="522"/>
  <c r="X100" i="522" s="1"/>
  <c r="U100" i="522"/>
  <c r="V100" i="522" s="1"/>
  <c r="AA99" i="522"/>
  <c r="AB99" i="522" s="1"/>
  <c r="Y99" i="522"/>
  <c r="Z99" i="522" s="1"/>
  <c r="M86" i="522"/>
  <c r="N86" i="522" s="1"/>
  <c r="M72" i="522"/>
  <c r="N72" i="522" s="1"/>
  <c r="M71" i="522"/>
  <c r="N71" i="522" s="1"/>
  <c r="AA68" i="522"/>
  <c r="AB68" i="522" s="1"/>
  <c r="Y68" i="522"/>
  <c r="Z68" i="522" s="1"/>
  <c r="M50" i="522"/>
  <c r="N50" i="522" s="1"/>
  <c r="M63" i="522"/>
  <c r="N63" i="522" s="1"/>
  <c r="M44" i="522"/>
  <c r="N44" i="522" s="1"/>
  <c r="M62" i="522"/>
  <c r="N62" i="522" s="1"/>
  <c r="M66" i="522"/>
  <c r="N66" i="522" s="1"/>
  <c r="M64" i="522"/>
  <c r="N64" i="522" s="1"/>
  <c r="M35" i="522"/>
  <c r="N35" i="522" s="1"/>
  <c r="M49" i="522"/>
  <c r="N49" i="522" s="1"/>
  <c r="M59" i="522"/>
  <c r="N59" i="522" s="1"/>
  <c r="M60" i="522"/>
  <c r="N60" i="522" s="1"/>
  <c r="AA103" i="522" l="1"/>
  <c r="AB103" i="522" s="1"/>
  <c r="Y103" i="522"/>
  <c r="Z103" i="522" s="1"/>
  <c r="AA102" i="522"/>
  <c r="AB102" i="522" s="1"/>
  <c r="Y102" i="522"/>
  <c r="Z102" i="522" s="1"/>
  <c r="AA101" i="522"/>
  <c r="AB101" i="522" s="1"/>
  <c r="Y101" i="522"/>
  <c r="Z101" i="522" s="1"/>
  <c r="AA100" i="522"/>
  <c r="AB100" i="522" s="1"/>
  <c r="Y100" i="522"/>
  <c r="Z100" i="522" s="1"/>
  <c r="AE99" i="522"/>
  <c r="AF99" i="522" s="1"/>
  <c r="AC99" i="522"/>
  <c r="AD99" i="522" s="1"/>
  <c r="AE68" i="522"/>
  <c r="AF68" i="522" s="1"/>
  <c r="AC68" i="522"/>
  <c r="AD68" i="522" s="1"/>
  <c r="AE103" i="522" l="1"/>
  <c r="AF103" i="522" s="1"/>
  <c r="AC103" i="522"/>
  <c r="AD103" i="522" s="1"/>
  <c r="AE102" i="522"/>
  <c r="AF102" i="522" s="1"/>
  <c r="AC102" i="522"/>
  <c r="AD102" i="522" s="1"/>
  <c r="AE101" i="522"/>
  <c r="AF101" i="522" s="1"/>
  <c r="AC101" i="522"/>
  <c r="AD101" i="522" s="1"/>
  <c r="AE100" i="522"/>
  <c r="AF100" i="522" s="1"/>
  <c r="AC100" i="522"/>
  <c r="AD100" i="522" s="1"/>
  <c r="AI99" i="522"/>
  <c r="AJ99" i="522" s="1"/>
  <c r="AG99" i="522"/>
  <c r="AH99" i="522" s="1"/>
  <c r="AI68" i="522"/>
  <c r="AJ68" i="522" s="1"/>
  <c r="AG68" i="522"/>
  <c r="AH68" i="522" s="1"/>
  <c r="O97" i="522" l="1"/>
  <c r="P97" i="522" s="1"/>
  <c r="Q97" i="522" s="1"/>
  <c r="R97" i="522" s="1"/>
  <c r="AI103" i="522"/>
  <c r="AJ103" i="522" s="1"/>
  <c r="AG103" i="522"/>
  <c r="AH103" i="522" s="1"/>
  <c r="AI102" i="522"/>
  <c r="AJ102" i="522" s="1"/>
  <c r="AG102" i="522"/>
  <c r="AH102" i="522" s="1"/>
  <c r="AI101" i="522"/>
  <c r="AJ101" i="522" s="1"/>
  <c r="AG101" i="522"/>
  <c r="AH101" i="522" s="1"/>
  <c r="AI100" i="522"/>
  <c r="AJ100" i="522" s="1"/>
  <c r="AG100" i="522"/>
  <c r="AH100" i="522" s="1"/>
  <c r="AM99" i="522"/>
  <c r="AN99" i="522" s="1"/>
  <c r="AK99" i="522"/>
  <c r="AL99" i="522" s="1"/>
  <c r="O88" i="522"/>
  <c r="P88" i="522" s="1"/>
  <c r="Q88" i="522" s="1"/>
  <c r="R88" i="522" s="1"/>
  <c r="O86" i="522"/>
  <c r="P86" i="522" s="1"/>
  <c r="Q86" i="522" s="1"/>
  <c r="R86" i="522" s="1"/>
  <c r="O84" i="522"/>
  <c r="P84" i="522" s="1"/>
  <c r="Q84" i="522" s="1"/>
  <c r="R84" i="522" s="1"/>
  <c r="O83" i="522"/>
  <c r="P83" i="522" s="1"/>
  <c r="Q83" i="522" s="1"/>
  <c r="R83" i="522" s="1"/>
  <c r="O81" i="522"/>
  <c r="P81" i="522" s="1"/>
  <c r="O79" i="522"/>
  <c r="P79" i="522" s="1"/>
  <c r="O77" i="522"/>
  <c r="P77" i="522" s="1"/>
  <c r="O76" i="522"/>
  <c r="P76" i="522" s="1"/>
  <c r="O72" i="522"/>
  <c r="P72" i="522" s="1"/>
  <c r="O71" i="522"/>
  <c r="P71" i="522" s="1"/>
  <c r="O69" i="522"/>
  <c r="P69" i="522" s="1"/>
  <c r="O50" i="522"/>
  <c r="P50" i="522" s="1"/>
  <c r="Q50" i="522" s="1"/>
  <c r="R50" i="522" s="1"/>
  <c r="AM68" i="522"/>
  <c r="AN68" i="522" s="1"/>
  <c r="AK68" i="522"/>
  <c r="AL68" i="522" s="1"/>
  <c r="O59" i="522"/>
  <c r="P59" i="522" s="1"/>
  <c r="Q59" i="522" s="1"/>
  <c r="R59" i="522" s="1"/>
  <c r="O49" i="522"/>
  <c r="P49" i="522" s="1"/>
  <c r="O35" i="522"/>
  <c r="P35" i="522" s="1"/>
  <c r="O64" i="522"/>
  <c r="P64" i="522" s="1"/>
  <c r="O62" i="522"/>
  <c r="P62" i="522" s="1"/>
  <c r="O66" i="522"/>
  <c r="P66" i="522" s="1"/>
  <c r="O44" i="522"/>
  <c r="P44" i="522" s="1"/>
  <c r="O63" i="522"/>
  <c r="P63" i="522" s="1"/>
  <c r="O60" i="522"/>
  <c r="P60" i="522" s="1"/>
  <c r="AM103" i="522" l="1"/>
  <c r="AN103" i="522" s="1"/>
  <c r="AK103" i="522"/>
  <c r="AL103" i="522" s="1"/>
  <c r="AM102" i="522"/>
  <c r="AN102" i="522" s="1"/>
  <c r="AK102" i="522"/>
  <c r="AL102" i="522" s="1"/>
  <c r="AM101" i="522"/>
  <c r="AN101" i="522" s="1"/>
  <c r="AK101" i="522"/>
  <c r="AL101" i="522" s="1"/>
  <c r="AM100" i="522"/>
  <c r="AN100" i="522" s="1"/>
  <c r="AK100" i="522"/>
  <c r="AL100" i="522" s="1"/>
  <c r="AQ99" i="522"/>
  <c r="AO99" i="522"/>
  <c r="AP99" i="522" s="1"/>
  <c r="Q81" i="522"/>
  <c r="R81" i="522" s="1"/>
  <c r="Q79" i="522"/>
  <c r="R79" i="522" s="1"/>
  <c r="Q77" i="522"/>
  <c r="R77" i="522" s="1"/>
  <c r="Q76" i="522"/>
  <c r="R76" i="522" s="1"/>
  <c r="Q72" i="522"/>
  <c r="R72" i="522" s="1"/>
  <c r="Q71" i="522"/>
  <c r="R71" i="522" s="1"/>
  <c r="Q69" i="522"/>
  <c r="R69" i="522" s="1"/>
  <c r="AQ68" i="522"/>
  <c r="AO68" i="522"/>
  <c r="AP68" i="522" s="1"/>
  <c r="Q44" i="522"/>
  <c r="R44" i="522" s="1"/>
  <c r="Q49" i="522"/>
  <c r="R49" i="522" s="1"/>
  <c r="Q63" i="522"/>
  <c r="R63" i="522" s="1"/>
  <c r="Q62" i="522"/>
  <c r="R62" i="522" s="1"/>
  <c r="Q60" i="522"/>
  <c r="R60" i="522" s="1"/>
  <c r="Q66" i="522"/>
  <c r="R66" i="522" s="1"/>
  <c r="Q64" i="522"/>
  <c r="R64" i="522" s="1"/>
  <c r="Q35" i="522"/>
  <c r="R35" i="522" s="1"/>
  <c r="AQ103" i="522" l="1"/>
  <c r="AO103" i="522"/>
  <c r="AP103" i="522" s="1"/>
  <c r="AQ102" i="522"/>
  <c r="AO102" i="522"/>
  <c r="AP102" i="522" s="1"/>
  <c r="AQ101" i="522"/>
  <c r="AO101" i="522"/>
  <c r="AP101" i="522" s="1"/>
  <c r="AQ100" i="522"/>
  <c r="AO100" i="522"/>
  <c r="AP100" i="522" s="1"/>
  <c r="AR99" i="522"/>
  <c r="AR68" i="522"/>
  <c r="AR103" i="522" l="1"/>
  <c r="AR102" i="522"/>
  <c r="AR101" i="522"/>
  <c r="AR100" i="522"/>
  <c r="AU99" i="522"/>
  <c r="AS99" i="522"/>
  <c r="AT99" i="522" s="1"/>
  <c r="AU68" i="522"/>
  <c r="AS68" i="522"/>
  <c r="AT68" i="522" s="1"/>
  <c r="U97" i="522" l="1"/>
  <c r="V97" i="522" s="1"/>
  <c r="AU103" i="522"/>
  <c r="AS103" i="522"/>
  <c r="AT103" i="522" s="1"/>
  <c r="AU102" i="522"/>
  <c r="AS102" i="522"/>
  <c r="AT102" i="522" s="1"/>
  <c r="AU101" i="522"/>
  <c r="AS101" i="522"/>
  <c r="AT101" i="522" s="1"/>
  <c r="AU100" i="522"/>
  <c r="AS100" i="522"/>
  <c r="AT100" i="522" s="1"/>
  <c r="S88" i="522"/>
  <c r="T88" i="522" s="1"/>
  <c r="S86" i="522"/>
  <c r="T86" i="522" s="1"/>
  <c r="S84" i="522"/>
  <c r="T84" i="522" s="1"/>
  <c r="S83" i="522"/>
  <c r="T83" i="522" s="1"/>
  <c r="U83" i="522" s="1"/>
  <c r="V83" i="522" s="1"/>
  <c r="S81" i="522"/>
  <c r="T81" i="522" s="1"/>
  <c r="S79" i="522"/>
  <c r="T79" i="522" s="1"/>
  <c r="S77" i="522"/>
  <c r="T77" i="522" s="1"/>
  <c r="S76" i="522"/>
  <c r="T76" i="522" s="1"/>
  <c r="S71" i="522"/>
  <c r="T71" i="522" s="1"/>
  <c r="U71" i="522" s="1"/>
  <c r="V71" i="522" s="1"/>
  <c r="S72" i="522"/>
  <c r="T72" i="522" s="1"/>
  <c r="S66" i="522"/>
  <c r="T66" i="522" s="1"/>
  <c r="U66" i="522" s="1"/>
  <c r="V66" i="522" s="1"/>
  <c r="S62" i="522"/>
  <c r="T62" i="522" s="1"/>
  <c r="U62" i="522" s="1"/>
  <c r="V62" i="522" s="1"/>
  <c r="S69" i="522"/>
  <c r="T69" i="522" s="1"/>
  <c r="S50" i="522"/>
  <c r="T50" i="522" s="1"/>
  <c r="S60" i="522"/>
  <c r="T60" i="522" s="1"/>
  <c r="S44" i="522"/>
  <c r="T44" i="522" s="1"/>
  <c r="S64" i="522"/>
  <c r="T64" i="522" s="1"/>
  <c r="S59" i="522"/>
  <c r="T59" i="522" s="1"/>
  <c r="S35" i="522"/>
  <c r="T35" i="522" s="1"/>
  <c r="S49" i="522"/>
  <c r="T49" i="522" s="1"/>
  <c r="S63" i="522"/>
  <c r="T63" i="522" s="1"/>
  <c r="U88" i="522" l="1"/>
  <c r="V88" i="522" s="1"/>
  <c r="U86" i="522"/>
  <c r="V86" i="522" s="1"/>
  <c r="U84" i="522"/>
  <c r="V84" i="522" s="1"/>
  <c r="U81" i="522"/>
  <c r="V81" i="522" s="1"/>
  <c r="U79" i="522"/>
  <c r="V79" i="522" s="1"/>
  <c r="U77" i="522"/>
  <c r="V77" i="522" s="1"/>
  <c r="U76" i="522"/>
  <c r="V76" i="522" s="1"/>
  <c r="U72" i="522"/>
  <c r="V72" i="522" s="1"/>
  <c r="U69" i="522"/>
  <c r="V69" i="522" s="1"/>
  <c r="U50" i="522"/>
  <c r="V50" i="522" s="1"/>
  <c r="U64" i="522"/>
  <c r="V64" i="522" s="1"/>
  <c r="U60" i="522"/>
  <c r="V60" i="522" s="1"/>
  <c r="U63" i="522"/>
  <c r="V63" i="522" s="1"/>
  <c r="U35" i="522"/>
  <c r="V35" i="522" s="1"/>
  <c r="U49" i="522"/>
  <c r="V49" i="522" s="1"/>
  <c r="U59" i="522"/>
  <c r="V59" i="522" s="1"/>
  <c r="U44" i="522"/>
  <c r="V44" i="522" s="1"/>
  <c r="W88" i="522" l="1"/>
  <c r="X88" i="522" s="1"/>
  <c r="Y88" i="522" s="1"/>
  <c r="Z88" i="522" s="1"/>
  <c r="W86" i="522"/>
  <c r="X86" i="522" s="1"/>
  <c r="W77" i="522"/>
  <c r="X77" i="522" s="1"/>
  <c r="Y77" i="522" s="1"/>
  <c r="Z77" i="522" s="1"/>
  <c r="W84" i="522"/>
  <c r="X84" i="522" s="1"/>
  <c r="W83" i="522"/>
  <c r="X83" i="522" s="1"/>
  <c r="W81" i="522"/>
  <c r="X81" i="522" s="1"/>
  <c r="W79" i="522"/>
  <c r="X79" i="522" s="1"/>
  <c r="Y79" i="522" s="1"/>
  <c r="Z79" i="522" s="1"/>
  <c r="W76" i="522"/>
  <c r="X76" i="522" s="1"/>
  <c r="W72" i="522"/>
  <c r="X72" i="522" s="1"/>
  <c r="W71" i="522"/>
  <c r="X71" i="522" s="1"/>
  <c r="W50" i="522"/>
  <c r="X50" i="522" s="1"/>
  <c r="Y50" i="522" s="1"/>
  <c r="Z50" i="522" s="1"/>
  <c r="W69" i="522"/>
  <c r="X69" i="522" s="1"/>
  <c r="W60" i="522"/>
  <c r="X60" i="522" s="1"/>
  <c r="W59" i="522"/>
  <c r="X59" i="522" s="1"/>
  <c r="W63" i="522"/>
  <c r="X63" i="522" s="1"/>
  <c r="W64" i="522"/>
  <c r="X64" i="522" s="1"/>
  <c r="W66" i="522"/>
  <c r="X66" i="522" s="1"/>
  <c r="W35" i="522"/>
  <c r="X35" i="522" s="1"/>
  <c r="W62" i="522"/>
  <c r="X62" i="522" s="1"/>
  <c r="W44" i="522"/>
  <c r="X44" i="522" s="1"/>
  <c r="W49" i="522"/>
  <c r="X49" i="522" s="1"/>
  <c r="Y97" i="522" l="1"/>
  <c r="Z97" i="522" s="1"/>
  <c r="Y86" i="522"/>
  <c r="Z86" i="522" s="1"/>
  <c r="Y84" i="522"/>
  <c r="Z84" i="522" s="1"/>
  <c r="Y83" i="522"/>
  <c r="Z83" i="522" s="1"/>
  <c r="Y81" i="522"/>
  <c r="Z81" i="522" s="1"/>
  <c r="Y76" i="522"/>
  <c r="Z76" i="522" s="1"/>
  <c r="Y72" i="522"/>
  <c r="Z72" i="522" s="1"/>
  <c r="Y71" i="522"/>
  <c r="Z71" i="522" s="1"/>
  <c r="Y69" i="522"/>
  <c r="Z69" i="522" s="1"/>
  <c r="Y63" i="522"/>
  <c r="Z63" i="522" s="1"/>
  <c r="Y44" i="522"/>
  <c r="Z44" i="522" s="1"/>
  <c r="Y35" i="522"/>
  <c r="Z35" i="522" s="1"/>
  <c r="Y64" i="522"/>
  <c r="Z64" i="522" s="1"/>
  <c r="Y59" i="522"/>
  <c r="Z59" i="522" s="1"/>
  <c r="Y49" i="522"/>
  <c r="Z49" i="522" s="1"/>
  <c r="Y62" i="522"/>
  <c r="Z62" i="522" s="1"/>
  <c r="Y66" i="522"/>
  <c r="Z66" i="522" s="1"/>
  <c r="Y60" i="522"/>
  <c r="Z60" i="522" s="1"/>
  <c r="AC97" i="522" l="1"/>
  <c r="AD97" i="522" s="1"/>
  <c r="AA66" i="522"/>
  <c r="AB66" i="522" s="1"/>
  <c r="AA88" i="522"/>
  <c r="AB88" i="522" s="1"/>
  <c r="AA86" i="522"/>
  <c r="AB86" i="522" s="1"/>
  <c r="AA84" i="522"/>
  <c r="AB84" i="522" s="1"/>
  <c r="AA83" i="522"/>
  <c r="AB83" i="522" s="1"/>
  <c r="AC83" i="522" s="1"/>
  <c r="AD83" i="522" s="1"/>
  <c r="AA81" i="522"/>
  <c r="AB81" i="522" s="1"/>
  <c r="AA79" i="522"/>
  <c r="AB79" i="522" s="1"/>
  <c r="AC79" i="522" s="1"/>
  <c r="AD79" i="522" s="1"/>
  <c r="AA77" i="522"/>
  <c r="AB77" i="522" s="1"/>
  <c r="AA76" i="522"/>
  <c r="AB76" i="522" s="1"/>
  <c r="AA72" i="522"/>
  <c r="AB72" i="522" s="1"/>
  <c r="AA71" i="522"/>
  <c r="AB71" i="522" s="1"/>
  <c r="AA69" i="522"/>
  <c r="AB69" i="522" s="1"/>
  <c r="AC69" i="522" s="1"/>
  <c r="AD69" i="522" s="1"/>
  <c r="AA50" i="522"/>
  <c r="AB50" i="522" s="1"/>
  <c r="AC66" i="522"/>
  <c r="AD66" i="522" s="1"/>
  <c r="AA64" i="522"/>
  <c r="AB64" i="522" s="1"/>
  <c r="AA49" i="522"/>
  <c r="AB49" i="522" s="1"/>
  <c r="AA35" i="522"/>
  <c r="AB35" i="522" s="1"/>
  <c r="AA59" i="522"/>
  <c r="AB59" i="522" s="1"/>
  <c r="AA60" i="522"/>
  <c r="AB60" i="522" s="1"/>
  <c r="AA44" i="522"/>
  <c r="AB44" i="522" s="1"/>
  <c r="AA63" i="522"/>
  <c r="AB63" i="522" s="1"/>
  <c r="AA62" i="522"/>
  <c r="AB62" i="522" s="1"/>
  <c r="AC88" i="522" l="1"/>
  <c r="AD88" i="522" s="1"/>
  <c r="AC86" i="522"/>
  <c r="AD86" i="522" s="1"/>
  <c r="AC84" i="522"/>
  <c r="AD84" i="522" s="1"/>
  <c r="AC81" i="522"/>
  <c r="AD81" i="522" s="1"/>
  <c r="AC77" i="522"/>
  <c r="AD77" i="522" s="1"/>
  <c r="AC76" i="522"/>
  <c r="AD76" i="522" s="1"/>
  <c r="AC72" i="522"/>
  <c r="AD72" i="522" s="1"/>
  <c r="AC71" i="522"/>
  <c r="AD71" i="522" s="1"/>
  <c r="AC50" i="522"/>
  <c r="AD50" i="522" s="1"/>
  <c r="AC62" i="522"/>
  <c r="AD62" i="522" s="1"/>
  <c r="AC60" i="522"/>
  <c r="AD60" i="522" s="1"/>
  <c r="AC49" i="522"/>
  <c r="AD49" i="522" s="1"/>
  <c r="AC44" i="522"/>
  <c r="AD44" i="522" s="1"/>
  <c r="AC63" i="522"/>
  <c r="AD63" i="522" s="1"/>
  <c r="AC59" i="522"/>
  <c r="AD59" i="522" s="1"/>
  <c r="AC35" i="522"/>
  <c r="AD35" i="522" s="1"/>
  <c r="AC64" i="522"/>
  <c r="AD64" i="522" s="1"/>
  <c r="AE83" i="522" l="1"/>
  <c r="AF83" i="522" s="1"/>
  <c r="AE88" i="522"/>
  <c r="AF88" i="522" s="1"/>
  <c r="AE86" i="522"/>
  <c r="AF86" i="522" s="1"/>
  <c r="AE84" i="522"/>
  <c r="AF84" i="522" s="1"/>
  <c r="AG83" i="522"/>
  <c r="AH83" i="522" s="1"/>
  <c r="AE81" i="522"/>
  <c r="AF81" i="522" s="1"/>
  <c r="AE79" i="522"/>
  <c r="AF79" i="522" s="1"/>
  <c r="AG79" i="522" s="1"/>
  <c r="AH79" i="522" s="1"/>
  <c r="AE77" i="522"/>
  <c r="AF77" i="522" s="1"/>
  <c r="AE76" i="522"/>
  <c r="AF76" i="522" s="1"/>
  <c r="AE72" i="522"/>
  <c r="AF72" i="522" s="1"/>
  <c r="AE71" i="522"/>
  <c r="AF71" i="522" s="1"/>
  <c r="AE69" i="522"/>
  <c r="AF69" i="522" s="1"/>
  <c r="AG69" i="522" s="1"/>
  <c r="AH69" i="522" s="1"/>
  <c r="AE50" i="522"/>
  <c r="AF50" i="522" s="1"/>
  <c r="AG50" i="522" s="1"/>
  <c r="AH50" i="522" s="1"/>
  <c r="AE60" i="522"/>
  <c r="AF60" i="522" s="1"/>
  <c r="AE62" i="522"/>
  <c r="AF62" i="522" s="1"/>
  <c r="AE64" i="522"/>
  <c r="AF64" i="522" s="1"/>
  <c r="AE49" i="522"/>
  <c r="AF49" i="522" s="1"/>
  <c r="AE44" i="522"/>
  <c r="AF44" i="522" s="1"/>
  <c r="AE66" i="522"/>
  <c r="AF66" i="522" s="1"/>
  <c r="AE63" i="522"/>
  <c r="AF63" i="522" s="1"/>
  <c r="AE35" i="522"/>
  <c r="AF35" i="522" s="1"/>
  <c r="AE59" i="522"/>
  <c r="AF59" i="522" s="1"/>
  <c r="AG97" i="522" l="1"/>
  <c r="AH97" i="522" s="1"/>
  <c r="AG88" i="522"/>
  <c r="AH88" i="522" s="1"/>
  <c r="AG86" i="522"/>
  <c r="AH86" i="522" s="1"/>
  <c r="AG84" i="522"/>
  <c r="AH84" i="522" s="1"/>
  <c r="AG81" i="522"/>
  <c r="AH81" i="522" s="1"/>
  <c r="AG77" i="522"/>
  <c r="AH77" i="522" s="1"/>
  <c r="AG76" i="522"/>
  <c r="AH76" i="522" s="1"/>
  <c r="AG72" i="522"/>
  <c r="AH72" i="522" s="1"/>
  <c r="AG71" i="522"/>
  <c r="AH71" i="522" s="1"/>
  <c r="AG49" i="522"/>
  <c r="AH49" i="522" s="1"/>
  <c r="AG66" i="522"/>
  <c r="AH66" i="522" s="1"/>
  <c r="AG64" i="522"/>
  <c r="AH64" i="522" s="1"/>
  <c r="AG62" i="522"/>
  <c r="AH62" i="522" s="1"/>
  <c r="AG59" i="522"/>
  <c r="AH59" i="522" s="1"/>
  <c r="AG35" i="522"/>
  <c r="AH35" i="522" s="1"/>
  <c r="AG44" i="522"/>
  <c r="AH44" i="522" s="1"/>
  <c r="AG60" i="522"/>
  <c r="AH60" i="522" s="1"/>
  <c r="AG63" i="522"/>
  <c r="AH63" i="522" s="1"/>
  <c r="AI88" i="522" l="1"/>
  <c r="AJ88" i="522" s="1"/>
  <c r="AI86" i="522"/>
  <c r="AJ86" i="522" s="1"/>
  <c r="AI84" i="522"/>
  <c r="AJ84" i="522" s="1"/>
  <c r="AK84" i="522" s="1"/>
  <c r="AL84" i="522" s="1"/>
  <c r="AK83" i="522"/>
  <c r="AL83" i="522" s="1"/>
  <c r="AI35" i="522"/>
  <c r="AJ35" i="522" s="1"/>
  <c r="AI81" i="522"/>
  <c r="AJ81" i="522" s="1"/>
  <c r="AI79" i="522"/>
  <c r="AJ79" i="522" s="1"/>
  <c r="AI77" i="522"/>
  <c r="AJ77" i="522" s="1"/>
  <c r="AI76" i="522"/>
  <c r="AJ76" i="522" s="1"/>
  <c r="AI72" i="522"/>
  <c r="AJ72" i="522" s="1"/>
  <c r="AK72" i="522" s="1"/>
  <c r="AL72" i="522" s="1"/>
  <c r="AI71" i="522"/>
  <c r="AJ71" i="522" s="1"/>
  <c r="AI69" i="522"/>
  <c r="AJ69" i="522" s="1"/>
  <c r="AI50" i="522"/>
  <c r="AJ50" i="522" s="1"/>
  <c r="AK35" i="522"/>
  <c r="AL35" i="522" s="1"/>
  <c r="AI59" i="522"/>
  <c r="AJ59" i="522" s="1"/>
  <c r="AI64" i="522"/>
  <c r="AJ64" i="522" s="1"/>
  <c r="AI66" i="522"/>
  <c r="AJ66" i="522" s="1"/>
  <c r="AI49" i="522"/>
  <c r="AJ49" i="522" s="1"/>
  <c r="AI44" i="522"/>
  <c r="AJ44" i="522" s="1"/>
  <c r="AI62" i="522"/>
  <c r="AJ62" i="522" s="1"/>
  <c r="AI60" i="522"/>
  <c r="AJ60" i="522" s="1"/>
  <c r="AI63" i="522"/>
  <c r="AJ63" i="522" s="1"/>
  <c r="AK88" i="522" l="1"/>
  <c r="AL88" i="522" s="1"/>
  <c r="AK86" i="522"/>
  <c r="AL86" i="522" s="1"/>
  <c r="AK81" i="522"/>
  <c r="AL81" i="522" s="1"/>
  <c r="AK79" i="522"/>
  <c r="AL79" i="522" s="1"/>
  <c r="AK77" i="522"/>
  <c r="AL77" i="522" s="1"/>
  <c r="AK76" i="522"/>
  <c r="AL76" i="522" s="1"/>
  <c r="AK71" i="522"/>
  <c r="AL71" i="522" s="1"/>
  <c r="AK69" i="522"/>
  <c r="AL69" i="522" s="1"/>
  <c r="AK50" i="522"/>
  <c r="AL50" i="522" s="1"/>
  <c r="AK62" i="522"/>
  <c r="AL62" i="522" s="1"/>
  <c r="AK64" i="522"/>
  <c r="AL64" i="522" s="1"/>
  <c r="AK63" i="522"/>
  <c r="AL63" i="522" s="1"/>
  <c r="AK49" i="522"/>
  <c r="AL49" i="522" s="1"/>
  <c r="AK66" i="522"/>
  <c r="AL66" i="522" s="1"/>
  <c r="AK59" i="522"/>
  <c r="AL59" i="522" s="1"/>
  <c r="AK60" i="522"/>
  <c r="AL60" i="522" s="1"/>
  <c r="AK44" i="522"/>
  <c r="AL44" i="522" s="1"/>
  <c r="AM88" i="522" l="1"/>
  <c r="AN88" i="522" s="1"/>
  <c r="AM86" i="522"/>
  <c r="AN86" i="522" s="1"/>
  <c r="AM84" i="522"/>
  <c r="AN84" i="522" s="1"/>
  <c r="AM81" i="522"/>
  <c r="AN81" i="522" s="1"/>
  <c r="AM79" i="522"/>
  <c r="AN79" i="522" s="1"/>
  <c r="AO79" i="522" s="1"/>
  <c r="AP79" i="522" s="1"/>
  <c r="AM77" i="522"/>
  <c r="AN77" i="522" s="1"/>
  <c r="AM76" i="522"/>
  <c r="AN76" i="522" s="1"/>
  <c r="AM72" i="522"/>
  <c r="AN72" i="522" s="1"/>
  <c r="AM71" i="522"/>
  <c r="AN71" i="522" s="1"/>
  <c r="AM69" i="522"/>
  <c r="AN69" i="522" s="1"/>
  <c r="AM50" i="522"/>
  <c r="AN50" i="522" s="1"/>
  <c r="AO50" i="522" s="1"/>
  <c r="AP50" i="522" s="1"/>
  <c r="AM63" i="522"/>
  <c r="AN63" i="522" s="1"/>
  <c r="AM44" i="522"/>
  <c r="AN44" i="522" s="1"/>
  <c r="AM60" i="522"/>
  <c r="AN60" i="522" s="1"/>
  <c r="AM59" i="522"/>
  <c r="AN59" i="522" s="1"/>
  <c r="AM64" i="522"/>
  <c r="AN64" i="522" s="1"/>
  <c r="AM66" i="522"/>
  <c r="AN66" i="522" s="1"/>
  <c r="AM35" i="522"/>
  <c r="AN35" i="522" s="1"/>
  <c r="AM49" i="522"/>
  <c r="AN49" i="522" s="1"/>
  <c r="AM62" i="522"/>
  <c r="AN62" i="522" s="1"/>
  <c r="AO97" i="522" l="1"/>
  <c r="AP97" i="522" s="1"/>
  <c r="AO88" i="522"/>
  <c r="AP88" i="522" s="1"/>
  <c r="AO86" i="522"/>
  <c r="AP86" i="522" s="1"/>
  <c r="AO84" i="522"/>
  <c r="AP84" i="522" s="1"/>
  <c r="AO83" i="522"/>
  <c r="AP83" i="522" s="1"/>
  <c r="AO81" i="522"/>
  <c r="AP81" i="522" s="1"/>
  <c r="AO77" i="522"/>
  <c r="AP77" i="522" s="1"/>
  <c r="AO76" i="522"/>
  <c r="AP76" i="522" s="1"/>
  <c r="AO72" i="522"/>
  <c r="AP72" i="522" s="1"/>
  <c r="AO71" i="522"/>
  <c r="AP71" i="522" s="1"/>
  <c r="AO69" i="522"/>
  <c r="AP69" i="522" s="1"/>
  <c r="AO60" i="522"/>
  <c r="AP60" i="522" s="1"/>
  <c r="AO62" i="522"/>
  <c r="AP62" i="522" s="1"/>
  <c r="AO64" i="522"/>
  <c r="AP64" i="522" s="1"/>
  <c r="AO63" i="522"/>
  <c r="AP63" i="522" s="1"/>
  <c r="AO49" i="522"/>
  <c r="AP49" i="522" s="1"/>
  <c r="AO35" i="522"/>
  <c r="AP35" i="522" s="1"/>
  <c r="AO59" i="522"/>
  <c r="AP59" i="522" s="1"/>
  <c r="AO44" i="522"/>
  <c r="AP44" i="522" s="1"/>
  <c r="AO66" i="522"/>
  <c r="AP66" i="522" s="1"/>
  <c r="AQ88" i="522" l="1"/>
  <c r="AR88" i="522" s="1"/>
  <c r="AQ86" i="522"/>
  <c r="AR86" i="522" s="1"/>
  <c r="AQ84" i="522"/>
  <c r="AR84" i="522" s="1"/>
  <c r="AQ81" i="522"/>
  <c r="AR81" i="522" s="1"/>
  <c r="AQ79" i="522"/>
  <c r="AR79" i="522" s="1"/>
  <c r="AQ77" i="522"/>
  <c r="AR77" i="522" s="1"/>
  <c r="AQ76" i="522"/>
  <c r="AR76" i="522" s="1"/>
  <c r="AQ72" i="522"/>
  <c r="AR72" i="522" s="1"/>
  <c r="AS72" i="522" s="1"/>
  <c r="AT72" i="522" s="1"/>
  <c r="AS71" i="522"/>
  <c r="AT71" i="522" s="1"/>
  <c r="AQ69" i="522"/>
  <c r="AR69" i="522" s="1"/>
  <c r="AQ50" i="522"/>
  <c r="AR50" i="522" s="1"/>
  <c r="AQ64" i="522"/>
  <c r="AR64" i="522" s="1"/>
  <c r="AS64" i="522" s="1"/>
  <c r="AT64" i="522" s="1"/>
  <c r="AQ62" i="522"/>
  <c r="AR62" i="522" s="1"/>
  <c r="AQ66" i="522"/>
  <c r="AR66" i="522" s="1"/>
  <c r="AQ44" i="522"/>
  <c r="AR44" i="522" s="1"/>
  <c r="AQ35" i="522"/>
  <c r="AR35" i="522" s="1"/>
  <c r="AQ49" i="522"/>
  <c r="AR49" i="522" s="1"/>
  <c r="AQ59" i="522"/>
  <c r="AR59" i="522" s="1"/>
  <c r="AQ60" i="522"/>
  <c r="AR60" i="522" s="1"/>
  <c r="AQ63" i="522"/>
  <c r="AR63" i="522" s="1"/>
  <c r="AS88" i="522" l="1"/>
  <c r="AT88" i="522" s="1"/>
  <c r="AS86" i="522"/>
  <c r="AT86" i="522" s="1"/>
  <c r="AS84" i="522"/>
  <c r="AT84" i="522" s="1"/>
  <c r="AS81" i="522"/>
  <c r="AT81" i="522" s="1"/>
  <c r="AS79" i="522"/>
  <c r="AT79" i="522" s="1"/>
  <c r="AS77" i="522"/>
  <c r="AT77" i="522" s="1"/>
  <c r="AS76" i="522"/>
  <c r="AT76" i="522" s="1"/>
  <c r="AS69" i="522"/>
  <c r="AT69" i="522" s="1"/>
  <c r="AS50" i="522"/>
  <c r="AT50" i="522" s="1"/>
  <c r="AS63" i="522"/>
  <c r="AT63" i="522" s="1"/>
  <c r="AS66" i="522"/>
  <c r="AT66" i="522" s="1"/>
  <c r="AS62" i="522"/>
  <c r="AT62" i="522" s="1"/>
  <c r="AS60" i="522"/>
  <c r="AT60" i="522" s="1"/>
  <c r="AS44" i="522"/>
  <c r="AT44" i="522" s="1"/>
  <c r="AS35" i="522"/>
  <c r="AT35" i="522" s="1"/>
  <c r="AS59" i="522"/>
  <c r="AT59" i="522" s="1"/>
  <c r="AS49" i="522"/>
  <c r="AT49" i="522" s="1"/>
  <c r="AU88" i="522" l="1"/>
  <c r="AU86" i="522"/>
  <c r="AU84" i="522"/>
  <c r="AU81" i="522"/>
  <c r="AU79" i="522"/>
  <c r="AU77" i="522"/>
  <c r="AU76" i="522"/>
  <c r="AU72" i="522"/>
  <c r="AU62" i="522"/>
  <c r="AU66" i="522"/>
  <c r="AU69" i="522"/>
  <c r="AU50" i="522"/>
  <c r="AU60" i="522"/>
  <c r="AU64" i="522"/>
  <c r="AU49" i="522"/>
  <c r="AU44" i="522"/>
  <c r="AU63" i="522"/>
  <c r="AU35" i="522"/>
  <c r="AU59" i="522"/>
  <c r="AV103" i="522" l="1"/>
  <c r="D103" i="526" s="1"/>
  <c r="AE103" i="526" s="1"/>
  <c r="AH103" i="526" s="1"/>
  <c r="I103" i="526" s="1"/>
  <c r="AW103" i="522"/>
  <c r="AV101" i="522"/>
  <c r="D101" i="526" s="1"/>
  <c r="AE101" i="526" s="1"/>
  <c r="AH101" i="526" s="1"/>
  <c r="I101" i="526" s="1"/>
  <c r="AV102" i="522"/>
  <c r="AV99" i="522"/>
  <c r="D99" i="526" s="1"/>
  <c r="AE99" i="526" s="1"/>
  <c r="AH99" i="526" s="1"/>
  <c r="I99" i="526" s="1"/>
  <c r="AV100" i="522"/>
  <c r="AV97" i="522"/>
  <c r="AV88" i="522"/>
  <c r="D88" i="526" s="1"/>
  <c r="AE88" i="526" s="1"/>
  <c r="AH88" i="526" s="1"/>
  <c r="I88" i="526" s="1"/>
  <c r="AV86" i="522"/>
  <c r="D86" i="526" s="1"/>
  <c r="AE86" i="526" s="1"/>
  <c r="AH86" i="526" s="1"/>
  <c r="I86" i="526" s="1"/>
  <c r="AV84" i="522"/>
  <c r="D84" i="526" s="1"/>
  <c r="AE84" i="526" s="1"/>
  <c r="AH84" i="526" s="1"/>
  <c r="I84" i="526" s="1"/>
  <c r="AV83" i="522"/>
  <c r="D83" i="526" s="1"/>
  <c r="AE83" i="526" s="1"/>
  <c r="AH83" i="526" s="1"/>
  <c r="I83" i="526" s="1"/>
  <c r="AV81" i="522"/>
  <c r="AW81" i="522" s="1"/>
  <c r="AV79" i="522"/>
  <c r="D79" i="526" s="1"/>
  <c r="AE79" i="526" s="1"/>
  <c r="AH79" i="526" s="1"/>
  <c r="I79" i="526" s="1"/>
  <c r="AV77" i="522"/>
  <c r="D77" i="526" s="1"/>
  <c r="AE77" i="526" s="1"/>
  <c r="AH77" i="526" s="1"/>
  <c r="I77" i="526" s="1"/>
  <c r="AV76" i="522"/>
  <c r="D76" i="526" s="1"/>
  <c r="AE76" i="526" s="1"/>
  <c r="AH76" i="526" s="1"/>
  <c r="I76" i="526" s="1"/>
  <c r="AV72" i="522"/>
  <c r="AV71" i="522"/>
  <c r="D71" i="526" s="1"/>
  <c r="AE71" i="526" s="1"/>
  <c r="AH71" i="526" s="1"/>
  <c r="I71" i="526" s="1"/>
  <c r="AV68" i="522"/>
  <c r="D68" i="526" s="1"/>
  <c r="AE68" i="526" s="1"/>
  <c r="AH68" i="526" s="1"/>
  <c r="I68" i="526" s="1"/>
  <c r="AV69" i="522"/>
  <c r="AW68" i="522"/>
  <c r="AV50" i="522"/>
  <c r="AW50" i="522" s="1"/>
  <c r="AV49" i="522"/>
  <c r="D49" i="526" s="1"/>
  <c r="AE49" i="526" s="1"/>
  <c r="AH49" i="526" s="1"/>
  <c r="I49" i="526" s="1"/>
  <c r="AV64" i="522"/>
  <c r="D64" i="526" s="1"/>
  <c r="AE64" i="526" s="1"/>
  <c r="AH64" i="526" s="1"/>
  <c r="I64" i="526" s="1"/>
  <c r="AV60" i="522"/>
  <c r="D60" i="526" s="1"/>
  <c r="AE60" i="526" s="1"/>
  <c r="AH60" i="526" s="1"/>
  <c r="I60" i="526" s="1"/>
  <c r="AV59" i="522"/>
  <c r="AV66" i="522"/>
  <c r="AW66" i="522" s="1"/>
  <c r="AV63" i="522"/>
  <c r="AV62" i="522"/>
  <c r="D62" i="526" s="1"/>
  <c r="AE62" i="526" s="1"/>
  <c r="AH62" i="526" s="1"/>
  <c r="I62" i="526" s="1"/>
  <c r="AV35" i="522"/>
  <c r="AV44" i="522"/>
  <c r="AW101" i="522" l="1"/>
  <c r="D102" i="526"/>
  <c r="AE102" i="526" s="1"/>
  <c r="AH102" i="526" s="1"/>
  <c r="I102" i="526" s="1"/>
  <c r="AW102" i="522"/>
  <c r="AW99" i="522"/>
  <c r="D100" i="526"/>
  <c r="AE100" i="526" s="1"/>
  <c r="AH100" i="526" s="1"/>
  <c r="I100" i="526" s="1"/>
  <c r="AW100" i="522"/>
  <c r="D97" i="526"/>
  <c r="AE97" i="526" s="1"/>
  <c r="AH97" i="526" s="1"/>
  <c r="I97" i="526" s="1"/>
  <c r="AW97" i="522"/>
  <c r="AW88" i="522"/>
  <c r="AW86" i="522"/>
  <c r="AW84" i="522"/>
  <c r="AW83" i="522"/>
  <c r="D81" i="526"/>
  <c r="AE81" i="526" s="1"/>
  <c r="AH81" i="526" s="1"/>
  <c r="I81" i="526" s="1"/>
  <c r="AW79" i="522"/>
  <c r="AW77" i="522"/>
  <c r="AW76" i="522"/>
  <c r="D72" i="526"/>
  <c r="AE72" i="526" s="1"/>
  <c r="AH72" i="526" s="1"/>
  <c r="I72" i="526" s="1"/>
  <c r="AW72" i="522"/>
  <c r="AW71" i="522"/>
  <c r="D69" i="526"/>
  <c r="AE69" i="526" s="1"/>
  <c r="AH69" i="526" s="1"/>
  <c r="I69" i="526" s="1"/>
  <c r="AW69" i="522"/>
  <c r="D50" i="526"/>
  <c r="AE50" i="526" s="1"/>
  <c r="AH50" i="526" s="1"/>
  <c r="I50" i="526" s="1"/>
  <c r="AW49" i="522"/>
  <c r="AW64" i="522"/>
  <c r="AW60" i="522"/>
  <c r="D59" i="526"/>
  <c r="AE59" i="526" s="1"/>
  <c r="AH59" i="526" s="1"/>
  <c r="I59" i="526" s="1"/>
  <c r="AW59" i="522"/>
  <c r="D66" i="526"/>
  <c r="AE66" i="526" s="1"/>
  <c r="AH66" i="526" s="1"/>
  <c r="I66" i="526" s="1"/>
  <c r="D63" i="526"/>
  <c r="AE63" i="526" s="1"/>
  <c r="AH63" i="526" s="1"/>
  <c r="I63" i="526" s="1"/>
  <c r="AW63" i="522"/>
  <c r="AW62" i="522"/>
  <c r="D35" i="526"/>
  <c r="AE35" i="526" s="1"/>
  <c r="AH35" i="526" s="1"/>
  <c r="I35" i="526" s="1"/>
  <c r="AW35" i="522"/>
  <c r="D44" i="526"/>
  <c r="AE44" i="526" s="1"/>
  <c r="AH44" i="526" s="1"/>
  <c r="I44" i="526" s="1"/>
  <c r="AW44" i="522"/>
  <c r="Z103" i="526" l="1"/>
  <c r="D103" i="539" s="1"/>
  <c r="G103" i="539" s="1"/>
  <c r="Y103" i="526"/>
  <c r="Z102" i="526"/>
  <c r="D102" i="539" s="1"/>
  <c r="G102" i="539" s="1"/>
  <c r="Y102" i="526"/>
  <c r="Y101" i="526"/>
  <c r="Z101" i="526"/>
  <c r="D101" i="539" s="1"/>
  <c r="G101" i="539" s="1"/>
  <c r="Y100" i="526"/>
  <c r="Z100" i="526"/>
  <c r="D100" i="539" s="1"/>
  <c r="G100" i="539" s="1"/>
  <c r="Y99" i="526"/>
  <c r="Z99" i="526"/>
  <c r="D99" i="539" s="1"/>
  <c r="G99" i="539" s="1"/>
  <c r="Y97" i="526"/>
  <c r="Z97" i="526" s="1"/>
  <c r="D97" i="539" s="1"/>
  <c r="G97" i="539" s="1"/>
  <c r="Y88" i="526"/>
  <c r="Z88" i="526" s="1"/>
  <c r="D88" i="539" s="1"/>
  <c r="G88" i="539" s="1"/>
  <c r="Y86" i="526"/>
  <c r="Z86" i="526" s="1"/>
  <c r="D86" i="539" s="1"/>
  <c r="G86" i="539" s="1"/>
  <c r="Y84" i="526"/>
  <c r="Z84" i="526" s="1"/>
  <c r="D84" i="539" s="1"/>
  <c r="G84" i="539" s="1"/>
  <c r="Y83" i="526"/>
  <c r="Z83" i="526" s="1"/>
  <c r="D83" i="539" s="1"/>
  <c r="G83" i="539" s="1"/>
  <c r="Y81" i="526"/>
  <c r="Z81" i="526" s="1"/>
  <c r="D81" i="539" s="1"/>
  <c r="G81" i="539" s="1"/>
  <c r="Y79" i="526"/>
  <c r="Z79" i="526" s="1"/>
  <c r="D79" i="539" s="1"/>
  <c r="G79" i="539" s="1"/>
  <c r="Y77" i="526"/>
  <c r="Z77" i="526" s="1"/>
  <c r="D77" i="539" s="1"/>
  <c r="G77" i="539" s="1"/>
  <c r="Y76" i="526"/>
  <c r="Z76" i="526" s="1"/>
  <c r="D76" i="539" s="1"/>
  <c r="G76" i="539" s="1"/>
  <c r="Y72" i="526"/>
  <c r="Z72" i="526" s="1"/>
  <c r="D72" i="539" s="1"/>
  <c r="G72" i="539" s="1"/>
  <c r="Y71" i="526"/>
  <c r="Z71" i="526" s="1"/>
  <c r="D71" i="539" s="1"/>
  <c r="G71" i="539" s="1"/>
  <c r="Y69" i="526"/>
  <c r="Z69" i="526" s="1"/>
  <c r="D69" i="539" s="1"/>
  <c r="G69" i="539" s="1"/>
  <c r="Z68" i="526"/>
  <c r="D68" i="539" s="1"/>
  <c r="G68" i="539" s="1"/>
  <c r="Y68" i="526"/>
  <c r="Y50" i="526"/>
  <c r="Z50" i="526" s="1"/>
  <c r="D50" i="539" s="1"/>
  <c r="G50" i="539" s="1"/>
  <c r="Y49" i="526"/>
  <c r="Y64" i="526"/>
  <c r="Y59" i="526"/>
  <c r="Y60" i="526"/>
  <c r="Y66" i="526"/>
  <c r="Y63" i="526"/>
  <c r="Y35" i="526"/>
  <c r="Y62" i="526"/>
  <c r="Y44" i="526"/>
  <c r="I103" i="539" l="1"/>
  <c r="J103" i="539"/>
  <c r="I102" i="539"/>
  <c r="J102" i="539"/>
  <c r="J101" i="539"/>
  <c r="I101" i="539"/>
  <c r="I100" i="539"/>
  <c r="J100" i="539"/>
  <c r="J99" i="539"/>
  <c r="I99" i="539"/>
  <c r="J97" i="539"/>
  <c r="I97" i="539"/>
  <c r="I88" i="539"/>
  <c r="J88" i="539"/>
  <c r="J86" i="539"/>
  <c r="I86" i="539"/>
  <c r="I84" i="539"/>
  <c r="J84" i="539"/>
  <c r="J83" i="539"/>
  <c r="I83" i="539"/>
  <c r="J81" i="539"/>
  <c r="I81" i="539"/>
  <c r="I79" i="539"/>
  <c r="J79" i="539"/>
  <c r="I77" i="539"/>
  <c r="J77" i="539"/>
  <c r="I76" i="539"/>
  <c r="J76" i="539"/>
  <c r="J72" i="539"/>
  <c r="I72" i="539"/>
  <c r="I71" i="539"/>
  <c r="J71" i="539"/>
  <c r="J69" i="539"/>
  <c r="I69" i="539"/>
  <c r="J68" i="539"/>
  <c r="I68" i="539"/>
  <c r="J50" i="539"/>
  <c r="I50" i="539"/>
  <c r="Z64" i="526"/>
  <c r="Z66" i="526"/>
  <c r="Z49" i="526"/>
  <c r="D49" i="539" s="1"/>
  <c r="G49" i="539" s="1"/>
  <c r="Z62" i="526"/>
  <c r="D62" i="539" s="1"/>
  <c r="G62" i="539" s="1"/>
  <c r="Z60" i="526"/>
  <c r="D60" i="539" s="1"/>
  <c r="G60" i="539" s="1"/>
  <c r="Z44" i="526"/>
  <c r="D44" i="539" s="1"/>
  <c r="G44" i="539" s="1"/>
  <c r="Z35" i="526"/>
  <c r="D35" i="539" s="1"/>
  <c r="G35" i="539" s="1"/>
  <c r="Z63" i="526"/>
  <c r="Z59" i="526"/>
  <c r="D66" i="539" l="1"/>
  <c r="G66" i="539" s="1"/>
  <c r="J66" i="539" s="1"/>
  <c r="D59" i="539"/>
  <c r="G59" i="539" s="1"/>
  <c r="J59" i="539" s="1"/>
  <c r="D63" i="539"/>
  <c r="G63" i="539" s="1"/>
  <c r="J63" i="539" s="1"/>
  <c r="D64" i="539"/>
  <c r="G64" i="539" s="1"/>
  <c r="I64" i="539" s="1"/>
  <c r="J49" i="539"/>
  <c r="I49" i="539"/>
  <c r="J60" i="539"/>
  <c r="I60" i="539"/>
  <c r="J35" i="539"/>
  <c r="I35" i="539"/>
  <c r="I62" i="539"/>
  <c r="J62" i="539"/>
  <c r="J44" i="539"/>
  <c r="I44" i="539"/>
  <c r="I66" i="539" l="1"/>
  <c r="I59" i="539"/>
  <c r="I63" i="539"/>
  <c r="J64" i="539"/>
  <c r="K103" i="539" l="1"/>
  <c r="L103" i="539" s="1"/>
  <c r="K102" i="539"/>
  <c r="L102" i="539" s="1"/>
  <c r="K101" i="539"/>
  <c r="L101" i="539" s="1"/>
  <c r="K100" i="539"/>
  <c r="L100" i="539" s="1"/>
  <c r="K99" i="539"/>
  <c r="L99" i="539" s="1"/>
  <c r="K97" i="539"/>
  <c r="L97" i="539" s="1"/>
  <c r="K88" i="539"/>
  <c r="L88" i="539" s="1"/>
  <c r="K86" i="539"/>
  <c r="L86" i="539" s="1"/>
  <c r="K84" i="539"/>
  <c r="L84" i="539" s="1"/>
  <c r="K83" i="539"/>
  <c r="L83" i="539" s="1"/>
  <c r="K81" i="539"/>
  <c r="L81" i="539" s="1"/>
  <c r="K79" i="539"/>
  <c r="L79" i="539" s="1"/>
  <c r="K77" i="539"/>
  <c r="L77" i="539" s="1"/>
  <c r="K76" i="539"/>
  <c r="L76" i="539" s="1"/>
  <c r="K72" i="539"/>
  <c r="L72" i="539" s="1"/>
  <c r="K71" i="539"/>
  <c r="L71" i="539" s="1"/>
  <c r="K69" i="539"/>
  <c r="L69" i="539" s="1"/>
  <c r="K68" i="539"/>
  <c r="L68" i="539" s="1"/>
  <c r="K50" i="539"/>
  <c r="L50" i="539" s="1"/>
  <c r="K49" i="539"/>
  <c r="L49" i="539" s="1"/>
  <c r="K64" i="539"/>
  <c r="L64" i="539" s="1"/>
  <c r="K59" i="539"/>
  <c r="L59" i="539" s="1"/>
  <c r="K60" i="539"/>
  <c r="L60" i="539" s="1"/>
  <c r="K66" i="539"/>
  <c r="L66" i="539" s="1"/>
  <c r="K63" i="539"/>
  <c r="L63" i="539" s="1"/>
  <c r="K62" i="539"/>
  <c r="L62" i="539" s="1"/>
  <c r="K35" i="539"/>
  <c r="L35" i="539" s="1"/>
  <c r="K44" i="539"/>
  <c r="L44" i="539" s="1"/>
  <c r="Y103" i="539" l="1"/>
  <c r="Z103" i="539"/>
  <c r="Y101" i="539"/>
  <c r="Y102" i="539"/>
  <c r="Y99" i="539"/>
  <c r="Z99" i="539" s="1"/>
  <c r="Y100" i="539"/>
  <c r="Y97" i="539"/>
  <c r="Y88" i="539"/>
  <c r="Y86" i="539"/>
  <c r="Y83" i="539"/>
  <c r="Y84" i="539"/>
  <c r="Y81" i="539"/>
  <c r="Y79" i="539"/>
  <c r="Y76" i="539"/>
  <c r="Y77" i="539"/>
  <c r="Y72" i="539"/>
  <c r="Z72" i="539" s="1"/>
  <c r="Y71" i="539"/>
  <c r="Z71" i="539" s="1"/>
  <c r="Y69" i="539"/>
  <c r="Z69" i="539" s="1"/>
  <c r="Y68" i="539"/>
  <c r="Y50" i="539"/>
  <c r="Y49" i="539"/>
  <c r="Y64" i="539"/>
  <c r="Y59" i="539"/>
  <c r="Z59" i="539" s="1"/>
  <c r="Y60" i="539"/>
  <c r="Y63" i="539"/>
  <c r="Z63" i="539" s="1"/>
  <c r="Y66" i="539"/>
  <c r="Y35" i="539"/>
  <c r="Z35" i="539" s="1"/>
  <c r="Y62" i="539"/>
  <c r="Y44" i="539"/>
  <c r="Z101" i="539" l="1"/>
  <c r="Z102" i="539"/>
  <c r="Z100" i="539"/>
  <c r="Z97" i="539"/>
  <c r="Z88" i="539"/>
  <c r="Z86" i="539"/>
  <c r="Z83" i="539"/>
  <c r="Z84" i="539"/>
  <c r="Z81" i="539"/>
  <c r="Z79" i="539"/>
  <c r="Z76" i="539"/>
  <c r="Z77" i="539"/>
  <c r="Z68" i="539"/>
  <c r="Z50" i="539"/>
  <c r="Z49" i="539"/>
  <c r="Z64" i="539"/>
  <c r="Z60" i="539"/>
  <c r="Z66" i="539"/>
  <c r="Z62" i="539"/>
  <c r="Z44" i="539"/>
  <c r="E102" i="528" l="1"/>
  <c r="E100" i="528"/>
  <c r="E97" i="528"/>
  <c r="E88" i="528"/>
  <c r="E86" i="528"/>
  <c r="E84" i="528"/>
  <c r="E83" i="528"/>
  <c r="E81" i="528"/>
  <c r="E79" i="528"/>
  <c r="E77" i="528"/>
  <c r="E68" i="528"/>
  <c r="E50" i="528"/>
  <c r="E103" i="528" l="1"/>
  <c r="F102" i="528"/>
  <c r="G102" i="528"/>
  <c r="E101" i="528"/>
  <c r="G100" i="528"/>
  <c r="F100" i="528"/>
  <c r="E99" i="528"/>
  <c r="F97" i="528"/>
  <c r="G97" i="528"/>
  <c r="F88" i="528"/>
  <c r="G88" i="528"/>
  <c r="F86" i="528"/>
  <c r="G86" i="528"/>
  <c r="F84" i="528"/>
  <c r="G84" i="528"/>
  <c r="F83" i="528"/>
  <c r="G83" i="528"/>
  <c r="F81" i="528"/>
  <c r="G81" i="528"/>
  <c r="G79" i="528"/>
  <c r="F79" i="528"/>
  <c r="F77" i="528"/>
  <c r="G77" i="528"/>
  <c r="E76" i="528"/>
  <c r="F76" i="528" s="1"/>
  <c r="E72" i="528"/>
  <c r="E71" i="528"/>
  <c r="F71" i="528" s="1"/>
  <c r="E69" i="528"/>
  <c r="F68" i="528"/>
  <c r="G68" i="528"/>
  <c r="G50" i="528"/>
  <c r="F50" i="528"/>
  <c r="E59" i="528"/>
  <c r="E35" i="528"/>
  <c r="E44" i="528"/>
  <c r="E49" i="528"/>
  <c r="E63" i="528"/>
  <c r="E64" i="528"/>
  <c r="E66" i="528"/>
  <c r="E60" i="528"/>
  <c r="E62" i="528"/>
  <c r="F103" i="528" l="1"/>
  <c r="G103" i="528"/>
  <c r="H102" i="528"/>
  <c r="F101" i="528"/>
  <c r="G101" i="528"/>
  <c r="H100" i="528"/>
  <c r="J100" i="528" s="1"/>
  <c r="F99" i="528"/>
  <c r="G99" i="528"/>
  <c r="H88" i="528"/>
  <c r="H83" i="528"/>
  <c r="H79" i="528"/>
  <c r="J79" i="528" s="1"/>
  <c r="G76" i="528"/>
  <c r="H76" i="528" s="1"/>
  <c r="G72" i="528"/>
  <c r="F72" i="528"/>
  <c r="G71" i="528"/>
  <c r="G69" i="528"/>
  <c r="F69" i="528"/>
  <c r="H68" i="528"/>
  <c r="I68" i="528" s="1"/>
  <c r="F63" i="528"/>
  <c r="G63" i="528"/>
  <c r="G44" i="528"/>
  <c r="F44" i="528"/>
  <c r="G64" i="528"/>
  <c r="F64" i="528"/>
  <c r="F35" i="528"/>
  <c r="G35" i="528"/>
  <c r="G60" i="528"/>
  <c r="F60" i="528"/>
  <c r="G66" i="528"/>
  <c r="F66" i="528"/>
  <c r="G62" i="528"/>
  <c r="F62" i="528"/>
  <c r="G49" i="528"/>
  <c r="F49" i="528"/>
  <c r="F59" i="528"/>
  <c r="G59" i="528"/>
  <c r="H103" i="528" l="1"/>
  <c r="J102" i="528"/>
  <c r="I102" i="528"/>
  <c r="H101" i="528"/>
  <c r="I100" i="528"/>
  <c r="K100" i="528" s="1"/>
  <c r="M100" i="528" s="1"/>
  <c r="H99" i="528"/>
  <c r="J99" i="528" s="1"/>
  <c r="J88" i="528"/>
  <c r="I88" i="528"/>
  <c r="I83" i="528"/>
  <c r="J83" i="528"/>
  <c r="I79" i="528"/>
  <c r="K79" i="528" s="1"/>
  <c r="M79" i="528" s="1"/>
  <c r="I76" i="528"/>
  <c r="J76" i="528"/>
  <c r="H72" i="528"/>
  <c r="J72" i="528" s="1"/>
  <c r="J68" i="528"/>
  <c r="K68" i="528" s="1"/>
  <c r="M131" i="535"/>
  <c r="L131" i="535"/>
  <c r="H97" i="528" l="1"/>
  <c r="J103" i="528"/>
  <c r="I103" i="528"/>
  <c r="K102" i="528"/>
  <c r="M102" i="528" s="1"/>
  <c r="J101" i="528"/>
  <c r="I101" i="528"/>
  <c r="L100" i="528"/>
  <c r="I99" i="528"/>
  <c r="K99" i="528" s="1"/>
  <c r="M99" i="528" s="1"/>
  <c r="H86" i="528"/>
  <c r="K88" i="528"/>
  <c r="M88" i="528" s="1"/>
  <c r="H77" i="528"/>
  <c r="I77" i="528" s="1"/>
  <c r="H84" i="528"/>
  <c r="J84" i="528" s="1"/>
  <c r="K83" i="528"/>
  <c r="M83" i="528" s="1"/>
  <c r="H81" i="528"/>
  <c r="I81" i="528" s="1"/>
  <c r="L79" i="528"/>
  <c r="N79" i="528" s="1"/>
  <c r="K76" i="528"/>
  <c r="I72" i="528"/>
  <c r="K72" i="528" s="1"/>
  <c r="M72" i="528" s="1"/>
  <c r="H71" i="528"/>
  <c r="H69" i="528"/>
  <c r="J69" i="528" s="1"/>
  <c r="M68" i="528"/>
  <c r="L68" i="528"/>
  <c r="H50" i="528"/>
  <c r="H60" i="528"/>
  <c r="H63" i="528"/>
  <c r="H66" i="528"/>
  <c r="H59" i="528"/>
  <c r="H44" i="528"/>
  <c r="H35" i="528"/>
  <c r="H62" i="528"/>
  <c r="H49" i="528"/>
  <c r="H64" i="528"/>
  <c r="J97" i="528" l="1"/>
  <c r="I97" i="528"/>
  <c r="K103" i="528"/>
  <c r="M103" i="528" s="1"/>
  <c r="L102" i="528"/>
  <c r="N102" i="528" s="1"/>
  <c r="K101" i="528"/>
  <c r="M101" i="528" s="1"/>
  <c r="N100" i="528"/>
  <c r="P100" i="528" s="1"/>
  <c r="L99" i="528"/>
  <c r="J86" i="528"/>
  <c r="I86" i="528"/>
  <c r="L88" i="528"/>
  <c r="J77" i="528"/>
  <c r="I84" i="528"/>
  <c r="L83" i="528"/>
  <c r="N83" i="528" s="1"/>
  <c r="J81" i="528"/>
  <c r="P79" i="528"/>
  <c r="O79" i="528"/>
  <c r="M76" i="528"/>
  <c r="L76" i="528"/>
  <c r="L72" i="528"/>
  <c r="J71" i="528"/>
  <c r="I71" i="528"/>
  <c r="I69" i="528"/>
  <c r="N68" i="528"/>
  <c r="P68" i="528" s="1"/>
  <c r="J50" i="528"/>
  <c r="I50" i="528"/>
  <c r="I62" i="528"/>
  <c r="J62" i="528"/>
  <c r="J66" i="528"/>
  <c r="I66" i="528"/>
  <c r="I63" i="528"/>
  <c r="J63" i="528"/>
  <c r="J44" i="528"/>
  <c r="I44" i="528"/>
  <c r="J60" i="528"/>
  <c r="I60" i="528"/>
  <c r="I35" i="528"/>
  <c r="J35" i="528"/>
  <c r="I49" i="528"/>
  <c r="J49" i="528"/>
  <c r="I59" i="528"/>
  <c r="J59" i="528"/>
  <c r="J64" i="528"/>
  <c r="I64" i="528"/>
  <c r="K97" i="528" l="1"/>
  <c r="L103" i="528"/>
  <c r="N103" i="528" s="1"/>
  <c r="P102" i="528"/>
  <c r="O102" i="528"/>
  <c r="L101" i="528"/>
  <c r="N101" i="528" s="1"/>
  <c r="O100" i="528"/>
  <c r="N99" i="528"/>
  <c r="P99" i="528" s="1"/>
  <c r="K86" i="528"/>
  <c r="N88" i="528"/>
  <c r="P88" i="528" s="1"/>
  <c r="K77" i="528"/>
  <c r="K84" i="528"/>
  <c r="P83" i="528"/>
  <c r="O83" i="528"/>
  <c r="K81" i="528"/>
  <c r="M81" i="528" s="1"/>
  <c r="Q79" i="528"/>
  <c r="S79" i="528" s="1"/>
  <c r="N76" i="528"/>
  <c r="P76" i="528" s="1"/>
  <c r="N72" i="528"/>
  <c r="P72" i="528" s="1"/>
  <c r="K71" i="528"/>
  <c r="K69" i="528"/>
  <c r="O68" i="528"/>
  <c r="K50" i="528"/>
  <c r="K64" i="528"/>
  <c r="M64" i="528" s="1"/>
  <c r="K60" i="528"/>
  <c r="K44" i="528"/>
  <c r="K63" i="528"/>
  <c r="K66" i="528"/>
  <c r="K59" i="528"/>
  <c r="K49" i="528"/>
  <c r="K35" i="528"/>
  <c r="K62" i="528"/>
  <c r="M97" i="528" l="1"/>
  <c r="L97" i="528"/>
  <c r="P103" i="528"/>
  <c r="O103" i="528"/>
  <c r="Q102" i="528"/>
  <c r="S102" i="528" s="1"/>
  <c r="P101" i="528"/>
  <c r="O101" i="528"/>
  <c r="Q100" i="528"/>
  <c r="S100" i="528" s="1"/>
  <c r="O99" i="528"/>
  <c r="M86" i="528"/>
  <c r="L86" i="528"/>
  <c r="O88" i="528"/>
  <c r="Q88" i="528" s="1"/>
  <c r="S88" i="528" s="1"/>
  <c r="M77" i="528"/>
  <c r="L77" i="528"/>
  <c r="M84" i="528"/>
  <c r="L84" i="528"/>
  <c r="Q83" i="528"/>
  <c r="S83" i="528" s="1"/>
  <c r="L81" i="528"/>
  <c r="R79" i="528"/>
  <c r="T79" i="528" s="1"/>
  <c r="U79" i="528" s="1"/>
  <c r="O76" i="528"/>
  <c r="O72" i="528"/>
  <c r="Q72" i="528" s="1"/>
  <c r="M71" i="528"/>
  <c r="L71" i="528"/>
  <c r="M69" i="528"/>
  <c r="L69" i="528"/>
  <c r="Q68" i="528"/>
  <c r="S68" i="528" s="1"/>
  <c r="M50" i="528"/>
  <c r="L50" i="528"/>
  <c r="L64" i="528"/>
  <c r="L59" i="528"/>
  <c r="M59" i="528"/>
  <c r="L60" i="528"/>
  <c r="M60" i="528"/>
  <c r="M35" i="528"/>
  <c r="L35" i="528"/>
  <c r="M62" i="528"/>
  <c r="L62" i="528"/>
  <c r="M49" i="528"/>
  <c r="L49" i="528"/>
  <c r="M66" i="528"/>
  <c r="L66" i="528"/>
  <c r="M63" i="528"/>
  <c r="L63" i="528"/>
  <c r="M44" i="528"/>
  <c r="L44" i="528"/>
  <c r="N97" i="528" l="1"/>
  <c r="Q103" i="528"/>
  <c r="S103" i="528" s="1"/>
  <c r="R102" i="528"/>
  <c r="T102" i="528" s="1"/>
  <c r="U102" i="528" s="1"/>
  <c r="Q101" i="528"/>
  <c r="S101" i="528" s="1"/>
  <c r="R100" i="528"/>
  <c r="T100" i="528" s="1"/>
  <c r="U100" i="528" s="1"/>
  <c r="Q99" i="528"/>
  <c r="S99" i="528" s="1"/>
  <c r="N86" i="528"/>
  <c r="R88" i="528"/>
  <c r="T88" i="528" s="1"/>
  <c r="U88" i="528" s="1"/>
  <c r="N77" i="528"/>
  <c r="N84" i="528"/>
  <c r="R83" i="528"/>
  <c r="T83" i="528" s="1"/>
  <c r="U83" i="528" s="1"/>
  <c r="N81" i="528"/>
  <c r="D79" i="529"/>
  <c r="Q76" i="528"/>
  <c r="S76" i="528" s="1"/>
  <c r="S72" i="528"/>
  <c r="R72" i="528"/>
  <c r="N71" i="528"/>
  <c r="N69" i="528"/>
  <c r="R68" i="528"/>
  <c r="T68" i="528" s="1"/>
  <c r="U68" i="528" s="1"/>
  <c r="N50" i="528"/>
  <c r="N64" i="528"/>
  <c r="P64" i="528" s="1"/>
  <c r="N62" i="528"/>
  <c r="N66" i="528"/>
  <c r="N63" i="528"/>
  <c r="N49" i="528"/>
  <c r="N60" i="528"/>
  <c r="N59" i="528"/>
  <c r="N44" i="528"/>
  <c r="N35" i="528"/>
  <c r="P97" i="528" l="1"/>
  <c r="O97" i="528"/>
  <c r="R103" i="528"/>
  <c r="T103" i="528" s="1"/>
  <c r="U103" i="528" s="1"/>
  <c r="D102" i="529"/>
  <c r="R101" i="528"/>
  <c r="T101" i="528" s="1"/>
  <c r="U101" i="528" s="1"/>
  <c r="D100" i="529"/>
  <c r="R99" i="528"/>
  <c r="T99" i="528" s="1"/>
  <c r="U99" i="528" s="1"/>
  <c r="P86" i="528"/>
  <c r="O86" i="528"/>
  <c r="D88" i="529"/>
  <c r="P77" i="528"/>
  <c r="O77" i="528"/>
  <c r="P84" i="528"/>
  <c r="O84" i="528"/>
  <c r="D83" i="529"/>
  <c r="P81" i="528"/>
  <c r="O81" i="528"/>
  <c r="F79" i="529"/>
  <c r="G79" i="529" s="1"/>
  <c r="R76" i="528"/>
  <c r="T76" i="528" s="1"/>
  <c r="U76" i="528" s="1"/>
  <c r="T72" i="528"/>
  <c r="U72" i="528" s="1"/>
  <c r="D72" i="529" s="1"/>
  <c r="P71" i="528"/>
  <c r="O71" i="528"/>
  <c r="P69" i="528"/>
  <c r="O69" i="528"/>
  <c r="D68" i="529"/>
  <c r="P50" i="528"/>
  <c r="O50" i="528"/>
  <c r="O64" i="528"/>
  <c r="P35" i="528"/>
  <c r="O35" i="528"/>
  <c r="P62" i="528"/>
  <c r="O62" i="528"/>
  <c r="O49" i="528"/>
  <c r="P49" i="528"/>
  <c r="O63" i="528"/>
  <c r="P63" i="528"/>
  <c r="P59" i="528"/>
  <c r="O59" i="528"/>
  <c r="P60" i="528"/>
  <c r="O60" i="528"/>
  <c r="P44" i="528"/>
  <c r="O44" i="528"/>
  <c r="P66" i="528"/>
  <c r="O66" i="528"/>
  <c r="Q97" i="528" l="1"/>
  <c r="D103" i="529"/>
  <c r="F102" i="529"/>
  <c r="G102" i="529" s="1"/>
  <c r="D101" i="529"/>
  <c r="F100" i="529"/>
  <c r="D99" i="529"/>
  <c r="Q86" i="528"/>
  <c r="F88" i="529"/>
  <c r="Q77" i="528"/>
  <c r="Q84" i="528"/>
  <c r="F83" i="529"/>
  <c r="G83" i="529" s="1"/>
  <c r="Q81" i="528"/>
  <c r="T79" i="532"/>
  <c r="E79" i="531"/>
  <c r="F79" i="531" s="1"/>
  <c r="D76" i="529"/>
  <c r="F72" i="529"/>
  <c r="G72" i="529" s="1"/>
  <c r="Q71" i="528"/>
  <c r="Q69" i="528"/>
  <c r="F68" i="529"/>
  <c r="G68" i="529" s="1"/>
  <c r="Q50" i="528"/>
  <c r="Q35" i="528"/>
  <c r="S35" i="528" s="1"/>
  <c r="Q49" i="528"/>
  <c r="Q44" i="528"/>
  <c r="Q64" i="528"/>
  <c r="Q63" i="528"/>
  <c r="Q62" i="528"/>
  <c r="Q66" i="528"/>
  <c r="Q60" i="528"/>
  <c r="Q59" i="528"/>
  <c r="S97" i="528" l="1"/>
  <c r="R97" i="528"/>
  <c r="F103" i="529"/>
  <c r="T102" i="532"/>
  <c r="E102" i="531"/>
  <c r="F102" i="531" s="1"/>
  <c r="F101" i="529"/>
  <c r="G101" i="529" s="1"/>
  <c r="T100" i="532"/>
  <c r="E100" i="531"/>
  <c r="F100" i="531" s="1"/>
  <c r="G100" i="529"/>
  <c r="F99" i="529"/>
  <c r="G99" i="529" s="1"/>
  <c r="S86" i="528"/>
  <c r="R86" i="528"/>
  <c r="T88" i="532"/>
  <c r="E88" i="531"/>
  <c r="F88" i="531" s="1"/>
  <c r="G88" i="529"/>
  <c r="S77" i="528"/>
  <c r="R77" i="528"/>
  <c r="S84" i="528"/>
  <c r="R84" i="528"/>
  <c r="T83" i="532"/>
  <c r="E83" i="531"/>
  <c r="F83" i="531" s="1"/>
  <c r="S81" i="528"/>
  <c r="R81" i="528"/>
  <c r="F76" i="529"/>
  <c r="G76" i="529" s="1"/>
  <c r="T72" i="532"/>
  <c r="E72" i="531"/>
  <c r="F72" i="531" s="1"/>
  <c r="S71" i="528"/>
  <c r="R71" i="528"/>
  <c r="R69" i="528"/>
  <c r="S69" i="528"/>
  <c r="T68" i="532"/>
  <c r="E68" i="531"/>
  <c r="F68" i="531" s="1"/>
  <c r="S50" i="528"/>
  <c r="R50" i="528"/>
  <c r="R35" i="528"/>
  <c r="S59" i="528"/>
  <c r="R59" i="528"/>
  <c r="R64" i="528"/>
  <c r="S64" i="528"/>
  <c r="S62" i="528"/>
  <c r="R62" i="528"/>
  <c r="S44" i="528"/>
  <c r="R44" i="528"/>
  <c r="S60" i="528"/>
  <c r="R60" i="528"/>
  <c r="R66" i="528"/>
  <c r="S66" i="528"/>
  <c r="S63" i="528"/>
  <c r="R63" i="528"/>
  <c r="S49" i="528"/>
  <c r="R49" i="528"/>
  <c r="T97" i="528" l="1"/>
  <c r="U97" i="528" s="1"/>
  <c r="D97" i="529" s="1"/>
  <c r="F97" i="529" s="1"/>
  <c r="T103" i="532"/>
  <c r="E103" i="531"/>
  <c r="F103" i="531" s="1"/>
  <c r="G103" i="529"/>
  <c r="T101" i="532"/>
  <c r="E101" i="531"/>
  <c r="F101" i="531" s="1"/>
  <c r="T99" i="532"/>
  <c r="E99" i="531"/>
  <c r="F99" i="531" s="1"/>
  <c r="T86" i="528"/>
  <c r="U86" i="528" s="1"/>
  <c r="D86" i="529" s="1"/>
  <c r="F86" i="529" s="1"/>
  <c r="T77" i="528"/>
  <c r="U77" i="528" s="1"/>
  <c r="D77" i="529" s="1"/>
  <c r="F77" i="529" s="1"/>
  <c r="T84" i="528"/>
  <c r="U84" i="528" s="1"/>
  <c r="D84" i="529" s="1"/>
  <c r="F84" i="529" s="1"/>
  <c r="T81" i="528"/>
  <c r="U81" i="528" s="1"/>
  <c r="D81" i="529" s="1"/>
  <c r="T76" i="532"/>
  <c r="E76" i="531"/>
  <c r="F76" i="531" s="1"/>
  <c r="T71" i="528"/>
  <c r="U71" i="528" s="1"/>
  <c r="D71" i="529" s="1"/>
  <c r="F71" i="529" s="1"/>
  <c r="T69" i="528"/>
  <c r="U69" i="528" s="1"/>
  <c r="D69" i="529" s="1"/>
  <c r="F69" i="529" s="1"/>
  <c r="T50" i="528"/>
  <c r="U50" i="528" s="1"/>
  <c r="D50" i="529" s="1"/>
  <c r="F50" i="529" s="1"/>
  <c r="T49" i="528"/>
  <c r="U49" i="528" s="1"/>
  <c r="D49" i="529" s="1"/>
  <c r="T66" i="528"/>
  <c r="U66" i="528" s="1"/>
  <c r="T62" i="528"/>
  <c r="U62" i="528" s="1"/>
  <c r="T35" i="528"/>
  <c r="U35" i="528" s="1"/>
  <c r="T63" i="528"/>
  <c r="U63" i="528" s="1"/>
  <c r="T60" i="528"/>
  <c r="U60" i="528" s="1"/>
  <c r="T44" i="528"/>
  <c r="U44" i="528" s="1"/>
  <c r="T64" i="528"/>
  <c r="U64" i="528" s="1"/>
  <c r="T59" i="528"/>
  <c r="U59" i="528" s="1"/>
  <c r="G97" i="529" l="1"/>
  <c r="T97" i="532"/>
  <c r="E97" i="531"/>
  <c r="F97" i="531" s="1"/>
  <c r="G86" i="529"/>
  <c r="T86" i="532"/>
  <c r="E86" i="531"/>
  <c r="F86" i="531" s="1"/>
  <c r="G77" i="529"/>
  <c r="T77" i="532"/>
  <c r="E77" i="531"/>
  <c r="F77" i="531" s="1"/>
  <c r="G84" i="529"/>
  <c r="T84" i="532"/>
  <c r="E84" i="531"/>
  <c r="F84" i="531" s="1"/>
  <c r="F81" i="529"/>
  <c r="G81" i="529" s="1"/>
  <c r="G71" i="529"/>
  <c r="T71" i="532"/>
  <c r="E71" i="531"/>
  <c r="F71" i="531" s="1"/>
  <c r="G69" i="529"/>
  <c r="E69" i="531"/>
  <c r="F69" i="531" s="1"/>
  <c r="T69" i="532"/>
  <c r="G50" i="529"/>
  <c r="T50" i="532"/>
  <c r="E50" i="531"/>
  <c r="F50" i="531" s="1"/>
  <c r="D62" i="529"/>
  <c r="D66" i="529"/>
  <c r="F66" i="529" s="1"/>
  <c r="D59" i="529"/>
  <c r="D64" i="529"/>
  <c r="D44" i="529"/>
  <c r="F44" i="529" s="1"/>
  <c r="F49" i="529"/>
  <c r="D60" i="529"/>
  <c r="F60" i="529" s="1"/>
  <c r="D63" i="529"/>
  <c r="D35" i="529"/>
  <c r="Z103" i="528" l="1"/>
  <c r="Z101" i="528"/>
  <c r="Z102" i="528"/>
  <c r="Z99" i="528"/>
  <c r="Z100" i="528"/>
  <c r="Z97" i="528"/>
  <c r="Z88" i="528"/>
  <c r="Z86" i="528"/>
  <c r="Z84" i="528"/>
  <c r="Z83" i="528"/>
  <c r="T81" i="532"/>
  <c r="E81" i="531"/>
  <c r="F81" i="531" s="1"/>
  <c r="Z79" i="528"/>
  <c r="Z81" i="528"/>
  <c r="Z77" i="528"/>
  <c r="Z76" i="528"/>
  <c r="Z72" i="528"/>
  <c r="Z71" i="528"/>
  <c r="Z69" i="528"/>
  <c r="Z68" i="528"/>
  <c r="Z59" i="528"/>
  <c r="Z50" i="528"/>
  <c r="F35" i="529"/>
  <c r="E49" i="531"/>
  <c r="F49" i="531" s="1"/>
  <c r="T49" i="532"/>
  <c r="F64" i="529"/>
  <c r="G64" i="529" s="1"/>
  <c r="Z62" i="528"/>
  <c r="F62" i="529"/>
  <c r="G62" i="529" s="1"/>
  <c r="Z49" i="528"/>
  <c r="Z60" i="528"/>
  <c r="G60" i="529"/>
  <c r="E60" i="531"/>
  <c r="F60" i="531" s="1"/>
  <c r="T60" i="532"/>
  <c r="G44" i="529"/>
  <c r="E44" i="531"/>
  <c r="F44" i="531" s="1"/>
  <c r="T44" i="532"/>
  <c r="F59" i="529"/>
  <c r="G59" i="529" s="1"/>
  <c r="Z66" i="528"/>
  <c r="Z63" i="528"/>
  <c r="Z44" i="528"/>
  <c r="F63" i="529"/>
  <c r="Z35" i="528"/>
  <c r="G49" i="529"/>
  <c r="Z64" i="528"/>
  <c r="G66" i="529"/>
  <c r="T66" i="532"/>
  <c r="E66" i="531"/>
  <c r="F66" i="531" s="1"/>
  <c r="E63" i="531" l="1"/>
  <c r="F63" i="531" s="1"/>
  <c r="T63" i="532"/>
  <c r="E35" i="531"/>
  <c r="F35" i="531" s="1"/>
  <c r="T35" i="532"/>
  <c r="T59" i="532"/>
  <c r="E59" i="531"/>
  <c r="F59" i="531" s="1"/>
  <c r="G63" i="529"/>
  <c r="T62" i="532"/>
  <c r="E62" i="531"/>
  <c r="F62" i="531" s="1"/>
  <c r="E64" i="531"/>
  <c r="F64" i="531" s="1"/>
  <c r="T64" i="532"/>
  <c r="G35" i="529"/>
  <c r="M102" i="529" l="1"/>
  <c r="H102" i="529" s="1"/>
  <c r="D102" i="530" s="1"/>
  <c r="F102" i="530" s="1"/>
  <c r="M103" i="529"/>
  <c r="H103" i="529" s="1"/>
  <c r="D103" i="530" s="1"/>
  <c r="M100" i="529"/>
  <c r="H100" i="529" s="1"/>
  <c r="D100" i="530" s="1"/>
  <c r="F100" i="530" s="1"/>
  <c r="M101" i="529"/>
  <c r="H101" i="529" s="1"/>
  <c r="D101" i="530" s="1"/>
  <c r="M97" i="529"/>
  <c r="H97" i="529" s="1"/>
  <c r="D97" i="530" s="1"/>
  <c r="F97" i="530" s="1"/>
  <c r="M99" i="529"/>
  <c r="H99" i="529" s="1"/>
  <c r="D99" i="530" s="1"/>
  <c r="M88" i="529"/>
  <c r="H88" i="529" s="1"/>
  <c r="D88" i="530" s="1"/>
  <c r="M86" i="529"/>
  <c r="H86" i="529" s="1"/>
  <c r="D86" i="530" s="1"/>
  <c r="M83" i="529"/>
  <c r="H83" i="529" s="1"/>
  <c r="D83" i="530" s="1"/>
  <c r="F83" i="530" s="1"/>
  <c r="M84" i="529"/>
  <c r="H84" i="529" s="1"/>
  <c r="D84" i="530" s="1"/>
  <c r="M81" i="529"/>
  <c r="H81" i="529" s="1"/>
  <c r="D81" i="530" s="1"/>
  <c r="F81" i="530" s="1"/>
  <c r="M79" i="529"/>
  <c r="H79" i="529" s="1"/>
  <c r="D79" i="530" s="1"/>
  <c r="M76" i="529"/>
  <c r="H76" i="529" s="1"/>
  <c r="D76" i="530" s="1"/>
  <c r="F76" i="530" s="1"/>
  <c r="M77" i="529"/>
  <c r="H77" i="529" s="1"/>
  <c r="D77" i="530" s="1"/>
  <c r="M72" i="529"/>
  <c r="H72" i="529" s="1"/>
  <c r="D72" i="530" s="1"/>
  <c r="M71" i="529"/>
  <c r="H71" i="529" s="1"/>
  <c r="D71" i="530" s="1"/>
  <c r="M68" i="529"/>
  <c r="H68" i="529" s="1"/>
  <c r="D68" i="530" s="1"/>
  <c r="M69" i="529"/>
  <c r="H69" i="529" s="1"/>
  <c r="D69" i="530" s="1"/>
  <c r="F68" i="530"/>
  <c r="M50" i="529"/>
  <c r="H50" i="529" s="1"/>
  <c r="D50" i="530" s="1"/>
  <c r="F50" i="530" s="1"/>
  <c r="M44" i="529"/>
  <c r="H44" i="529" s="1"/>
  <c r="D44" i="530" s="1"/>
  <c r="M60" i="529"/>
  <c r="H60" i="529" s="1"/>
  <c r="D60" i="530" s="1"/>
  <c r="M62" i="529"/>
  <c r="H62" i="529" s="1"/>
  <c r="D62" i="530" s="1"/>
  <c r="M35" i="529"/>
  <c r="H35" i="529" s="1"/>
  <c r="D35" i="530" s="1"/>
  <c r="M59" i="529"/>
  <c r="H59" i="529" s="1"/>
  <c r="D59" i="530" s="1"/>
  <c r="M63" i="529"/>
  <c r="H63" i="529" s="1"/>
  <c r="D63" i="530" s="1"/>
  <c r="M49" i="529"/>
  <c r="H49" i="529" s="1"/>
  <c r="D49" i="530" s="1"/>
  <c r="M64" i="529"/>
  <c r="H64" i="529" s="1"/>
  <c r="D64" i="530" s="1"/>
  <c r="M66" i="529"/>
  <c r="H66" i="529" s="1"/>
  <c r="D66" i="530" s="1"/>
  <c r="N131" i="535"/>
  <c r="F103" i="530" l="1"/>
  <c r="F101" i="530"/>
  <c r="F99" i="530"/>
  <c r="F88" i="530"/>
  <c r="F86" i="530"/>
  <c r="F84" i="530"/>
  <c r="F79" i="530"/>
  <c r="F77" i="530"/>
  <c r="F72" i="530"/>
  <c r="F71" i="530"/>
  <c r="F69" i="530"/>
  <c r="F66" i="530"/>
  <c r="F63" i="530"/>
  <c r="F60" i="530"/>
  <c r="F64" i="530"/>
  <c r="F59" i="530"/>
  <c r="F35" i="530"/>
  <c r="F44" i="530"/>
  <c r="F49" i="530"/>
  <c r="F62" i="530"/>
  <c r="L103" i="530" l="1"/>
  <c r="G103" i="530" s="1"/>
  <c r="L101" i="530"/>
  <c r="G101" i="530" s="1"/>
  <c r="G101" i="531" s="1"/>
  <c r="L102" i="530"/>
  <c r="G102" i="530" s="1"/>
  <c r="L99" i="530"/>
  <c r="G99" i="530" s="1"/>
  <c r="L100" i="530"/>
  <c r="G100" i="530" s="1"/>
  <c r="L97" i="530"/>
  <c r="G97" i="530" s="1"/>
  <c r="L88" i="530"/>
  <c r="G88" i="530" s="1"/>
  <c r="L86" i="530"/>
  <c r="G86" i="530" s="1"/>
  <c r="G86" i="531" s="1"/>
  <c r="L84" i="530"/>
  <c r="G84" i="530" s="1"/>
  <c r="G84" i="531" s="1"/>
  <c r="L83" i="530"/>
  <c r="G83" i="530" s="1"/>
  <c r="L79" i="530"/>
  <c r="G79" i="530" s="1"/>
  <c r="L81" i="530"/>
  <c r="G81" i="530" s="1"/>
  <c r="L77" i="530"/>
  <c r="G77" i="530" s="1"/>
  <c r="G77" i="531" s="1"/>
  <c r="L76" i="530"/>
  <c r="G76" i="530" s="1"/>
  <c r="L72" i="530"/>
  <c r="G72" i="530" s="1"/>
  <c r="G72" i="531" s="1"/>
  <c r="L71" i="530"/>
  <c r="G71" i="530" s="1"/>
  <c r="L69" i="530"/>
  <c r="G69" i="530" s="1"/>
  <c r="G69" i="531" s="1"/>
  <c r="L68" i="530"/>
  <c r="G68" i="530" s="1"/>
  <c r="L50" i="530"/>
  <c r="G50" i="530" s="1"/>
  <c r="L60" i="530"/>
  <c r="G60" i="530" s="1"/>
  <c r="L64" i="530"/>
  <c r="G64" i="530" s="1"/>
  <c r="L35" i="530"/>
  <c r="G35" i="530" s="1"/>
  <c r="L44" i="530"/>
  <c r="G44" i="530" s="1"/>
  <c r="L62" i="530"/>
  <c r="G62" i="530" s="1"/>
  <c r="L66" i="530"/>
  <c r="G66" i="530" s="1"/>
  <c r="L49" i="530"/>
  <c r="G49" i="530" s="1"/>
  <c r="L63" i="530"/>
  <c r="G63" i="530" s="1"/>
  <c r="L59" i="530"/>
  <c r="G59" i="530" s="1"/>
  <c r="G103" i="531" l="1"/>
  <c r="H103" i="531"/>
  <c r="I103" i="531"/>
  <c r="G102" i="531"/>
  <c r="H101" i="531"/>
  <c r="I101" i="531"/>
  <c r="G99" i="531"/>
  <c r="H99" i="531" s="1"/>
  <c r="G100" i="531"/>
  <c r="G97" i="531"/>
  <c r="G88" i="531"/>
  <c r="H88" i="531"/>
  <c r="I88" i="531"/>
  <c r="H86" i="531"/>
  <c r="I86" i="531"/>
  <c r="H84" i="531"/>
  <c r="I84" i="531"/>
  <c r="G83" i="531"/>
  <c r="G79" i="531"/>
  <c r="H79" i="531" s="1"/>
  <c r="G81" i="531"/>
  <c r="H77" i="531"/>
  <c r="I77" i="531"/>
  <c r="G76" i="531"/>
  <c r="H72" i="531"/>
  <c r="I72" i="531"/>
  <c r="G71" i="531"/>
  <c r="H71" i="531" s="1"/>
  <c r="H69" i="531"/>
  <c r="I69" i="531"/>
  <c r="G68" i="531"/>
  <c r="G50" i="531"/>
  <c r="G59" i="531"/>
  <c r="G62" i="531"/>
  <c r="G60" i="531"/>
  <c r="G44" i="531"/>
  <c r="G35" i="531"/>
  <c r="G49" i="531"/>
  <c r="G63" i="531"/>
  <c r="G66" i="531"/>
  <c r="G64" i="531"/>
  <c r="H102" i="531" l="1"/>
  <c r="I102" i="531"/>
  <c r="I99" i="531"/>
  <c r="H100" i="531"/>
  <c r="I100" i="531"/>
  <c r="H97" i="531"/>
  <c r="I97" i="531"/>
  <c r="H83" i="531"/>
  <c r="I83" i="531"/>
  <c r="I79" i="531"/>
  <c r="H81" i="531"/>
  <c r="I81" i="531"/>
  <c r="H76" i="531"/>
  <c r="I76" i="531"/>
  <c r="I71" i="531"/>
  <c r="H68" i="531"/>
  <c r="J68" i="531" s="1"/>
  <c r="I68" i="531"/>
  <c r="H50" i="531"/>
  <c r="I50" i="531"/>
  <c r="H64" i="531"/>
  <c r="I64" i="531"/>
  <c r="H35" i="531"/>
  <c r="I35" i="531"/>
  <c r="H62" i="531"/>
  <c r="I62" i="531"/>
  <c r="H49" i="531"/>
  <c r="I49" i="531"/>
  <c r="H66" i="531"/>
  <c r="I66" i="531"/>
  <c r="H59" i="531"/>
  <c r="I59" i="531"/>
  <c r="H63" i="531"/>
  <c r="I63" i="531"/>
  <c r="H44" i="531"/>
  <c r="I44" i="531"/>
  <c r="H60" i="531"/>
  <c r="I60" i="531"/>
  <c r="J103" i="531" l="1"/>
  <c r="L103" i="531" s="1"/>
  <c r="J102" i="531"/>
  <c r="J101" i="531"/>
  <c r="L101" i="531" s="1"/>
  <c r="J100" i="531"/>
  <c r="J99" i="531"/>
  <c r="L99" i="531" s="1"/>
  <c r="J97" i="531"/>
  <c r="J88" i="531"/>
  <c r="L88" i="531" s="1"/>
  <c r="J86" i="531"/>
  <c r="L86" i="531" s="1"/>
  <c r="J84" i="531"/>
  <c r="L84" i="531" s="1"/>
  <c r="J83" i="531"/>
  <c r="J81" i="531"/>
  <c r="J79" i="531"/>
  <c r="L79" i="531" s="1"/>
  <c r="J77" i="531"/>
  <c r="L77" i="531" s="1"/>
  <c r="J76" i="531"/>
  <c r="J72" i="531"/>
  <c r="K72" i="531" s="1"/>
  <c r="J71" i="531"/>
  <c r="L71" i="531" s="1"/>
  <c r="J69" i="531"/>
  <c r="L69" i="531" s="1"/>
  <c r="L68" i="531"/>
  <c r="K68" i="531"/>
  <c r="J50" i="531"/>
  <c r="J35" i="531"/>
  <c r="J59" i="531"/>
  <c r="J64" i="531"/>
  <c r="J60" i="531"/>
  <c r="J44" i="531"/>
  <c r="J63" i="531"/>
  <c r="J49" i="531"/>
  <c r="J62" i="531"/>
  <c r="J66" i="531"/>
  <c r="K103" i="531" l="1"/>
  <c r="L102" i="531"/>
  <c r="K102" i="531"/>
  <c r="K101" i="531"/>
  <c r="L100" i="531"/>
  <c r="K100" i="531"/>
  <c r="K99" i="531"/>
  <c r="L97" i="531"/>
  <c r="K97" i="531"/>
  <c r="K88" i="531"/>
  <c r="K86" i="531"/>
  <c r="K84" i="531"/>
  <c r="L83" i="531"/>
  <c r="K83" i="531"/>
  <c r="K81" i="531"/>
  <c r="L81" i="531"/>
  <c r="K79" i="531"/>
  <c r="K77" i="531"/>
  <c r="L76" i="531"/>
  <c r="K76" i="531"/>
  <c r="L72" i="531"/>
  <c r="K71" i="531"/>
  <c r="K69" i="531"/>
  <c r="M68" i="531"/>
  <c r="O68" i="531" s="1"/>
  <c r="L50" i="531"/>
  <c r="K50" i="531"/>
  <c r="L62" i="531"/>
  <c r="K62" i="531"/>
  <c r="L49" i="531"/>
  <c r="K49" i="531"/>
  <c r="L44" i="531"/>
  <c r="K44" i="531"/>
  <c r="K59" i="531"/>
  <c r="L59" i="531"/>
  <c r="K60" i="531"/>
  <c r="L60" i="531"/>
  <c r="K66" i="531"/>
  <c r="L66" i="531"/>
  <c r="K63" i="531"/>
  <c r="L63" i="531"/>
  <c r="K64" i="531"/>
  <c r="L64" i="531"/>
  <c r="L35" i="531"/>
  <c r="K35" i="531"/>
  <c r="M103" i="531" l="1"/>
  <c r="O103" i="531" s="1"/>
  <c r="M102" i="531"/>
  <c r="O102" i="531" s="1"/>
  <c r="M101" i="531"/>
  <c r="O101" i="531" s="1"/>
  <c r="M100" i="531"/>
  <c r="O100" i="531" s="1"/>
  <c r="M99" i="531"/>
  <c r="O99" i="531" s="1"/>
  <c r="M97" i="531"/>
  <c r="O97" i="531" s="1"/>
  <c r="M88" i="531"/>
  <c r="O88" i="531" s="1"/>
  <c r="M86" i="531"/>
  <c r="O86" i="531" s="1"/>
  <c r="M84" i="531"/>
  <c r="O84" i="531" s="1"/>
  <c r="M83" i="531"/>
  <c r="O83" i="531" s="1"/>
  <c r="M81" i="531"/>
  <c r="O81" i="531" s="1"/>
  <c r="M79" i="531"/>
  <c r="O79" i="531" s="1"/>
  <c r="M77" i="531"/>
  <c r="O77" i="531" s="1"/>
  <c r="M76" i="531"/>
  <c r="O76" i="531" s="1"/>
  <c r="M72" i="531"/>
  <c r="O72" i="531" s="1"/>
  <c r="M71" i="531"/>
  <c r="O71" i="531" s="1"/>
  <c r="M69" i="531"/>
  <c r="N68" i="531"/>
  <c r="M50" i="531"/>
  <c r="O50" i="531" s="1"/>
  <c r="M63" i="531"/>
  <c r="N63" i="531" s="1"/>
  <c r="M64" i="531"/>
  <c r="O64" i="531" s="1"/>
  <c r="M44" i="531"/>
  <c r="M35" i="531"/>
  <c r="M66" i="531"/>
  <c r="M59" i="531"/>
  <c r="M49" i="531"/>
  <c r="M60" i="531"/>
  <c r="M62" i="531"/>
  <c r="N103" i="531" l="1"/>
  <c r="N102" i="531"/>
  <c r="N101" i="531"/>
  <c r="N100" i="531"/>
  <c r="N99" i="531"/>
  <c r="N97" i="531"/>
  <c r="N88" i="531"/>
  <c r="N86" i="531"/>
  <c r="N84" i="531"/>
  <c r="N83" i="531"/>
  <c r="N81" i="531"/>
  <c r="N79" i="531"/>
  <c r="N77" i="531"/>
  <c r="N76" i="531"/>
  <c r="N72" i="531"/>
  <c r="N71" i="531"/>
  <c r="O69" i="531"/>
  <c r="N69" i="531"/>
  <c r="P68" i="531"/>
  <c r="R68" i="531" s="1"/>
  <c r="N50" i="531"/>
  <c r="O63" i="531"/>
  <c r="N64" i="531"/>
  <c r="O62" i="531"/>
  <c r="N62" i="531"/>
  <c r="O66" i="531"/>
  <c r="N66" i="531"/>
  <c r="O44" i="531"/>
  <c r="N44" i="531"/>
  <c r="N35" i="531"/>
  <c r="O35" i="531"/>
  <c r="O49" i="531"/>
  <c r="N49" i="531"/>
  <c r="O60" i="531"/>
  <c r="N60" i="531"/>
  <c r="O59" i="531"/>
  <c r="N59" i="531"/>
  <c r="P103" i="531" l="1"/>
  <c r="R103" i="531" s="1"/>
  <c r="P102" i="531"/>
  <c r="R102" i="531" s="1"/>
  <c r="P101" i="531"/>
  <c r="R101" i="531" s="1"/>
  <c r="P100" i="531"/>
  <c r="R100" i="531" s="1"/>
  <c r="P99" i="531"/>
  <c r="R99" i="531" s="1"/>
  <c r="P97" i="531"/>
  <c r="R97" i="531" s="1"/>
  <c r="P88" i="531"/>
  <c r="R88" i="531" s="1"/>
  <c r="P86" i="531"/>
  <c r="R86" i="531" s="1"/>
  <c r="P84" i="531"/>
  <c r="R84" i="531" s="1"/>
  <c r="P83" i="531"/>
  <c r="P81" i="531"/>
  <c r="P79" i="531"/>
  <c r="R79" i="531" s="1"/>
  <c r="P77" i="531"/>
  <c r="R77" i="531" s="1"/>
  <c r="P76" i="531"/>
  <c r="R76" i="531" s="1"/>
  <c r="P72" i="531"/>
  <c r="R72" i="531" s="1"/>
  <c r="P71" i="531"/>
  <c r="R71" i="531" s="1"/>
  <c r="P69" i="531"/>
  <c r="R69" i="531" s="1"/>
  <c r="Q68" i="531"/>
  <c r="P50" i="531"/>
  <c r="R50" i="531" s="1"/>
  <c r="P64" i="531"/>
  <c r="Q64" i="531" s="1"/>
  <c r="P66" i="531"/>
  <c r="P44" i="531"/>
  <c r="P35" i="531"/>
  <c r="P62" i="531"/>
  <c r="P63" i="531"/>
  <c r="P59" i="531"/>
  <c r="P60" i="531"/>
  <c r="P49" i="531"/>
  <c r="Q103" i="531" l="1"/>
  <c r="Q102" i="531"/>
  <c r="Q101" i="531"/>
  <c r="Q100" i="531"/>
  <c r="Q99" i="531"/>
  <c r="Q97" i="531"/>
  <c r="Q88" i="531"/>
  <c r="Q86" i="531"/>
  <c r="Q84" i="531"/>
  <c r="R83" i="531"/>
  <c r="Q83" i="531"/>
  <c r="R81" i="531"/>
  <c r="Q81" i="531"/>
  <c r="Q79" i="531"/>
  <c r="Q77" i="531"/>
  <c r="Q76" i="531"/>
  <c r="Q72" i="531"/>
  <c r="Q71" i="531"/>
  <c r="Q69" i="531"/>
  <c r="S68" i="531"/>
  <c r="U68" i="531" s="1"/>
  <c r="Q50" i="531"/>
  <c r="R64" i="531"/>
  <c r="R60" i="531"/>
  <c r="Q60" i="531"/>
  <c r="R35" i="531"/>
  <c r="Q35" i="531"/>
  <c r="R59" i="531"/>
  <c r="Q59" i="531"/>
  <c r="R62" i="531"/>
  <c r="Q62" i="531"/>
  <c r="R44" i="531"/>
  <c r="Q44" i="531"/>
  <c r="Q66" i="531"/>
  <c r="R66" i="531"/>
  <c r="Q63" i="531"/>
  <c r="R63" i="531"/>
  <c r="R49" i="531"/>
  <c r="Q49" i="531"/>
  <c r="S103" i="531" l="1"/>
  <c r="U103" i="531" s="1"/>
  <c r="S102" i="531"/>
  <c r="S101" i="531"/>
  <c r="U101" i="531" s="1"/>
  <c r="S100" i="531"/>
  <c r="S99" i="531"/>
  <c r="U99" i="531" s="1"/>
  <c r="S97" i="531"/>
  <c r="U97" i="531" s="1"/>
  <c r="S88" i="531"/>
  <c r="U88" i="531" s="1"/>
  <c r="S86" i="531"/>
  <c r="U86" i="531" s="1"/>
  <c r="S84" i="531"/>
  <c r="U84" i="531" s="1"/>
  <c r="S83" i="531"/>
  <c r="U83" i="531" s="1"/>
  <c r="S81" i="531"/>
  <c r="U81" i="531" s="1"/>
  <c r="S79" i="531"/>
  <c r="U79" i="531" s="1"/>
  <c r="S77" i="531"/>
  <c r="U77" i="531" s="1"/>
  <c r="S76" i="531"/>
  <c r="S72" i="531"/>
  <c r="U72" i="531" s="1"/>
  <c r="S71" i="531"/>
  <c r="U71" i="531" s="1"/>
  <c r="S69" i="531"/>
  <c r="T68" i="531"/>
  <c r="V68" i="531" s="1"/>
  <c r="W68" i="531" s="1"/>
  <c r="P68" i="532" s="1"/>
  <c r="S50" i="531"/>
  <c r="U50" i="531" s="1"/>
  <c r="S63" i="531"/>
  <c r="S44" i="531"/>
  <c r="S62" i="531"/>
  <c r="S35" i="531"/>
  <c r="S60" i="531"/>
  <c r="S64" i="531"/>
  <c r="S49" i="531"/>
  <c r="S66" i="531"/>
  <c r="S59" i="531"/>
  <c r="P68" i="535" l="1"/>
  <c r="Q68" i="532"/>
  <c r="Q68" i="535" s="1"/>
  <c r="T103" i="531"/>
  <c r="U102" i="531"/>
  <c r="T102" i="531"/>
  <c r="T101" i="531"/>
  <c r="U100" i="531"/>
  <c r="T100" i="531"/>
  <c r="T99" i="531"/>
  <c r="T97" i="531"/>
  <c r="T88" i="531"/>
  <c r="T86" i="531"/>
  <c r="T84" i="531"/>
  <c r="T83" i="531"/>
  <c r="T81" i="531"/>
  <c r="T79" i="531"/>
  <c r="T77" i="531"/>
  <c r="U76" i="531"/>
  <c r="T76" i="531"/>
  <c r="T72" i="531"/>
  <c r="T71" i="531"/>
  <c r="U69" i="531"/>
  <c r="T69" i="531"/>
  <c r="J68" i="527"/>
  <c r="K68" i="527" s="1"/>
  <c r="Z68" i="527" s="1"/>
  <c r="T50" i="531"/>
  <c r="T66" i="531"/>
  <c r="U66" i="531"/>
  <c r="U64" i="531"/>
  <c r="T64" i="531"/>
  <c r="U60" i="531"/>
  <c r="T60" i="531"/>
  <c r="U59" i="531"/>
  <c r="T59" i="531"/>
  <c r="U49" i="531"/>
  <c r="T49" i="531"/>
  <c r="T35" i="531"/>
  <c r="U35" i="531"/>
  <c r="U62" i="531"/>
  <c r="T62" i="531"/>
  <c r="T44" i="531"/>
  <c r="U44" i="531"/>
  <c r="U63" i="531"/>
  <c r="T63" i="531"/>
  <c r="V103" i="531" l="1"/>
  <c r="W103" i="531" s="1"/>
  <c r="V102" i="531"/>
  <c r="W102" i="531" s="1"/>
  <c r="P102" i="532" s="1"/>
  <c r="V101" i="531"/>
  <c r="W101" i="531" s="1"/>
  <c r="P101" i="532" s="1"/>
  <c r="V100" i="531"/>
  <c r="W100" i="531" s="1"/>
  <c r="P100" i="532" s="1"/>
  <c r="V99" i="531"/>
  <c r="W99" i="531" s="1"/>
  <c r="P99" i="532" s="1"/>
  <c r="V97" i="531"/>
  <c r="W97" i="531" s="1"/>
  <c r="P97" i="532" s="1"/>
  <c r="V88" i="531"/>
  <c r="W88" i="531" s="1"/>
  <c r="P88" i="532" s="1"/>
  <c r="V86" i="531"/>
  <c r="W86" i="531" s="1"/>
  <c r="P86" i="532" s="1"/>
  <c r="V84" i="531"/>
  <c r="W84" i="531" s="1"/>
  <c r="P84" i="532" s="1"/>
  <c r="V83" i="531"/>
  <c r="W83" i="531" s="1"/>
  <c r="P83" i="532" s="1"/>
  <c r="V81" i="531"/>
  <c r="W81" i="531" s="1"/>
  <c r="P81" i="532" s="1"/>
  <c r="V79" i="531"/>
  <c r="W79" i="531" s="1"/>
  <c r="V77" i="531"/>
  <c r="W77" i="531" s="1"/>
  <c r="V76" i="531"/>
  <c r="W76" i="531" s="1"/>
  <c r="P76" i="532" s="1"/>
  <c r="V72" i="531"/>
  <c r="W72" i="531" s="1"/>
  <c r="P72" i="532" s="1"/>
  <c r="V71" i="531"/>
  <c r="W71" i="531" s="1"/>
  <c r="P71" i="532" s="1"/>
  <c r="V69" i="531"/>
  <c r="W69" i="531" s="1"/>
  <c r="P69" i="532" s="1"/>
  <c r="V50" i="531"/>
  <c r="W50" i="531" s="1"/>
  <c r="P50" i="532" s="1"/>
  <c r="V60" i="531"/>
  <c r="W60" i="531" s="1"/>
  <c r="P60" i="532" s="1"/>
  <c r="V66" i="531"/>
  <c r="W66" i="531" s="1"/>
  <c r="P66" i="532" s="1"/>
  <c r="V44" i="531"/>
  <c r="W44" i="531" s="1"/>
  <c r="P44" i="532" s="1"/>
  <c r="V35" i="531"/>
  <c r="W35" i="531" s="1"/>
  <c r="P35" i="532" s="1"/>
  <c r="V64" i="531"/>
  <c r="W64" i="531" s="1"/>
  <c r="P64" i="532" s="1"/>
  <c r="V63" i="531"/>
  <c r="W63" i="531" s="1"/>
  <c r="P63" i="532" s="1"/>
  <c r="V62" i="531"/>
  <c r="W62" i="531" s="1"/>
  <c r="P62" i="532" s="1"/>
  <c r="V49" i="531"/>
  <c r="W49" i="531" s="1"/>
  <c r="P49" i="532" s="1"/>
  <c r="V59" i="531"/>
  <c r="W59" i="531" s="1"/>
  <c r="P59" i="532" s="1"/>
  <c r="P49" i="535" l="1"/>
  <c r="Q49" i="532"/>
  <c r="Q49" i="535" s="1"/>
  <c r="P60" i="535"/>
  <c r="Q60" i="532"/>
  <c r="Q60" i="535" s="1"/>
  <c r="P50" i="535"/>
  <c r="Q50" i="532"/>
  <c r="Q50" i="535" s="1"/>
  <c r="P71" i="535"/>
  <c r="Q71" i="532"/>
  <c r="Q71" i="535" s="1"/>
  <c r="J79" i="527"/>
  <c r="K79" i="527" s="1"/>
  <c r="Z79" i="527" s="1"/>
  <c r="P79" i="532"/>
  <c r="P84" i="535"/>
  <c r="Q84" i="532"/>
  <c r="Q84" i="535" s="1"/>
  <c r="Q88" i="532"/>
  <c r="Q88" i="535" s="1"/>
  <c r="P88" i="535"/>
  <c r="P101" i="535"/>
  <c r="Q101" i="532"/>
  <c r="Q101" i="535" s="1"/>
  <c r="P66" i="535"/>
  <c r="Q66" i="532"/>
  <c r="Q66" i="535" s="1"/>
  <c r="P76" i="535"/>
  <c r="Q76" i="532"/>
  <c r="Q76" i="535" s="1"/>
  <c r="P81" i="535"/>
  <c r="Q81" i="532"/>
  <c r="Q81" i="535" s="1"/>
  <c r="P97" i="535"/>
  <c r="Q97" i="532"/>
  <c r="Q97" i="535" s="1"/>
  <c r="P102" i="535"/>
  <c r="Q102" i="532"/>
  <c r="Q102" i="535" s="1"/>
  <c r="P62" i="535"/>
  <c r="Q62" i="532"/>
  <c r="Q62" i="535" s="1"/>
  <c r="P35" i="535"/>
  <c r="Q35" i="532"/>
  <c r="Q35" i="535" s="1"/>
  <c r="J77" i="527"/>
  <c r="K77" i="527" s="1"/>
  <c r="Z77" i="527" s="1"/>
  <c r="P77" i="532"/>
  <c r="P86" i="535"/>
  <c r="Q86" i="532"/>
  <c r="Q86" i="535" s="1"/>
  <c r="P99" i="535"/>
  <c r="Q99" i="532"/>
  <c r="Q99" i="535" s="1"/>
  <c r="J103" i="527"/>
  <c r="K103" i="527" s="1"/>
  <c r="Z103" i="527" s="1"/>
  <c r="P103" i="532"/>
  <c r="P59" i="535"/>
  <c r="Q59" i="532"/>
  <c r="Q59" i="535" s="1"/>
  <c r="P63" i="535"/>
  <c r="Q63" i="532"/>
  <c r="Q63" i="535" s="1"/>
  <c r="Q64" i="532"/>
  <c r="Q64" i="535" s="1"/>
  <c r="P64" i="535"/>
  <c r="P44" i="535"/>
  <c r="Q44" i="532"/>
  <c r="Q44" i="535" s="1"/>
  <c r="P69" i="535"/>
  <c r="Q69" i="532"/>
  <c r="Q69" i="535" s="1"/>
  <c r="Q72" i="532"/>
  <c r="Q72" i="535" s="1"/>
  <c r="P72" i="535"/>
  <c r="P83" i="535"/>
  <c r="Q83" i="532"/>
  <c r="Q83" i="535" s="1"/>
  <c r="P100" i="535"/>
  <c r="Q100" i="532"/>
  <c r="Q100" i="535" s="1"/>
  <c r="J102" i="527"/>
  <c r="K102" i="527" s="1"/>
  <c r="Z102" i="527" s="1"/>
  <c r="J101" i="527"/>
  <c r="K101" i="527" s="1"/>
  <c r="Z101" i="527" s="1"/>
  <c r="J100" i="527"/>
  <c r="K100" i="527" s="1"/>
  <c r="Z100" i="527" s="1"/>
  <c r="J99" i="527"/>
  <c r="K99" i="527" s="1"/>
  <c r="Z99" i="527" s="1"/>
  <c r="J97" i="527"/>
  <c r="K97" i="527" s="1"/>
  <c r="Z97" i="527" s="1"/>
  <c r="J88" i="527"/>
  <c r="K88" i="527" s="1"/>
  <c r="Z88" i="527" s="1"/>
  <c r="J86" i="527"/>
  <c r="K86" i="527" s="1"/>
  <c r="Z86" i="527" s="1"/>
  <c r="J84" i="527"/>
  <c r="K84" i="527" s="1"/>
  <c r="Z84" i="527" s="1"/>
  <c r="J83" i="527"/>
  <c r="K83" i="527" s="1"/>
  <c r="Z83" i="527" s="1"/>
  <c r="J81" i="527"/>
  <c r="K81" i="527" s="1"/>
  <c r="Z81" i="527" s="1"/>
  <c r="J76" i="527"/>
  <c r="K76" i="527" s="1"/>
  <c r="Z76" i="527" s="1"/>
  <c r="J72" i="527"/>
  <c r="K72" i="527" s="1"/>
  <c r="Z72" i="527" s="1"/>
  <c r="J71" i="527"/>
  <c r="K71" i="527" s="1"/>
  <c r="Z71" i="527" s="1"/>
  <c r="J69" i="527"/>
  <c r="K69" i="527" s="1"/>
  <c r="Z69" i="527" s="1"/>
  <c r="J50" i="527"/>
  <c r="K50" i="527" s="1"/>
  <c r="Z50" i="527" s="1"/>
  <c r="J64" i="527"/>
  <c r="K64" i="527" s="1"/>
  <c r="Z64" i="527" s="1"/>
  <c r="J44" i="527"/>
  <c r="K44" i="527" s="1"/>
  <c r="Z44" i="527" s="1"/>
  <c r="J62" i="527"/>
  <c r="K62" i="527" s="1"/>
  <c r="Z62" i="527" s="1"/>
  <c r="J59" i="527"/>
  <c r="K59" i="527" s="1"/>
  <c r="Z59" i="527" s="1"/>
  <c r="J63" i="527"/>
  <c r="K63" i="527" s="1"/>
  <c r="Z63" i="527" s="1"/>
  <c r="J49" i="527"/>
  <c r="K49" i="527" s="1"/>
  <c r="Z49" i="527" s="1"/>
  <c r="J66" i="527"/>
  <c r="K66" i="527" s="1"/>
  <c r="Z66" i="527" s="1"/>
  <c r="J35" i="527"/>
  <c r="K35" i="527" s="1"/>
  <c r="Z35" i="527" s="1"/>
  <c r="J60" i="527"/>
  <c r="K60" i="527" s="1"/>
  <c r="Z60" i="527" s="1"/>
  <c r="P103" i="535" l="1"/>
  <c r="Q103" i="532"/>
  <c r="Q103" i="535" s="1"/>
  <c r="P77" i="535"/>
  <c r="Q77" i="532"/>
  <c r="Q77" i="535" s="1"/>
  <c r="P79" i="535"/>
  <c r="Q79" i="532"/>
  <c r="Q79" i="535" s="1"/>
  <c r="X102" i="531"/>
  <c r="X103" i="531"/>
  <c r="X100" i="531"/>
  <c r="X101" i="531"/>
  <c r="X97" i="531"/>
  <c r="X99" i="531"/>
  <c r="X88" i="531"/>
  <c r="X86" i="531"/>
  <c r="X83" i="531"/>
  <c r="X84" i="531"/>
  <c r="X81" i="531"/>
  <c r="X79" i="531"/>
  <c r="X76" i="531"/>
  <c r="X77" i="531"/>
  <c r="X72" i="531"/>
  <c r="X71" i="531"/>
  <c r="X68" i="531"/>
  <c r="X69" i="531"/>
  <c r="X63" i="531"/>
  <c r="X50" i="531"/>
  <c r="X60" i="531"/>
  <c r="X35" i="531"/>
  <c r="X66" i="531"/>
  <c r="X49" i="531"/>
  <c r="X62" i="531"/>
  <c r="X44" i="531"/>
  <c r="X59" i="531"/>
  <c r="X64" i="531"/>
  <c r="AR83" i="522" l="1"/>
  <c r="AU83" i="522" s="1"/>
  <c r="AT83" i="522"/>
  <c r="AS83" i="522"/>
  <c r="AR71" i="522"/>
  <c r="AU71" i="522" s="1"/>
  <c r="AR97" i="522"/>
  <c r="AU97" i="522" s="1"/>
  <c r="AN83" i="522"/>
  <c r="AQ83" i="522" s="1"/>
  <c r="AQ71" i="522"/>
  <c r="AS97" i="522"/>
  <c r="AT97" i="522"/>
  <c r="AN97" i="522"/>
  <c r="AQ97" i="522" s="1"/>
  <c r="AJ83" i="522"/>
  <c r="AM83" i="522" s="1"/>
  <c r="AJ97" i="522"/>
  <c r="AM97" i="522" s="1"/>
  <c r="AL97" i="522"/>
  <c r="AK97" i="522"/>
  <c r="AI83" i="522"/>
  <c r="AF97" i="522"/>
  <c r="AI97" i="522" s="1"/>
  <c r="AB97" i="522"/>
  <c r="AE97" i="522" s="1"/>
  <c r="X97" i="522"/>
  <c r="AA97" i="522" s="1"/>
  <c r="T97" i="522"/>
  <c r="W97" i="522" s="1"/>
  <c r="S97" i="522"/>
  <c r="G131" i="522"/>
  <c r="BE31" i="522"/>
  <c r="H31" i="522" s="1"/>
  <c r="H131" i="522" l="1"/>
  <c r="I31" i="522"/>
  <c r="J31" i="522" l="1"/>
  <c r="J131" i="522" s="1"/>
  <c r="I131" i="522"/>
  <c r="K32" i="522"/>
  <c r="L32" i="522" s="1"/>
  <c r="K45" i="522"/>
  <c r="L45" i="522" s="1"/>
  <c r="K106" i="522" l="1"/>
  <c r="L106" i="522" s="1"/>
  <c r="K107" i="522"/>
  <c r="L107" i="522" s="1"/>
  <c r="K105" i="522"/>
  <c r="L105" i="522" s="1"/>
  <c r="K51" i="522"/>
  <c r="L51" i="522" s="1"/>
  <c r="M51" i="522" s="1"/>
  <c r="N51" i="522" s="1"/>
  <c r="K41" i="522"/>
  <c r="L41" i="522" s="1"/>
  <c r="M41" i="522" s="1"/>
  <c r="N41" i="522" s="1"/>
  <c r="K91" i="522"/>
  <c r="L91" i="522" s="1"/>
  <c r="M91" i="522" s="1"/>
  <c r="N91" i="522" s="1"/>
  <c r="K40" i="522"/>
  <c r="L40" i="522" s="1"/>
  <c r="M40" i="522" s="1"/>
  <c r="N40" i="522" s="1"/>
  <c r="K42" i="522"/>
  <c r="L42" i="522" s="1"/>
  <c r="M42" i="522" s="1"/>
  <c r="N42" i="522" s="1"/>
  <c r="K67" i="522"/>
  <c r="L67" i="522" s="1"/>
  <c r="M67" i="522" s="1"/>
  <c r="N67" i="522" s="1"/>
  <c r="K89" i="522"/>
  <c r="L89" i="522" s="1"/>
  <c r="M89" i="522" s="1"/>
  <c r="N89" i="522" s="1"/>
  <c r="K87" i="522"/>
  <c r="L87" i="522" s="1"/>
  <c r="M87" i="522" s="1"/>
  <c r="N87" i="522" s="1"/>
  <c r="K58" i="522"/>
  <c r="L58" i="522" s="1"/>
  <c r="M58" i="522" s="1"/>
  <c r="N58" i="522" s="1"/>
  <c r="K85" i="522"/>
  <c r="L85" i="522" s="1"/>
  <c r="M85" i="522" s="1"/>
  <c r="N85" i="522" s="1"/>
  <c r="K53" i="522"/>
  <c r="L53" i="522" s="1"/>
  <c r="M53" i="522" s="1"/>
  <c r="N53" i="522" s="1"/>
  <c r="K65" i="522"/>
  <c r="L65" i="522" s="1"/>
  <c r="M65" i="522" s="1"/>
  <c r="N65" i="522" s="1"/>
  <c r="K47" i="522"/>
  <c r="L47" i="522" s="1"/>
  <c r="M47" i="522" s="1"/>
  <c r="N47" i="522" s="1"/>
  <c r="K93" i="522"/>
  <c r="L93" i="522" s="1"/>
  <c r="M93" i="522" s="1"/>
  <c r="N93" i="522" s="1"/>
  <c r="K95" i="522"/>
  <c r="L95" i="522" s="1"/>
  <c r="M95" i="522" s="1"/>
  <c r="N95" i="522" s="1"/>
  <c r="K57" i="522"/>
  <c r="L57" i="522" s="1"/>
  <c r="M57" i="522" s="1"/>
  <c r="N57" i="522" s="1"/>
  <c r="K46" i="522"/>
  <c r="L46" i="522" s="1"/>
  <c r="M46" i="522" s="1"/>
  <c r="N46" i="522" s="1"/>
  <c r="K92" i="522"/>
  <c r="L92" i="522" s="1"/>
  <c r="M92" i="522" s="1"/>
  <c r="N92" i="522" s="1"/>
  <c r="K90" i="522"/>
  <c r="L90" i="522" s="1"/>
  <c r="M90" i="522" s="1"/>
  <c r="N90" i="522" s="1"/>
  <c r="K73" i="522"/>
  <c r="L73" i="522" s="1"/>
  <c r="M73" i="522" s="1"/>
  <c r="N73" i="522" s="1"/>
  <c r="K34" i="522"/>
  <c r="L34" i="522" s="1"/>
  <c r="M34" i="522" s="1"/>
  <c r="N34" i="522" s="1"/>
  <c r="K82" i="522"/>
  <c r="L82" i="522" s="1"/>
  <c r="M82" i="522" s="1"/>
  <c r="N82" i="522" s="1"/>
  <c r="K36" i="522"/>
  <c r="L36" i="522" s="1"/>
  <c r="M36" i="522" s="1"/>
  <c r="N36" i="522" s="1"/>
  <c r="K96" i="522"/>
  <c r="L96" i="522" s="1"/>
  <c r="M96" i="522" s="1"/>
  <c r="N96" i="522" s="1"/>
  <c r="K52" i="522"/>
  <c r="L52" i="522" s="1"/>
  <c r="M52" i="522" s="1"/>
  <c r="N52" i="522" s="1"/>
  <c r="K70" i="522"/>
  <c r="L70" i="522" s="1"/>
  <c r="M70" i="522" s="1"/>
  <c r="N70" i="522" s="1"/>
  <c r="K54" i="522"/>
  <c r="L54" i="522" s="1"/>
  <c r="M54" i="522" s="1"/>
  <c r="N54" i="522" s="1"/>
  <c r="K78" i="522"/>
  <c r="L78" i="522" s="1"/>
  <c r="M78" i="522" s="1"/>
  <c r="N78" i="522" s="1"/>
  <c r="K38" i="522"/>
  <c r="L38" i="522" s="1"/>
  <c r="M38" i="522" s="1"/>
  <c r="N38" i="522" s="1"/>
  <c r="K94" i="522"/>
  <c r="L94" i="522" s="1"/>
  <c r="M94" i="522" s="1"/>
  <c r="N94" i="522" s="1"/>
  <c r="K56" i="522"/>
  <c r="L56" i="522" s="1"/>
  <c r="M56" i="522" s="1"/>
  <c r="N56" i="522" s="1"/>
  <c r="K37" i="522"/>
  <c r="L37" i="522" s="1"/>
  <c r="M37" i="522" s="1"/>
  <c r="N37" i="522" s="1"/>
  <c r="K33" i="522"/>
  <c r="L33" i="522" s="1"/>
  <c r="M33" i="522" s="1"/>
  <c r="N33" i="522" s="1"/>
  <c r="K98" i="522"/>
  <c r="L98" i="522" s="1"/>
  <c r="M98" i="522" s="1"/>
  <c r="N98" i="522" s="1"/>
  <c r="K75" i="522"/>
  <c r="L75" i="522" s="1"/>
  <c r="M75" i="522" s="1"/>
  <c r="N75" i="522" s="1"/>
  <c r="K31" i="522"/>
  <c r="M45" i="522"/>
  <c r="N45" i="522" s="1"/>
  <c r="M32" i="522"/>
  <c r="N32" i="522" s="1"/>
  <c r="M107" i="522" l="1"/>
  <c r="N107" i="522" s="1"/>
  <c r="M105" i="522"/>
  <c r="N105" i="522" s="1"/>
  <c r="M106" i="522"/>
  <c r="N106" i="522" s="1"/>
  <c r="K131" i="522"/>
  <c r="L31" i="522"/>
  <c r="M31" i="522" l="1"/>
  <c r="L131" i="522"/>
  <c r="M131" i="522" l="1"/>
  <c r="N31" i="522"/>
  <c r="O106" i="522" s="1"/>
  <c r="P106" i="522" s="1"/>
  <c r="O52" i="522" l="1"/>
  <c r="P52" i="522" s="1"/>
  <c r="Q52" i="522" s="1"/>
  <c r="R52" i="522" s="1"/>
  <c r="O87" i="522"/>
  <c r="P87" i="522" s="1"/>
  <c r="Q87" i="522" s="1"/>
  <c r="R87" i="522" s="1"/>
  <c r="O105" i="522"/>
  <c r="P105" i="522" s="1"/>
  <c r="O107" i="522"/>
  <c r="P107" i="522" s="1"/>
  <c r="Q106" i="522"/>
  <c r="R106" i="522" s="1"/>
  <c r="O78" i="522"/>
  <c r="P78" i="522" s="1"/>
  <c r="Q78" i="522" s="1"/>
  <c r="R78" i="522" s="1"/>
  <c r="O98" i="522"/>
  <c r="P98" i="522" s="1"/>
  <c r="Q98" i="522" s="1"/>
  <c r="R98" i="522" s="1"/>
  <c r="O51" i="522"/>
  <c r="P51" i="522" s="1"/>
  <c r="Q51" i="522" s="1"/>
  <c r="R51" i="522" s="1"/>
  <c r="O33" i="522"/>
  <c r="P33" i="522" s="1"/>
  <c r="Q33" i="522" s="1"/>
  <c r="R33" i="522" s="1"/>
  <c r="O93" i="522"/>
  <c r="P93" i="522" s="1"/>
  <c r="Q93" i="522" s="1"/>
  <c r="R93" i="522" s="1"/>
  <c r="O57" i="522"/>
  <c r="P57" i="522" s="1"/>
  <c r="Q57" i="522" s="1"/>
  <c r="R57" i="522" s="1"/>
  <c r="O92" i="522"/>
  <c r="P92" i="522" s="1"/>
  <c r="Q92" i="522" s="1"/>
  <c r="R92" i="522" s="1"/>
  <c r="O82" i="522"/>
  <c r="P82" i="522" s="1"/>
  <c r="Q82" i="522" s="1"/>
  <c r="R82" i="522" s="1"/>
  <c r="O32" i="522"/>
  <c r="P32" i="522" s="1"/>
  <c r="Q32" i="522" s="1"/>
  <c r="R32" i="522" s="1"/>
  <c r="O90" i="522"/>
  <c r="P90" i="522" s="1"/>
  <c r="Q90" i="522" s="1"/>
  <c r="R90" i="522" s="1"/>
  <c r="O75" i="522"/>
  <c r="P75" i="522" s="1"/>
  <c r="Q75" i="522" s="1"/>
  <c r="R75" i="522" s="1"/>
  <c r="O47" i="522"/>
  <c r="P47" i="522" s="1"/>
  <c r="Q47" i="522" s="1"/>
  <c r="R47" i="522" s="1"/>
  <c r="O67" i="522"/>
  <c r="P67" i="522" s="1"/>
  <c r="Q67" i="522" s="1"/>
  <c r="R67" i="522" s="1"/>
  <c r="O36" i="522"/>
  <c r="P36" i="522" s="1"/>
  <c r="Q36" i="522" s="1"/>
  <c r="R36" i="522" s="1"/>
  <c r="O53" i="522"/>
  <c r="P53" i="522" s="1"/>
  <c r="Q53" i="522" s="1"/>
  <c r="R53" i="522" s="1"/>
  <c r="O94" i="522"/>
  <c r="P94" i="522" s="1"/>
  <c r="Q94" i="522" s="1"/>
  <c r="R94" i="522" s="1"/>
  <c r="O65" i="522"/>
  <c r="P65" i="522" s="1"/>
  <c r="Q65" i="522" s="1"/>
  <c r="R65" i="522" s="1"/>
  <c r="N131" i="522"/>
  <c r="O31" i="522"/>
  <c r="O95" i="522"/>
  <c r="P95" i="522" s="1"/>
  <c r="O73" i="522"/>
  <c r="P73" i="522" s="1"/>
  <c r="O34" i="522"/>
  <c r="P34" i="522" s="1"/>
  <c r="O96" i="522"/>
  <c r="P96" i="522" s="1"/>
  <c r="O40" i="522"/>
  <c r="P40" i="522" s="1"/>
  <c r="O41" i="522"/>
  <c r="P41" i="522" s="1"/>
  <c r="O58" i="522"/>
  <c r="P58" i="522" s="1"/>
  <c r="O42" i="522"/>
  <c r="P42" i="522" s="1"/>
  <c r="O91" i="522"/>
  <c r="P91" i="522" s="1"/>
  <c r="O54" i="522"/>
  <c r="P54" i="522" s="1"/>
  <c r="O38" i="522"/>
  <c r="P38" i="522" s="1"/>
  <c r="O37" i="522"/>
  <c r="P37" i="522" s="1"/>
  <c r="O89" i="522"/>
  <c r="P89" i="522" s="1"/>
  <c r="O85" i="522"/>
  <c r="P85" i="522" s="1"/>
  <c r="O46" i="522"/>
  <c r="P46" i="522" s="1"/>
  <c r="O70" i="522"/>
  <c r="P70" i="522" s="1"/>
  <c r="O56" i="522"/>
  <c r="P56" i="522" s="1"/>
  <c r="O45" i="522"/>
  <c r="P45" i="522" s="1"/>
  <c r="Q105" i="522" l="1"/>
  <c r="R105" i="522" s="1"/>
  <c r="Q107" i="522"/>
  <c r="R107" i="522" s="1"/>
  <c r="P31" i="522"/>
  <c r="O131" i="522"/>
  <c r="Q46" i="522"/>
  <c r="R46" i="522" s="1"/>
  <c r="Q38" i="522"/>
  <c r="R38" i="522" s="1"/>
  <c r="Q58" i="522"/>
  <c r="R58" i="522" s="1"/>
  <c r="Q34" i="522"/>
  <c r="R34" i="522" s="1"/>
  <c r="Q37" i="522"/>
  <c r="R37" i="522" s="1"/>
  <c r="Q42" i="522"/>
  <c r="R42" i="522" s="1"/>
  <c r="Q45" i="522"/>
  <c r="R45" i="522" s="1"/>
  <c r="Q85" i="522"/>
  <c r="R85" i="522" s="1"/>
  <c r="Q54" i="522"/>
  <c r="R54" i="522" s="1"/>
  <c r="Q41" i="522"/>
  <c r="R41" i="522" s="1"/>
  <c r="Q73" i="522"/>
  <c r="R73" i="522" s="1"/>
  <c r="Q70" i="522"/>
  <c r="R70" i="522" s="1"/>
  <c r="Q96" i="522"/>
  <c r="R96" i="522" s="1"/>
  <c r="Q56" i="522"/>
  <c r="R56" i="522" s="1"/>
  <c r="Q89" i="522"/>
  <c r="R89" i="522" s="1"/>
  <c r="Q91" i="522"/>
  <c r="R91" i="522" s="1"/>
  <c r="Q40" i="522"/>
  <c r="R40" i="522" s="1"/>
  <c r="Q95" i="522"/>
  <c r="R95" i="522" s="1"/>
  <c r="Q31" i="522" l="1"/>
  <c r="P131" i="522"/>
  <c r="Q131" i="522" l="1"/>
  <c r="R31" i="522"/>
  <c r="S46" i="522" s="1"/>
  <c r="T46" i="522" s="1"/>
  <c r="S90" i="522"/>
  <c r="T90" i="522" s="1"/>
  <c r="S89" i="522"/>
  <c r="T89" i="522" s="1"/>
  <c r="S57" i="522"/>
  <c r="T57" i="522" s="1"/>
  <c r="S32" i="522"/>
  <c r="T32" i="522" s="1"/>
  <c r="S96" i="522"/>
  <c r="T96" i="522" s="1"/>
  <c r="S54" i="522"/>
  <c r="T54" i="522" s="1"/>
  <c r="S78" i="522" l="1"/>
  <c r="T78" i="522" s="1"/>
  <c r="U78" i="522" s="1"/>
  <c r="V78" i="522" s="1"/>
  <c r="S75" i="522"/>
  <c r="T75" i="522" s="1"/>
  <c r="S87" i="522"/>
  <c r="T87" i="522" s="1"/>
  <c r="U87" i="522" s="1"/>
  <c r="V87" i="522" s="1"/>
  <c r="S70" i="522"/>
  <c r="T70" i="522" s="1"/>
  <c r="U70" i="522" s="1"/>
  <c r="V70" i="522" s="1"/>
  <c r="S82" i="522"/>
  <c r="T82" i="522" s="1"/>
  <c r="U82" i="522" s="1"/>
  <c r="V82" i="522" s="1"/>
  <c r="S67" i="522"/>
  <c r="T67" i="522" s="1"/>
  <c r="U67" i="522" s="1"/>
  <c r="V67" i="522" s="1"/>
  <c r="S53" i="522"/>
  <c r="T53" i="522" s="1"/>
  <c r="U53" i="522" s="1"/>
  <c r="V53" i="522" s="1"/>
  <c r="S56" i="522"/>
  <c r="T56" i="522" s="1"/>
  <c r="U56" i="522" s="1"/>
  <c r="V56" i="522" s="1"/>
  <c r="S85" i="522"/>
  <c r="T85" i="522" s="1"/>
  <c r="U85" i="522" s="1"/>
  <c r="V85" i="522" s="1"/>
  <c r="S34" i="522"/>
  <c r="T34" i="522" s="1"/>
  <c r="U34" i="522" s="1"/>
  <c r="V34" i="522" s="1"/>
  <c r="S40" i="522"/>
  <c r="T40" i="522" s="1"/>
  <c r="U40" i="522" s="1"/>
  <c r="V40" i="522" s="1"/>
  <c r="S58" i="522"/>
  <c r="T58" i="522" s="1"/>
  <c r="U58" i="522" s="1"/>
  <c r="V58" i="522" s="1"/>
  <c r="S47" i="522"/>
  <c r="T47" i="522" s="1"/>
  <c r="U47" i="522" s="1"/>
  <c r="V47" i="522" s="1"/>
  <c r="S107" i="522"/>
  <c r="T107" i="522" s="1"/>
  <c r="S105" i="522"/>
  <c r="T105" i="522" s="1"/>
  <c r="S106" i="522"/>
  <c r="T106" i="522" s="1"/>
  <c r="S42" i="522"/>
  <c r="T42" i="522" s="1"/>
  <c r="U42" i="522" s="1"/>
  <c r="V42" i="522" s="1"/>
  <c r="S94" i="522"/>
  <c r="T94" i="522" s="1"/>
  <c r="U94" i="522" s="1"/>
  <c r="V94" i="522" s="1"/>
  <c r="S98" i="522"/>
  <c r="T98" i="522" s="1"/>
  <c r="U98" i="522" s="1"/>
  <c r="V98" i="522" s="1"/>
  <c r="S38" i="522"/>
  <c r="T38" i="522" s="1"/>
  <c r="U38" i="522" s="1"/>
  <c r="V38" i="522" s="1"/>
  <c r="S91" i="522"/>
  <c r="T91" i="522" s="1"/>
  <c r="U91" i="522" s="1"/>
  <c r="V91" i="522" s="1"/>
  <c r="S41" i="522"/>
  <c r="T41" i="522" s="1"/>
  <c r="U41" i="522" s="1"/>
  <c r="V41" i="522" s="1"/>
  <c r="S37" i="522"/>
  <c r="T37" i="522" s="1"/>
  <c r="U37" i="522" s="1"/>
  <c r="V37" i="522" s="1"/>
  <c r="S36" i="522"/>
  <c r="T36" i="522" s="1"/>
  <c r="U36" i="522" s="1"/>
  <c r="V36" i="522" s="1"/>
  <c r="S93" i="522"/>
  <c r="T93" i="522" s="1"/>
  <c r="U93" i="522" s="1"/>
  <c r="V93" i="522" s="1"/>
  <c r="S92" i="522"/>
  <c r="T92" i="522" s="1"/>
  <c r="U92" i="522" s="1"/>
  <c r="V92" i="522" s="1"/>
  <c r="S95" i="522"/>
  <c r="T95" i="522" s="1"/>
  <c r="U95" i="522" s="1"/>
  <c r="V95" i="522" s="1"/>
  <c r="S65" i="522"/>
  <c r="T65" i="522" s="1"/>
  <c r="U65" i="522" s="1"/>
  <c r="V65" i="522" s="1"/>
  <c r="S45" i="522"/>
  <c r="T45" i="522" s="1"/>
  <c r="U45" i="522" s="1"/>
  <c r="V45" i="522" s="1"/>
  <c r="S51" i="522"/>
  <c r="T51" i="522" s="1"/>
  <c r="U51" i="522" s="1"/>
  <c r="V51" i="522" s="1"/>
  <c r="S33" i="522"/>
  <c r="T33" i="522" s="1"/>
  <c r="U33" i="522" s="1"/>
  <c r="V33" i="522" s="1"/>
  <c r="S52" i="522"/>
  <c r="T52" i="522" s="1"/>
  <c r="U52" i="522" s="1"/>
  <c r="V52" i="522" s="1"/>
  <c r="U75" i="522"/>
  <c r="V75" i="522" s="1"/>
  <c r="U54" i="522"/>
  <c r="V54" i="522" s="1"/>
  <c r="U46" i="522"/>
  <c r="V46" i="522" s="1"/>
  <c r="U89" i="522"/>
  <c r="V89" i="522" s="1"/>
  <c r="U96" i="522"/>
  <c r="V96" i="522" s="1"/>
  <c r="U32" i="522"/>
  <c r="V32" i="522" s="1"/>
  <c r="U57" i="522"/>
  <c r="V57" i="522" s="1"/>
  <c r="U90" i="522"/>
  <c r="V90" i="522" s="1"/>
  <c r="R131" i="522"/>
  <c r="S31" i="522"/>
  <c r="S73" i="522"/>
  <c r="T73" i="522" s="1"/>
  <c r="U105" i="522" l="1"/>
  <c r="V105" i="522" s="1"/>
  <c r="U106" i="522"/>
  <c r="V106" i="522" s="1"/>
  <c r="U107" i="522"/>
  <c r="V107" i="522" s="1"/>
  <c r="U73" i="522"/>
  <c r="V73" i="522" s="1"/>
  <c r="S131" i="522"/>
  <c r="T31" i="522"/>
  <c r="T131" i="522" l="1"/>
  <c r="U31" i="522"/>
  <c r="U131" i="522" l="1"/>
  <c r="V31" i="522"/>
  <c r="W54" i="522" s="1"/>
  <c r="X54" i="522" s="1"/>
  <c r="W32" i="522"/>
  <c r="X32" i="522" s="1"/>
  <c r="W98" i="522"/>
  <c r="X98" i="522" s="1"/>
  <c r="W70" i="522" l="1"/>
  <c r="X70" i="522" s="1"/>
  <c r="Y70" i="522" s="1"/>
  <c r="Z70" i="522" s="1"/>
  <c r="W37" i="522"/>
  <c r="X37" i="522" s="1"/>
  <c r="W106" i="522"/>
  <c r="X106" i="522" s="1"/>
  <c r="W105" i="522"/>
  <c r="X105" i="522" s="1"/>
  <c r="W107" i="522"/>
  <c r="X107" i="522" s="1"/>
  <c r="W87" i="522"/>
  <c r="X87" i="522" s="1"/>
  <c r="Y87" i="522" s="1"/>
  <c r="Z87" i="522" s="1"/>
  <c r="W45" i="522"/>
  <c r="X45" i="522" s="1"/>
  <c r="Y45" i="522" s="1"/>
  <c r="Z45" i="522" s="1"/>
  <c r="W46" i="522"/>
  <c r="X46" i="522" s="1"/>
  <c r="Y46" i="522" s="1"/>
  <c r="Z46" i="522" s="1"/>
  <c r="W92" i="522"/>
  <c r="X92" i="522" s="1"/>
  <c r="Y92" i="522" s="1"/>
  <c r="Z92" i="522" s="1"/>
  <c r="W78" i="522"/>
  <c r="X78" i="522" s="1"/>
  <c r="Y78" i="522" s="1"/>
  <c r="Z78" i="522" s="1"/>
  <c r="W33" i="522"/>
  <c r="X33" i="522" s="1"/>
  <c r="Y33" i="522" s="1"/>
  <c r="Z33" i="522" s="1"/>
  <c r="W65" i="522"/>
  <c r="X65" i="522" s="1"/>
  <c r="Y65" i="522" s="1"/>
  <c r="Z65" i="522" s="1"/>
  <c r="W93" i="522"/>
  <c r="X93" i="522" s="1"/>
  <c r="Y93" i="522" s="1"/>
  <c r="Z93" i="522" s="1"/>
  <c r="W40" i="522"/>
  <c r="X40" i="522" s="1"/>
  <c r="Y40" i="522" s="1"/>
  <c r="Z40" i="522" s="1"/>
  <c r="W67" i="522"/>
  <c r="X67" i="522" s="1"/>
  <c r="Y67" i="522" s="1"/>
  <c r="Z67" i="522" s="1"/>
  <c r="W38" i="522"/>
  <c r="X38" i="522" s="1"/>
  <c r="Y38" i="522" s="1"/>
  <c r="Z38" i="522" s="1"/>
  <c r="W95" i="522"/>
  <c r="X95" i="522" s="1"/>
  <c r="Y95" i="522" s="1"/>
  <c r="Z95" i="522" s="1"/>
  <c r="W91" i="522"/>
  <c r="X91" i="522" s="1"/>
  <c r="Y91" i="522" s="1"/>
  <c r="Z91" i="522" s="1"/>
  <c r="W42" i="522"/>
  <c r="X42" i="522" s="1"/>
  <c r="Y42" i="522" s="1"/>
  <c r="Z42" i="522" s="1"/>
  <c r="W82" i="522"/>
  <c r="X82" i="522" s="1"/>
  <c r="Y82" i="522" s="1"/>
  <c r="Z82" i="522" s="1"/>
  <c r="W94" i="522"/>
  <c r="X94" i="522" s="1"/>
  <c r="Y94" i="522" s="1"/>
  <c r="Z94" i="522" s="1"/>
  <c r="W96" i="522"/>
  <c r="X96" i="522" s="1"/>
  <c r="Y96" i="522" s="1"/>
  <c r="Z96" i="522" s="1"/>
  <c r="W36" i="522"/>
  <c r="X36" i="522" s="1"/>
  <c r="Y36" i="522" s="1"/>
  <c r="Z36" i="522" s="1"/>
  <c r="W47" i="522"/>
  <c r="X47" i="522" s="1"/>
  <c r="Y47" i="522" s="1"/>
  <c r="Z47" i="522" s="1"/>
  <c r="W85" i="522"/>
  <c r="X85" i="522" s="1"/>
  <c r="Y85" i="522" s="1"/>
  <c r="Z85" i="522" s="1"/>
  <c r="W52" i="522"/>
  <c r="X52" i="522" s="1"/>
  <c r="Y52" i="522" s="1"/>
  <c r="Z52" i="522" s="1"/>
  <c r="W56" i="522"/>
  <c r="X56" i="522" s="1"/>
  <c r="Y56" i="522" s="1"/>
  <c r="Z56" i="522" s="1"/>
  <c r="W41" i="522"/>
  <c r="X41" i="522" s="1"/>
  <c r="Y41" i="522" s="1"/>
  <c r="Z41" i="522" s="1"/>
  <c r="W57" i="522"/>
  <c r="X57" i="522" s="1"/>
  <c r="Y57" i="522" s="1"/>
  <c r="Z57" i="522" s="1"/>
  <c r="W90" i="522"/>
  <c r="X90" i="522" s="1"/>
  <c r="Y90" i="522" s="1"/>
  <c r="Z90" i="522" s="1"/>
  <c r="W58" i="522"/>
  <c r="X58" i="522" s="1"/>
  <c r="Y58" i="522" s="1"/>
  <c r="Z58" i="522" s="1"/>
  <c r="W89" i="522"/>
  <c r="X89" i="522" s="1"/>
  <c r="Y89" i="522" s="1"/>
  <c r="Z89" i="522" s="1"/>
  <c r="W53" i="522"/>
  <c r="X53" i="522" s="1"/>
  <c r="Y53" i="522" s="1"/>
  <c r="Z53" i="522" s="1"/>
  <c r="W34" i="522"/>
  <c r="X34" i="522" s="1"/>
  <c r="Y34" i="522" s="1"/>
  <c r="Z34" i="522" s="1"/>
  <c r="W75" i="522"/>
  <c r="X75" i="522" s="1"/>
  <c r="Y75" i="522" s="1"/>
  <c r="Z75" i="522" s="1"/>
  <c r="W51" i="522"/>
  <c r="X51" i="522" s="1"/>
  <c r="Y51" i="522" s="1"/>
  <c r="Z51" i="522" s="1"/>
  <c r="Y37" i="522"/>
  <c r="Z37" i="522" s="1"/>
  <c r="Y32" i="522"/>
  <c r="Z32" i="522" s="1"/>
  <c r="V131" i="522"/>
  <c r="W31" i="522"/>
  <c r="W73" i="522"/>
  <c r="X73" i="522" s="1"/>
  <c r="Y98" i="522"/>
  <c r="Z98" i="522" s="1"/>
  <c r="Y54" i="522"/>
  <c r="Z54" i="522" s="1"/>
  <c r="Y105" i="522" l="1"/>
  <c r="Z105" i="522" s="1"/>
  <c r="Y107" i="522"/>
  <c r="Z107" i="522" s="1"/>
  <c r="Y106" i="522"/>
  <c r="Z106" i="522" s="1"/>
  <c r="Y73" i="522"/>
  <c r="Z73" i="522" s="1"/>
  <c r="X31" i="522"/>
  <c r="W131" i="522"/>
  <c r="Y31" i="522" l="1"/>
  <c r="X131" i="522"/>
  <c r="Y131" i="522" l="1"/>
  <c r="Z31" i="522"/>
  <c r="AA91" i="522" s="1"/>
  <c r="AB91" i="522" s="1"/>
  <c r="AA41" i="522"/>
  <c r="AB41" i="522" s="1"/>
  <c r="AA93" i="522"/>
  <c r="AB93" i="522" s="1"/>
  <c r="AA47" i="522"/>
  <c r="AB47" i="522" s="1"/>
  <c r="AA96" i="522"/>
  <c r="AB96" i="522" s="1"/>
  <c r="AA46" i="522"/>
  <c r="AB46" i="522" s="1"/>
  <c r="AA45" i="522"/>
  <c r="AB45" i="522" s="1"/>
  <c r="AA54" i="522"/>
  <c r="AB54" i="522" s="1"/>
  <c r="AA57" i="522"/>
  <c r="AB57" i="522" s="1"/>
  <c r="AA32" i="522"/>
  <c r="AB32" i="522" s="1"/>
  <c r="AA51" i="522" l="1"/>
  <c r="AB51" i="522" s="1"/>
  <c r="AA90" i="522"/>
  <c r="AB90" i="522" s="1"/>
  <c r="AA58" i="522"/>
  <c r="AB58" i="522" s="1"/>
  <c r="AA40" i="522"/>
  <c r="AB40" i="522" s="1"/>
  <c r="AA95" i="522"/>
  <c r="AB95" i="522" s="1"/>
  <c r="AA89" i="522"/>
  <c r="AB89" i="522" s="1"/>
  <c r="AC89" i="522" s="1"/>
  <c r="AD89" i="522" s="1"/>
  <c r="AA52" i="522"/>
  <c r="AB52" i="522" s="1"/>
  <c r="AC52" i="522" s="1"/>
  <c r="AD52" i="522" s="1"/>
  <c r="AA56" i="522"/>
  <c r="AB56" i="522" s="1"/>
  <c r="AC56" i="522" s="1"/>
  <c r="AD56" i="522" s="1"/>
  <c r="AA67" i="522"/>
  <c r="AB67" i="522" s="1"/>
  <c r="AC67" i="522" s="1"/>
  <c r="AD67" i="522" s="1"/>
  <c r="AA38" i="522"/>
  <c r="AB38" i="522" s="1"/>
  <c r="AC38" i="522" s="1"/>
  <c r="AD38" i="522" s="1"/>
  <c r="AA36" i="522"/>
  <c r="AB36" i="522" s="1"/>
  <c r="AC36" i="522" s="1"/>
  <c r="AD36" i="522" s="1"/>
  <c r="AA85" i="522"/>
  <c r="AB85" i="522" s="1"/>
  <c r="AC85" i="522" s="1"/>
  <c r="AD85" i="522" s="1"/>
  <c r="AA98" i="522"/>
  <c r="AB98" i="522" s="1"/>
  <c r="AC98" i="522" s="1"/>
  <c r="AD98" i="522" s="1"/>
  <c r="AA34" i="522"/>
  <c r="AB34" i="522" s="1"/>
  <c r="AC34" i="522" s="1"/>
  <c r="AD34" i="522" s="1"/>
  <c r="AA94" i="522"/>
  <c r="AB94" i="522" s="1"/>
  <c r="AC94" i="522" s="1"/>
  <c r="AD94" i="522" s="1"/>
  <c r="AA65" i="522"/>
  <c r="AB65" i="522" s="1"/>
  <c r="AC65" i="522" s="1"/>
  <c r="AD65" i="522" s="1"/>
  <c r="AA37" i="522"/>
  <c r="AB37" i="522" s="1"/>
  <c r="AC37" i="522" s="1"/>
  <c r="AD37" i="522" s="1"/>
  <c r="AA75" i="522"/>
  <c r="AB75" i="522" s="1"/>
  <c r="AC75" i="522" s="1"/>
  <c r="AD75" i="522" s="1"/>
  <c r="AA87" i="522"/>
  <c r="AB87" i="522" s="1"/>
  <c r="AC87" i="522" s="1"/>
  <c r="AD87" i="522" s="1"/>
  <c r="AA70" i="522"/>
  <c r="AB70" i="522" s="1"/>
  <c r="AC70" i="522" s="1"/>
  <c r="AD70" i="522" s="1"/>
  <c r="AA53" i="522"/>
  <c r="AB53" i="522" s="1"/>
  <c r="AC53" i="522" s="1"/>
  <c r="AD53" i="522" s="1"/>
  <c r="AA105" i="522"/>
  <c r="AB105" i="522" s="1"/>
  <c r="AA107" i="522"/>
  <c r="AB107" i="522" s="1"/>
  <c r="AA73" i="522"/>
  <c r="AB73" i="522" s="1"/>
  <c r="AC73" i="522" s="1"/>
  <c r="AD73" i="522" s="1"/>
  <c r="AA106" i="522"/>
  <c r="AB106" i="522" s="1"/>
  <c r="AA78" i="522"/>
  <c r="AB78" i="522" s="1"/>
  <c r="AC78" i="522" s="1"/>
  <c r="AD78" i="522" s="1"/>
  <c r="AA82" i="522"/>
  <c r="AB82" i="522" s="1"/>
  <c r="AC82" i="522" s="1"/>
  <c r="AD82" i="522" s="1"/>
  <c r="AA42" i="522"/>
  <c r="AB42" i="522" s="1"/>
  <c r="AC42" i="522" s="1"/>
  <c r="AD42" i="522" s="1"/>
  <c r="AA92" i="522"/>
  <c r="AB92" i="522" s="1"/>
  <c r="AC92" i="522" s="1"/>
  <c r="AD92" i="522" s="1"/>
  <c r="AA33" i="522"/>
  <c r="AB33" i="522" s="1"/>
  <c r="AC33" i="522" s="1"/>
  <c r="AD33" i="522" s="1"/>
  <c r="AC54" i="522"/>
  <c r="AD54" i="522" s="1"/>
  <c r="AC45" i="522"/>
  <c r="AD45" i="522" s="1"/>
  <c r="AC96" i="522"/>
  <c r="AD96" i="522" s="1"/>
  <c r="AC47" i="522"/>
  <c r="AD47" i="522" s="1"/>
  <c r="AC91" i="522"/>
  <c r="AD91" i="522" s="1"/>
  <c r="AC57" i="522"/>
  <c r="AD57" i="522" s="1"/>
  <c r="AC32" i="522"/>
  <c r="AD32" i="522" s="1"/>
  <c r="AC46" i="522"/>
  <c r="AD46" i="522" s="1"/>
  <c r="AC93" i="522"/>
  <c r="AD93" i="522" s="1"/>
  <c r="AC40" i="522"/>
  <c r="AD40" i="522" s="1"/>
  <c r="AC58" i="522"/>
  <c r="AD58" i="522" s="1"/>
  <c r="AC41" i="522"/>
  <c r="AD41" i="522" s="1"/>
  <c r="Z131" i="522"/>
  <c r="AA31" i="522"/>
  <c r="AC51" i="522"/>
  <c r="AD51" i="522" s="1"/>
  <c r="AC90" i="522"/>
  <c r="AD90" i="522" s="1"/>
  <c r="AC95" i="522"/>
  <c r="AD95" i="522" s="1"/>
  <c r="AC106" i="522" l="1"/>
  <c r="AD106" i="522" s="1"/>
  <c r="AC107" i="522"/>
  <c r="AD107" i="522" s="1"/>
  <c r="AC105" i="522"/>
  <c r="AD105" i="522" s="1"/>
  <c r="AB31" i="522"/>
  <c r="AA131" i="522"/>
  <c r="AC31" i="522" l="1"/>
  <c r="AB131" i="522"/>
  <c r="AC131" i="522" l="1"/>
  <c r="AD31" i="522"/>
  <c r="AE90" i="522" s="1"/>
  <c r="AF90" i="522" s="1"/>
  <c r="AE98" i="522"/>
  <c r="AF98" i="522" s="1"/>
  <c r="AE57" i="522"/>
  <c r="AF57" i="522" s="1"/>
  <c r="AE32" i="522"/>
  <c r="AF32" i="522" s="1"/>
  <c r="AE45" i="522"/>
  <c r="AF45" i="522" s="1"/>
  <c r="AE75" i="522"/>
  <c r="AF75" i="522" s="1"/>
  <c r="AE33" i="522"/>
  <c r="AF33" i="522" s="1"/>
  <c r="AE54" i="522"/>
  <c r="AF54" i="522" s="1"/>
  <c r="AE47" i="522"/>
  <c r="AF47" i="522" s="1"/>
  <c r="AE41" i="522"/>
  <c r="AF41" i="522" s="1"/>
  <c r="AE70" i="522"/>
  <c r="AF70" i="522" s="1"/>
  <c r="AE65" i="522" l="1"/>
  <c r="AF65" i="522" s="1"/>
  <c r="AG65" i="522" s="1"/>
  <c r="AH65" i="522" s="1"/>
  <c r="AE94" i="522"/>
  <c r="AF94" i="522" s="1"/>
  <c r="AG94" i="522" s="1"/>
  <c r="AH94" i="522" s="1"/>
  <c r="AE87" i="522"/>
  <c r="AF87" i="522" s="1"/>
  <c r="AG87" i="522" s="1"/>
  <c r="AH87" i="522" s="1"/>
  <c r="AE58" i="522"/>
  <c r="AF58" i="522" s="1"/>
  <c r="AG58" i="522" s="1"/>
  <c r="AH58" i="522" s="1"/>
  <c r="AE82" i="522"/>
  <c r="AF82" i="522" s="1"/>
  <c r="AG82" i="522" s="1"/>
  <c r="AH82" i="522" s="1"/>
  <c r="AE42" i="522"/>
  <c r="AF42" i="522" s="1"/>
  <c r="AG42" i="522" s="1"/>
  <c r="AH42" i="522" s="1"/>
  <c r="AE56" i="522"/>
  <c r="AF56" i="522" s="1"/>
  <c r="AG56" i="522" s="1"/>
  <c r="AH56" i="522" s="1"/>
  <c r="AE67" i="522"/>
  <c r="AF67" i="522" s="1"/>
  <c r="AG67" i="522" s="1"/>
  <c r="AH67" i="522" s="1"/>
  <c r="AE73" i="522"/>
  <c r="AF73" i="522" s="1"/>
  <c r="AG73" i="522" s="1"/>
  <c r="AH73" i="522" s="1"/>
  <c r="AE34" i="522"/>
  <c r="AF34" i="522" s="1"/>
  <c r="AG34" i="522" s="1"/>
  <c r="AH34" i="522" s="1"/>
  <c r="AE92" i="522"/>
  <c r="AF92" i="522" s="1"/>
  <c r="AG92" i="522" s="1"/>
  <c r="AH92" i="522" s="1"/>
  <c r="AE106" i="522"/>
  <c r="AF106" i="522" s="1"/>
  <c r="AE95" i="522"/>
  <c r="AF95" i="522" s="1"/>
  <c r="AG95" i="522" s="1"/>
  <c r="AH95" i="522" s="1"/>
  <c r="AE107" i="522"/>
  <c r="AF107" i="522" s="1"/>
  <c r="AE52" i="522"/>
  <c r="AF52" i="522" s="1"/>
  <c r="AG52" i="522" s="1"/>
  <c r="AH52" i="522" s="1"/>
  <c r="AE78" i="522"/>
  <c r="AF78" i="522" s="1"/>
  <c r="AG78" i="522" s="1"/>
  <c r="AH78" i="522" s="1"/>
  <c r="AE105" i="522"/>
  <c r="AF105" i="522" s="1"/>
  <c r="AE51" i="522"/>
  <c r="AF51" i="522" s="1"/>
  <c r="AG51" i="522" s="1"/>
  <c r="AH51" i="522" s="1"/>
  <c r="AE46" i="522"/>
  <c r="AF46" i="522" s="1"/>
  <c r="AG46" i="522" s="1"/>
  <c r="AH46" i="522" s="1"/>
  <c r="AE53" i="522"/>
  <c r="AF53" i="522" s="1"/>
  <c r="AG53" i="522" s="1"/>
  <c r="AH53" i="522" s="1"/>
  <c r="AE93" i="522"/>
  <c r="AF93" i="522" s="1"/>
  <c r="AG93" i="522" s="1"/>
  <c r="AH93" i="522" s="1"/>
  <c r="AE96" i="522"/>
  <c r="AF96" i="522" s="1"/>
  <c r="AG96" i="522" s="1"/>
  <c r="AH96" i="522" s="1"/>
  <c r="AE37" i="522"/>
  <c r="AF37" i="522" s="1"/>
  <c r="AG37" i="522" s="1"/>
  <c r="AH37" i="522" s="1"/>
  <c r="AE85" i="522"/>
  <c r="AF85" i="522" s="1"/>
  <c r="AG85" i="522" s="1"/>
  <c r="AH85" i="522" s="1"/>
  <c r="AE38" i="522"/>
  <c r="AF38" i="522" s="1"/>
  <c r="AG38" i="522" s="1"/>
  <c r="AH38" i="522" s="1"/>
  <c r="AE40" i="522"/>
  <c r="AF40" i="522" s="1"/>
  <c r="AG40" i="522" s="1"/>
  <c r="AH40" i="522" s="1"/>
  <c r="AE89" i="522"/>
  <c r="AF89" i="522" s="1"/>
  <c r="AG89" i="522" s="1"/>
  <c r="AH89" i="522" s="1"/>
  <c r="AE36" i="522"/>
  <c r="AF36" i="522" s="1"/>
  <c r="AG36" i="522" s="1"/>
  <c r="AH36" i="522" s="1"/>
  <c r="AE91" i="522"/>
  <c r="AF91" i="522" s="1"/>
  <c r="AG91" i="522" s="1"/>
  <c r="AH91" i="522" s="1"/>
  <c r="AG41" i="522"/>
  <c r="AH41" i="522" s="1"/>
  <c r="AG32" i="522"/>
  <c r="AH32" i="522" s="1"/>
  <c r="AG47" i="522"/>
  <c r="AH47" i="522" s="1"/>
  <c r="AG33" i="522"/>
  <c r="AH33" i="522" s="1"/>
  <c r="AG45" i="522"/>
  <c r="AH45" i="522" s="1"/>
  <c r="AG57" i="522"/>
  <c r="AH57" i="522" s="1"/>
  <c r="AG54" i="522"/>
  <c r="AH54" i="522" s="1"/>
  <c r="AG70" i="522"/>
  <c r="AH70" i="522" s="1"/>
  <c r="AG75" i="522"/>
  <c r="AH75" i="522" s="1"/>
  <c r="AG98" i="522"/>
  <c r="AH98" i="522" s="1"/>
  <c r="AD131" i="522"/>
  <c r="AE31" i="522"/>
  <c r="AG90" i="522"/>
  <c r="AH90" i="522" s="1"/>
  <c r="AG105" i="522" l="1"/>
  <c r="AH105" i="522" s="1"/>
  <c r="AG107" i="522"/>
  <c r="AH107" i="522" s="1"/>
  <c r="AG106" i="522"/>
  <c r="AH106" i="522" s="1"/>
  <c r="AF31" i="522"/>
  <c r="AE131" i="522"/>
  <c r="AF131" i="522" l="1"/>
  <c r="AG31" i="522"/>
  <c r="AH31" i="522" l="1"/>
  <c r="AI98" i="522" s="1"/>
  <c r="AJ98" i="522" s="1"/>
  <c r="AG131" i="522"/>
  <c r="AI93" i="522"/>
  <c r="AJ93" i="522" s="1"/>
  <c r="AI54" i="522"/>
  <c r="AJ54" i="522" s="1"/>
  <c r="AI45" i="522"/>
  <c r="AJ45" i="522" s="1"/>
  <c r="AI46" i="522"/>
  <c r="AJ46" i="522" s="1"/>
  <c r="AI57" i="522"/>
  <c r="AJ57" i="522" s="1"/>
  <c r="AI75" i="522" l="1"/>
  <c r="AJ75" i="522" s="1"/>
  <c r="AK75" i="522" s="1"/>
  <c r="AL75" i="522" s="1"/>
  <c r="AI82" i="522"/>
  <c r="AJ82" i="522" s="1"/>
  <c r="AK82" i="522" s="1"/>
  <c r="AL82" i="522" s="1"/>
  <c r="AI65" i="522"/>
  <c r="AJ65" i="522" s="1"/>
  <c r="AK65" i="522" s="1"/>
  <c r="AL65" i="522" s="1"/>
  <c r="AI34" i="522"/>
  <c r="AJ34" i="522" s="1"/>
  <c r="AK34" i="522" s="1"/>
  <c r="AL34" i="522" s="1"/>
  <c r="AI41" i="522"/>
  <c r="AJ41" i="522" s="1"/>
  <c r="AK41" i="522" s="1"/>
  <c r="AL41" i="522" s="1"/>
  <c r="AI40" i="522"/>
  <c r="AJ40" i="522" s="1"/>
  <c r="AK40" i="522" s="1"/>
  <c r="AL40" i="522" s="1"/>
  <c r="AI87" i="522"/>
  <c r="AJ87" i="522" s="1"/>
  <c r="AK87" i="522" s="1"/>
  <c r="AL87" i="522" s="1"/>
  <c r="AI94" i="522"/>
  <c r="AJ94" i="522" s="1"/>
  <c r="AK94" i="522" s="1"/>
  <c r="AL94" i="522" s="1"/>
  <c r="AI42" i="522"/>
  <c r="AJ42" i="522" s="1"/>
  <c r="AK42" i="522" s="1"/>
  <c r="AL42" i="522" s="1"/>
  <c r="AI90" i="522"/>
  <c r="AJ90" i="522" s="1"/>
  <c r="AK90" i="522" s="1"/>
  <c r="AL90" i="522" s="1"/>
  <c r="AI85" i="522"/>
  <c r="AJ85" i="522" s="1"/>
  <c r="AK85" i="522" s="1"/>
  <c r="AL85" i="522" s="1"/>
  <c r="AI92" i="522"/>
  <c r="AJ92" i="522" s="1"/>
  <c r="AK92" i="522" s="1"/>
  <c r="AL92" i="522" s="1"/>
  <c r="AI37" i="522"/>
  <c r="AJ37" i="522" s="1"/>
  <c r="AK37" i="522" s="1"/>
  <c r="AL37" i="522" s="1"/>
  <c r="AI36" i="522"/>
  <c r="AJ36" i="522" s="1"/>
  <c r="AK36" i="522" s="1"/>
  <c r="AL36" i="522" s="1"/>
  <c r="AI52" i="522"/>
  <c r="AJ52" i="522" s="1"/>
  <c r="AK52" i="522" s="1"/>
  <c r="AL52" i="522" s="1"/>
  <c r="AI73" i="522"/>
  <c r="AJ73" i="522" s="1"/>
  <c r="AK73" i="522" s="1"/>
  <c r="AL73" i="522" s="1"/>
  <c r="AI51" i="522"/>
  <c r="AJ51" i="522" s="1"/>
  <c r="AK51" i="522" s="1"/>
  <c r="AL51" i="522" s="1"/>
  <c r="AI58" i="522"/>
  <c r="AJ58" i="522" s="1"/>
  <c r="AK58" i="522" s="1"/>
  <c r="AL58" i="522" s="1"/>
  <c r="AI67" i="522"/>
  <c r="AJ67" i="522" s="1"/>
  <c r="AK67" i="522" s="1"/>
  <c r="AL67" i="522" s="1"/>
  <c r="AI56" i="522"/>
  <c r="AJ56" i="522" s="1"/>
  <c r="AK56" i="522" s="1"/>
  <c r="AL56" i="522" s="1"/>
  <c r="AI33" i="522"/>
  <c r="AJ33" i="522" s="1"/>
  <c r="AK33" i="522" s="1"/>
  <c r="AL33" i="522" s="1"/>
  <c r="AI89" i="522"/>
  <c r="AJ89" i="522" s="1"/>
  <c r="AK89" i="522" s="1"/>
  <c r="AL89" i="522" s="1"/>
  <c r="AI78" i="522"/>
  <c r="AJ78" i="522" s="1"/>
  <c r="AK78" i="522" s="1"/>
  <c r="AL78" i="522" s="1"/>
  <c r="AI95" i="522"/>
  <c r="AJ95" i="522" s="1"/>
  <c r="AK95" i="522" s="1"/>
  <c r="AL95" i="522" s="1"/>
  <c r="AI70" i="522"/>
  <c r="AJ70" i="522" s="1"/>
  <c r="AK70" i="522" s="1"/>
  <c r="AL70" i="522" s="1"/>
  <c r="AI53" i="522"/>
  <c r="AJ53" i="522" s="1"/>
  <c r="AK53" i="522" s="1"/>
  <c r="AL53" i="522" s="1"/>
  <c r="AI47" i="522"/>
  <c r="AJ47" i="522" s="1"/>
  <c r="AK47" i="522" s="1"/>
  <c r="AL47" i="522" s="1"/>
  <c r="AI105" i="522"/>
  <c r="AJ105" i="522" s="1"/>
  <c r="AI107" i="522"/>
  <c r="AJ107" i="522" s="1"/>
  <c r="AI91" i="522"/>
  <c r="AJ91" i="522" s="1"/>
  <c r="AK91" i="522" s="1"/>
  <c r="AL91" i="522" s="1"/>
  <c r="AI96" i="522"/>
  <c r="AJ96" i="522" s="1"/>
  <c r="AK96" i="522" s="1"/>
  <c r="AL96" i="522" s="1"/>
  <c r="AI106" i="522"/>
  <c r="AJ106" i="522" s="1"/>
  <c r="AI38" i="522"/>
  <c r="AJ38" i="522" s="1"/>
  <c r="AK38" i="522" s="1"/>
  <c r="AL38" i="522" s="1"/>
  <c r="AI32" i="522"/>
  <c r="AJ32" i="522" s="1"/>
  <c r="AK32" i="522" s="1"/>
  <c r="AL32" i="522" s="1"/>
  <c r="AK93" i="522"/>
  <c r="AL93" i="522" s="1"/>
  <c r="AK98" i="522"/>
  <c r="AL98" i="522" s="1"/>
  <c r="AK45" i="522"/>
  <c r="AL45" i="522" s="1"/>
  <c r="AK54" i="522"/>
  <c r="AL54" i="522" s="1"/>
  <c r="AK57" i="522"/>
  <c r="AL57" i="522" s="1"/>
  <c r="AK46" i="522"/>
  <c r="AL46" i="522" s="1"/>
  <c r="AH131" i="522"/>
  <c r="AI31" i="522"/>
  <c r="AK107" i="522" l="1"/>
  <c r="AL107" i="522" s="1"/>
  <c r="AK106" i="522"/>
  <c r="AL106" i="522" s="1"/>
  <c r="AK105" i="522"/>
  <c r="AL105" i="522" s="1"/>
  <c r="AI131" i="522"/>
  <c r="AJ31" i="522"/>
  <c r="AK31" i="522" l="1"/>
  <c r="AJ131" i="522"/>
  <c r="AL31" i="522" l="1"/>
  <c r="AM105" i="522" s="1"/>
  <c r="AN105" i="522" s="1"/>
  <c r="AK131" i="522"/>
  <c r="AM54" i="522"/>
  <c r="AN54" i="522" s="1"/>
  <c r="AM33" i="522"/>
  <c r="AN33" i="522" s="1"/>
  <c r="AM45" i="522"/>
  <c r="AN45" i="522" s="1"/>
  <c r="AM46" i="522"/>
  <c r="AN46" i="522" s="1"/>
  <c r="AM96" i="522"/>
  <c r="AN96" i="522" s="1"/>
  <c r="AM93" i="522"/>
  <c r="AN93" i="522" s="1"/>
  <c r="AM57" i="522"/>
  <c r="AN57" i="522" s="1"/>
  <c r="AM32" i="522"/>
  <c r="AN32" i="522" s="1"/>
  <c r="AM70" i="522"/>
  <c r="AN70" i="522" s="1"/>
  <c r="AM65" i="522" l="1"/>
  <c r="AN65" i="522" s="1"/>
  <c r="AM94" i="522"/>
  <c r="AN94" i="522" s="1"/>
  <c r="AM98" i="522"/>
  <c r="AN98" i="522" s="1"/>
  <c r="AO98" i="522" s="1"/>
  <c r="AP98" i="522" s="1"/>
  <c r="AM40" i="522"/>
  <c r="AN40" i="522" s="1"/>
  <c r="AO40" i="522" s="1"/>
  <c r="AP40" i="522" s="1"/>
  <c r="AM53" i="522"/>
  <c r="AN53" i="522" s="1"/>
  <c r="AO53" i="522" s="1"/>
  <c r="AP53" i="522" s="1"/>
  <c r="AM78" i="522"/>
  <c r="AN78" i="522" s="1"/>
  <c r="AO78" i="522" s="1"/>
  <c r="AP78" i="522" s="1"/>
  <c r="AM85" i="522"/>
  <c r="AN85" i="522" s="1"/>
  <c r="AO85" i="522" s="1"/>
  <c r="AP85" i="522" s="1"/>
  <c r="AM56" i="522"/>
  <c r="AN56" i="522" s="1"/>
  <c r="AO56" i="522" s="1"/>
  <c r="AP56" i="522" s="1"/>
  <c r="AM51" i="522"/>
  <c r="AN51" i="522" s="1"/>
  <c r="AO51" i="522" s="1"/>
  <c r="AP51" i="522" s="1"/>
  <c r="AM52" i="522"/>
  <c r="AN52" i="522" s="1"/>
  <c r="AO52" i="522" s="1"/>
  <c r="AP52" i="522" s="1"/>
  <c r="AM41" i="522"/>
  <c r="AN41" i="522" s="1"/>
  <c r="AO41" i="522" s="1"/>
  <c r="AP41" i="522" s="1"/>
  <c r="AM92" i="522"/>
  <c r="AN92" i="522" s="1"/>
  <c r="AO92" i="522" s="1"/>
  <c r="AP92" i="522" s="1"/>
  <c r="AM95" i="522"/>
  <c r="AN95" i="522" s="1"/>
  <c r="AO95" i="522" s="1"/>
  <c r="AP95" i="522" s="1"/>
  <c r="AM42" i="522"/>
  <c r="AN42" i="522" s="1"/>
  <c r="AO42" i="522" s="1"/>
  <c r="AP42" i="522" s="1"/>
  <c r="AM34" i="522"/>
  <c r="AN34" i="522" s="1"/>
  <c r="AO34" i="522" s="1"/>
  <c r="AP34" i="522" s="1"/>
  <c r="AM90" i="522"/>
  <c r="AN90" i="522" s="1"/>
  <c r="AO90" i="522" s="1"/>
  <c r="AP90" i="522" s="1"/>
  <c r="AM67" i="522"/>
  <c r="AN67" i="522" s="1"/>
  <c r="AO67" i="522" s="1"/>
  <c r="AP67" i="522" s="1"/>
  <c r="AM73" i="522"/>
  <c r="AN73" i="522" s="1"/>
  <c r="AO73" i="522" s="1"/>
  <c r="AP73" i="522" s="1"/>
  <c r="AM82" i="522"/>
  <c r="AN82" i="522" s="1"/>
  <c r="AO82" i="522" s="1"/>
  <c r="AP82" i="522" s="1"/>
  <c r="AM47" i="522"/>
  <c r="AN47" i="522" s="1"/>
  <c r="AO47" i="522" s="1"/>
  <c r="AP47" i="522" s="1"/>
  <c r="AM38" i="522"/>
  <c r="AN38" i="522" s="1"/>
  <c r="AO38" i="522" s="1"/>
  <c r="AP38" i="522" s="1"/>
  <c r="AM87" i="522"/>
  <c r="AN87" i="522" s="1"/>
  <c r="AO87" i="522" s="1"/>
  <c r="AP87" i="522" s="1"/>
  <c r="AM75" i="522"/>
  <c r="AN75" i="522" s="1"/>
  <c r="AO75" i="522" s="1"/>
  <c r="AP75" i="522" s="1"/>
  <c r="AM91" i="522"/>
  <c r="AN91" i="522" s="1"/>
  <c r="AO91" i="522" s="1"/>
  <c r="AP91" i="522" s="1"/>
  <c r="AM89" i="522"/>
  <c r="AN89" i="522" s="1"/>
  <c r="AO89" i="522" s="1"/>
  <c r="AP89" i="522" s="1"/>
  <c r="AM37" i="522"/>
  <c r="AN37" i="522" s="1"/>
  <c r="AO37" i="522" s="1"/>
  <c r="AP37" i="522" s="1"/>
  <c r="AO105" i="522"/>
  <c r="AP105" i="522" s="1"/>
  <c r="AM36" i="522"/>
  <c r="AN36" i="522" s="1"/>
  <c r="AO36" i="522" s="1"/>
  <c r="AP36" i="522" s="1"/>
  <c r="AM106" i="522"/>
  <c r="AN106" i="522" s="1"/>
  <c r="AM107" i="522"/>
  <c r="AN107" i="522" s="1"/>
  <c r="AM58" i="522"/>
  <c r="AN58" i="522" s="1"/>
  <c r="AO58" i="522" s="1"/>
  <c r="AP58" i="522" s="1"/>
  <c r="AO33" i="522"/>
  <c r="AP33" i="522" s="1"/>
  <c r="AO54" i="522"/>
  <c r="AP54" i="522" s="1"/>
  <c r="AO57" i="522"/>
  <c r="AP57" i="522" s="1"/>
  <c r="AO46" i="522"/>
  <c r="AP46" i="522" s="1"/>
  <c r="AO70" i="522"/>
  <c r="AP70" i="522" s="1"/>
  <c r="AO93" i="522"/>
  <c r="AP93" i="522" s="1"/>
  <c r="AO45" i="522"/>
  <c r="AP45" i="522" s="1"/>
  <c r="AO65" i="522"/>
  <c r="AP65" i="522" s="1"/>
  <c r="AO32" i="522"/>
  <c r="AP32" i="522" s="1"/>
  <c r="AO96" i="522"/>
  <c r="AP96" i="522" s="1"/>
  <c r="AO94" i="522"/>
  <c r="AP94" i="522" s="1"/>
  <c r="AL131" i="522"/>
  <c r="AM31" i="522"/>
  <c r="AO106" i="522" l="1"/>
  <c r="AP106" i="522" s="1"/>
  <c r="AO107" i="522"/>
  <c r="AP107" i="522" s="1"/>
  <c r="AN31" i="522"/>
  <c r="AM131" i="522"/>
  <c r="AO31" i="522" l="1"/>
  <c r="AN131" i="522"/>
  <c r="AP31" i="522" l="1"/>
  <c r="AQ33" i="522" s="1"/>
  <c r="AR33" i="522" s="1"/>
  <c r="AO131" i="522"/>
  <c r="AQ46" i="522"/>
  <c r="AR46" i="522" s="1"/>
  <c r="AQ94" i="522" l="1"/>
  <c r="AR94" i="522" s="1"/>
  <c r="AS94" i="522" s="1"/>
  <c r="AT94" i="522" s="1"/>
  <c r="AQ67" i="522"/>
  <c r="AR67" i="522" s="1"/>
  <c r="AQ95" i="522"/>
  <c r="AR95" i="522" s="1"/>
  <c r="AQ87" i="522"/>
  <c r="AR87" i="522" s="1"/>
  <c r="AS87" i="522" s="1"/>
  <c r="AT87" i="522" s="1"/>
  <c r="AQ107" i="522"/>
  <c r="AR107" i="522" s="1"/>
  <c r="AQ106" i="522"/>
  <c r="AR106" i="522" s="1"/>
  <c r="AQ105" i="522"/>
  <c r="AR105" i="522" s="1"/>
  <c r="AQ82" i="522"/>
  <c r="AR82" i="522" s="1"/>
  <c r="AS82" i="522" s="1"/>
  <c r="AT82" i="522" s="1"/>
  <c r="AQ65" i="522"/>
  <c r="AR65" i="522" s="1"/>
  <c r="AS65" i="522" s="1"/>
  <c r="AT65" i="522" s="1"/>
  <c r="AQ54" i="522"/>
  <c r="AR54" i="522" s="1"/>
  <c r="AS54" i="522" s="1"/>
  <c r="AT54" i="522" s="1"/>
  <c r="AQ47" i="522"/>
  <c r="AR47" i="522" s="1"/>
  <c r="AS47" i="522" s="1"/>
  <c r="AT47" i="522" s="1"/>
  <c r="AQ53" i="522"/>
  <c r="AR53" i="522" s="1"/>
  <c r="AS53" i="522" s="1"/>
  <c r="AT53" i="522" s="1"/>
  <c r="AQ92" i="522"/>
  <c r="AR92" i="522" s="1"/>
  <c r="AS92" i="522" s="1"/>
  <c r="AT92" i="522" s="1"/>
  <c r="AQ75" i="522"/>
  <c r="AR75" i="522" s="1"/>
  <c r="AS75" i="522" s="1"/>
  <c r="AT75" i="522" s="1"/>
  <c r="AQ51" i="522"/>
  <c r="AR51" i="522" s="1"/>
  <c r="AS51" i="522" s="1"/>
  <c r="AT51" i="522" s="1"/>
  <c r="AQ93" i="522"/>
  <c r="AR93" i="522" s="1"/>
  <c r="AS93" i="522" s="1"/>
  <c r="AT93" i="522" s="1"/>
  <c r="AQ57" i="522"/>
  <c r="AR57" i="522" s="1"/>
  <c r="AS57" i="522" s="1"/>
  <c r="AT57" i="522" s="1"/>
  <c r="AQ36" i="522"/>
  <c r="AR36" i="522" s="1"/>
  <c r="AS36" i="522" s="1"/>
  <c r="AT36" i="522" s="1"/>
  <c r="AQ40" i="522"/>
  <c r="AR40" i="522" s="1"/>
  <c r="AS40" i="522" s="1"/>
  <c r="AT40" i="522" s="1"/>
  <c r="AQ41" i="522"/>
  <c r="AR41" i="522" s="1"/>
  <c r="AS41" i="522" s="1"/>
  <c r="AT41" i="522" s="1"/>
  <c r="AQ91" i="522"/>
  <c r="AR91" i="522" s="1"/>
  <c r="AS91" i="522" s="1"/>
  <c r="AT91" i="522" s="1"/>
  <c r="AQ58" i="522"/>
  <c r="AR58" i="522" s="1"/>
  <c r="AS58" i="522" s="1"/>
  <c r="AT58" i="522" s="1"/>
  <c r="AQ42" i="522"/>
  <c r="AR42" i="522" s="1"/>
  <c r="AS42" i="522" s="1"/>
  <c r="AT42" i="522" s="1"/>
  <c r="AQ32" i="522"/>
  <c r="AR32" i="522" s="1"/>
  <c r="AS32" i="522" s="1"/>
  <c r="AT32" i="522" s="1"/>
  <c r="AQ37" i="522"/>
  <c r="AR37" i="522" s="1"/>
  <c r="AS37" i="522" s="1"/>
  <c r="AT37" i="522" s="1"/>
  <c r="AQ73" i="522"/>
  <c r="AR73" i="522" s="1"/>
  <c r="AS73" i="522" s="1"/>
  <c r="AT73" i="522" s="1"/>
  <c r="AQ89" i="522"/>
  <c r="AR89" i="522" s="1"/>
  <c r="AS89" i="522" s="1"/>
  <c r="AT89" i="522" s="1"/>
  <c r="AQ98" i="522"/>
  <c r="AR98" i="522" s="1"/>
  <c r="AS98" i="522" s="1"/>
  <c r="AT98" i="522" s="1"/>
  <c r="AQ85" i="522"/>
  <c r="AR85" i="522" s="1"/>
  <c r="AS85" i="522" s="1"/>
  <c r="AT85" i="522" s="1"/>
  <c r="AQ90" i="522"/>
  <c r="AR90" i="522" s="1"/>
  <c r="AS90" i="522" s="1"/>
  <c r="AT90" i="522" s="1"/>
  <c r="AQ52" i="522"/>
  <c r="AR52" i="522" s="1"/>
  <c r="AS52" i="522" s="1"/>
  <c r="AT52" i="522" s="1"/>
  <c r="AQ78" i="522"/>
  <c r="AR78" i="522" s="1"/>
  <c r="AS78" i="522" s="1"/>
  <c r="AT78" i="522" s="1"/>
  <c r="AQ34" i="522"/>
  <c r="AR34" i="522" s="1"/>
  <c r="AS34" i="522" s="1"/>
  <c r="AT34" i="522" s="1"/>
  <c r="AQ56" i="522"/>
  <c r="AR56" i="522" s="1"/>
  <c r="AS56" i="522" s="1"/>
  <c r="AT56" i="522" s="1"/>
  <c r="AQ45" i="522"/>
  <c r="AR45" i="522" s="1"/>
  <c r="AS45" i="522" s="1"/>
  <c r="AT45" i="522" s="1"/>
  <c r="AQ96" i="522"/>
  <c r="AR96" i="522" s="1"/>
  <c r="AS96" i="522" s="1"/>
  <c r="AT96" i="522" s="1"/>
  <c r="AQ70" i="522"/>
  <c r="AR70" i="522" s="1"/>
  <c r="AS70" i="522" s="1"/>
  <c r="AT70" i="522" s="1"/>
  <c r="AQ38" i="522"/>
  <c r="AR38" i="522" s="1"/>
  <c r="AS38" i="522" s="1"/>
  <c r="AT38" i="522" s="1"/>
  <c r="AS33" i="522"/>
  <c r="AT33" i="522" s="1"/>
  <c r="AS67" i="522"/>
  <c r="AT67" i="522" s="1"/>
  <c r="AS46" i="522"/>
  <c r="AT46" i="522" s="1"/>
  <c r="AS95" i="522"/>
  <c r="AT95" i="522" s="1"/>
  <c r="AP131" i="522"/>
  <c r="AQ31" i="522"/>
  <c r="AS106" i="522" l="1"/>
  <c r="AT106" i="522" s="1"/>
  <c r="AS105" i="522"/>
  <c r="AT105" i="522" s="1"/>
  <c r="AS107" i="522"/>
  <c r="AT107" i="522" s="1"/>
  <c r="AR31" i="522"/>
  <c r="AQ131" i="522"/>
  <c r="AR131" i="522" l="1"/>
  <c r="AS31" i="522"/>
  <c r="AT31" i="522" l="1"/>
  <c r="AU107" i="522" s="1"/>
  <c r="AS131" i="522"/>
  <c r="AU93" i="522"/>
  <c r="AU54" i="522"/>
  <c r="AU90" i="522"/>
  <c r="AU32" i="522"/>
  <c r="AU45" i="522"/>
  <c r="AU33" i="522"/>
  <c r="AU46" i="522"/>
  <c r="AU57" i="522"/>
  <c r="AU95" i="522"/>
  <c r="AU56" i="522"/>
  <c r="AU94" i="522"/>
  <c r="AU89" i="522" l="1"/>
  <c r="AU82" i="522"/>
  <c r="AU85" i="522"/>
  <c r="AU47" i="522"/>
  <c r="AU65" i="522"/>
  <c r="AU41" i="522"/>
  <c r="AU73" i="522"/>
  <c r="AU91" i="522"/>
  <c r="AU67" i="522"/>
  <c r="AU42" i="522"/>
  <c r="AU92" i="522"/>
  <c r="AU34" i="522"/>
  <c r="AU58" i="522"/>
  <c r="AU38" i="522"/>
  <c r="AU53" i="522"/>
  <c r="AU52" i="522"/>
  <c r="AU96" i="522"/>
  <c r="AU87" i="522"/>
  <c r="AU36" i="522"/>
  <c r="AU98" i="522"/>
  <c r="AU70" i="522"/>
  <c r="AU75" i="522"/>
  <c r="AU51" i="522"/>
  <c r="AU40" i="522"/>
  <c r="AU106" i="522"/>
  <c r="AU105" i="522"/>
  <c r="AU78" i="522"/>
  <c r="AU37" i="522"/>
  <c r="AT131" i="522"/>
  <c r="AU31" i="522"/>
  <c r="AV107" i="522" l="1"/>
  <c r="D107" i="526" s="1"/>
  <c r="AE107" i="526" s="1"/>
  <c r="AH107" i="526" s="1"/>
  <c r="I107" i="526" s="1"/>
  <c r="AV105" i="522"/>
  <c r="AW105" i="522" s="1"/>
  <c r="AV106" i="522"/>
  <c r="AU131" i="522"/>
  <c r="AV31" i="522"/>
  <c r="AV34" i="522"/>
  <c r="AV87" i="522"/>
  <c r="AV33" i="522"/>
  <c r="AV45" i="522"/>
  <c r="AV47" i="522"/>
  <c r="AV53" i="522"/>
  <c r="AV75" i="522"/>
  <c r="AV67" i="522"/>
  <c r="AV52" i="522"/>
  <c r="AV36" i="522"/>
  <c r="AV32" i="522"/>
  <c r="AV38" i="522"/>
  <c r="AV51" i="522"/>
  <c r="AV73" i="522"/>
  <c r="AV92" i="522"/>
  <c r="AV57" i="522"/>
  <c r="AV65" i="522"/>
  <c r="AV82" i="522"/>
  <c r="AV85" i="522"/>
  <c r="AV41" i="522"/>
  <c r="AV70" i="522"/>
  <c r="AV89" i="522"/>
  <c r="AV46" i="522"/>
  <c r="AV58" i="522"/>
  <c r="AV96" i="522"/>
  <c r="AV90" i="522"/>
  <c r="AV78" i="522"/>
  <c r="AV93" i="522"/>
  <c r="AV42" i="522"/>
  <c r="AV56" i="522"/>
  <c r="AV54" i="522"/>
  <c r="AV37" i="522"/>
  <c r="AV94" i="522"/>
  <c r="AV40" i="522"/>
  <c r="AV98" i="522"/>
  <c r="AV91" i="522"/>
  <c r="AV95" i="522"/>
  <c r="AW107" i="522" l="1"/>
  <c r="D105" i="526"/>
  <c r="AE105" i="526" s="1"/>
  <c r="AH105" i="526" s="1"/>
  <c r="I105" i="526" s="1"/>
  <c r="D106" i="526"/>
  <c r="AE106" i="526" s="1"/>
  <c r="AH106" i="526" s="1"/>
  <c r="I106" i="526" s="1"/>
  <c r="AW106" i="522"/>
  <c r="AW89" i="522"/>
  <c r="D89" i="526"/>
  <c r="AE89" i="526" s="1"/>
  <c r="AH89" i="526" s="1"/>
  <c r="I89" i="526" s="1"/>
  <c r="D53" i="526"/>
  <c r="AE53" i="526" s="1"/>
  <c r="AH53" i="526" s="1"/>
  <c r="I53" i="526" s="1"/>
  <c r="AW53" i="522"/>
  <c r="D42" i="526"/>
  <c r="AE42" i="526" s="1"/>
  <c r="AH42" i="526" s="1"/>
  <c r="I42" i="526" s="1"/>
  <c r="AW42" i="522"/>
  <c r="D96" i="526"/>
  <c r="AE96" i="526" s="1"/>
  <c r="AH96" i="526" s="1"/>
  <c r="I96" i="526" s="1"/>
  <c r="AW96" i="522"/>
  <c r="AW70" i="522"/>
  <c r="D70" i="526"/>
  <c r="AE70" i="526" s="1"/>
  <c r="AH70" i="526" s="1"/>
  <c r="I70" i="526" s="1"/>
  <c r="AW65" i="522"/>
  <c r="D65" i="526"/>
  <c r="AE65" i="526" s="1"/>
  <c r="AH65" i="526" s="1"/>
  <c r="I65" i="526" s="1"/>
  <c r="AW51" i="522"/>
  <c r="D51" i="526"/>
  <c r="AE51" i="526" s="1"/>
  <c r="AH51" i="526" s="1"/>
  <c r="I51" i="526" s="1"/>
  <c r="AW52" i="522"/>
  <c r="D52" i="526"/>
  <c r="AE52" i="526" s="1"/>
  <c r="AH52" i="526" s="1"/>
  <c r="I52" i="526" s="1"/>
  <c r="AW47" i="522"/>
  <c r="D47" i="526"/>
  <c r="AE47" i="526" s="1"/>
  <c r="AH47" i="526" s="1"/>
  <c r="I47" i="526" s="1"/>
  <c r="AW34" i="522"/>
  <c r="D34" i="526"/>
  <c r="AE34" i="526" s="1"/>
  <c r="AH34" i="526" s="1"/>
  <c r="I34" i="526" s="1"/>
  <c r="AW40" i="522"/>
  <c r="D40" i="526"/>
  <c r="AE40" i="526" s="1"/>
  <c r="AH40" i="526" s="1"/>
  <c r="I40" i="526" s="1"/>
  <c r="AW90" i="522"/>
  <c r="D90" i="526"/>
  <c r="AE90" i="526" s="1"/>
  <c r="AH90" i="526" s="1"/>
  <c r="I90" i="526" s="1"/>
  <c r="AW73" i="522"/>
  <c r="D73" i="526"/>
  <c r="AE73" i="526" s="1"/>
  <c r="AH73" i="526" s="1"/>
  <c r="I73" i="526" s="1"/>
  <c r="D87" i="526"/>
  <c r="AE87" i="526" s="1"/>
  <c r="AH87" i="526" s="1"/>
  <c r="I87" i="526" s="1"/>
  <c r="AW87" i="522"/>
  <c r="D95" i="526"/>
  <c r="AE95" i="526" s="1"/>
  <c r="AH95" i="526" s="1"/>
  <c r="I95" i="526" s="1"/>
  <c r="AW95" i="522"/>
  <c r="D91" i="526"/>
  <c r="AE91" i="526" s="1"/>
  <c r="AH91" i="526" s="1"/>
  <c r="I91" i="526" s="1"/>
  <c r="AW91" i="522"/>
  <c r="D37" i="526"/>
  <c r="AE37" i="526" s="1"/>
  <c r="AH37" i="526" s="1"/>
  <c r="I37" i="526" s="1"/>
  <c r="AW37" i="522"/>
  <c r="D93" i="526"/>
  <c r="AE93" i="526" s="1"/>
  <c r="AH93" i="526" s="1"/>
  <c r="I93" i="526" s="1"/>
  <c r="AW93" i="522"/>
  <c r="AW58" i="522"/>
  <c r="D58" i="526"/>
  <c r="AE58" i="526" s="1"/>
  <c r="AH58" i="526" s="1"/>
  <c r="I58" i="526" s="1"/>
  <c r="AW41" i="522"/>
  <c r="D41" i="526"/>
  <c r="AE41" i="526" s="1"/>
  <c r="AH41" i="526" s="1"/>
  <c r="I41" i="526" s="1"/>
  <c r="D57" i="526"/>
  <c r="AE57" i="526" s="1"/>
  <c r="AH57" i="526" s="1"/>
  <c r="I57" i="526" s="1"/>
  <c r="AW57" i="522"/>
  <c r="AW38" i="522"/>
  <c r="D38" i="526"/>
  <c r="AE38" i="526" s="1"/>
  <c r="AH38" i="526" s="1"/>
  <c r="I38" i="526" s="1"/>
  <c r="AW67" i="522"/>
  <c r="D67" i="526"/>
  <c r="AE67" i="526" s="1"/>
  <c r="AH67" i="526" s="1"/>
  <c r="I67" i="526" s="1"/>
  <c r="AW45" i="522"/>
  <c r="D45" i="526"/>
  <c r="AE45" i="526" s="1"/>
  <c r="AH45" i="526" s="1"/>
  <c r="I45" i="526" s="1"/>
  <c r="AV131" i="522"/>
  <c r="D31" i="526"/>
  <c r="AW31" i="522"/>
  <c r="AW56" i="522"/>
  <c r="D56" i="526"/>
  <c r="AE56" i="526" s="1"/>
  <c r="AH56" i="526" s="1"/>
  <c r="I56" i="526" s="1"/>
  <c r="D82" i="526"/>
  <c r="AE82" i="526" s="1"/>
  <c r="AH82" i="526" s="1"/>
  <c r="I82" i="526" s="1"/>
  <c r="AW82" i="522"/>
  <c r="AW36" i="522"/>
  <c r="D36" i="526"/>
  <c r="AE36" i="526" s="1"/>
  <c r="AH36" i="526" s="1"/>
  <c r="I36" i="526" s="1"/>
  <c r="D94" i="526"/>
  <c r="AE94" i="526" s="1"/>
  <c r="AH94" i="526" s="1"/>
  <c r="I94" i="526" s="1"/>
  <c r="AW94" i="522"/>
  <c r="AW98" i="522"/>
  <c r="D98" i="526"/>
  <c r="AE98" i="526" s="1"/>
  <c r="AH98" i="526" s="1"/>
  <c r="I98" i="526" s="1"/>
  <c r="D54" i="526"/>
  <c r="AE54" i="526" s="1"/>
  <c r="AH54" i="526" s="1"/>
  <c r="I54" i="526" s="1"/>
  <c r="AW54" i="522"/>
  <c r="D78" i="526"/>
  <c r="AE78" i="526" s="1"/>
  <c r="AH78" i="526" s="1"/>
  <c r="I78" i="526" s="1"/>
  <c r="AW78" i="522"/>
  <c r="D46" i="526"/>
  <c r="AE46" i="526" s="1"/>
  <c r="AH46" i="526" s="1"/>
  <c r="I46" i="526" s="1"/>
  <c r="AW46" i="522"/>
  <c r="AW85" i="522"/>
  <c r="D85" i="526"/>
  <c r="AE85" i="526" s="1"/>
  <c r="AH85" i="526" s="1"/>
  <c r="I85" i="526" s="1"/>
  <c r="D92" i="526"/>
  <c r="AE92" i="526" s="1"/>
  <c r="AH92" i="526" s="1"/>
  <c r="I92" i="526" s="1"/>
  <c r="AW92" i="522"/>
  <c r="D32" i="526"/>
  <c r="AE32" i="526" s="1"/>
  <c r="AH32" i="526" s="1"/>
  <c r="I32" i="526" s="1"/>
  <c r="AW32" i="522"/>
  <c r="AW75" i="522"/>
  <c r="D75" i="526"/>
  <c r="AE75" i="526" s="1"/>
  <c r="AH75" i="526" s="1"/>
  <c r="I75" i="526" s="1"/>
  <c r="D33" i="526"/>
  <c r="AE33" i="526" s="1"/>
  <c r="AH33" i="526" s="1"/>
  <c r="I33" i="526" s="1"/>
  <c r="AW33" i="522"/>
  <c r="AW131" i="522" l="1"/>
  <c r="AE31" i="526"/>
  <c r="AH31" i="526" s="1"/>
  <c r="D131" i="526"/>
  <c r="I31" i="526" l="1"/>
  <c r="I131" i="526" s="1"/>
  <c r="AH27" i="526"/>
  <c r="Y107" i="526" l="1"/>
  <c r="Z107" i="526" s="1"/>
  <c r="D107" i="539" s="1"/>
  <c r="G107" i="539" s="1"/>
  <c r="Y106" i="526"/>
  <c r="Z106" i="526" s="1"/>
  <c r="D106" i="539" s="1"/>
  <c r="G106" i="539" s="1"/>
  <c r="Y105" i="526"/>
  <c r="Z105" i="526" s="1"/>
  <c r="D105" i="539" s="1"/>
  <c r="G105" i="539" s="1"/>
  <c r="Y75" i="526"/>
  <c r="Z75" i="526" s="1"/>
  <c r="D75" i="539" s="1"/>
  <c r="G75" i="539" s="1"/>
  <c r="Y58" i="526"/>
  <c r="Z58" i="526" s="1"/>
  <c r="D58" i="539" s="1"/>
  <c r="G58" i="539" s="1"/>
  <c r="Y33" i="526"/>
  <c r="Z33" i="526" s="1"/>
  <c r="D33" i="539" s="1"/>
  <c r="G33" i="539" s="1"/>
  <c r="Y95" i="526"/>
  <c r="Z95" i="526" s="1"/>
  <c r="D95" i="539" s="1"/>
  <c r="G95" i="539" s="1"/>
  <c r="Y52" i="526"/>
  <c r="Z52" i="526" s="1"/>
  <c r="D52" i="539" s="1"/>
  <c r="G52" i="539" s="1"/>
  <c r="Y53" i="526"/>
  <c r="Z53" i="526" s="1"/>
  <c r="D53" i="539" s="1"/>
  <c r="G53" i="539" s="1"/>
  <c r="Y40" i="526"/>
  <c r="Z40" i="526" s="1"/>
  <c r="D40" i="539" s="1"/>
  <c r="G40" i="539" s="1"/>
  <c r="Y92" i="526"/>
  <c r="Z92" i="526" s="1"/>
  <c r="D92" i="539" s="1"/>
  <c r="G92" i="539" s="1"/>
  <c r="Y45" i="526"/>
  <c r="Z45" i="526" s="1"/>
  <c r="D45" i="539" s="1"/>
  <c r="G45" i="539" s="1"/>
  <c r="Y54" i="526"/>
  <c r="Z54" i="526" s="1"/>
  <c r="D54" i="539" s="1"/>
  <c r="G54" i="539" s="1"/>
  <c r="Y46" i="526"/>
  <c r="Z46" i="526" s="1"/>
  <c r="D46" i="539" s="1"/>
  <c r="G46" i="539" s="1"/>
  <c r="Y87" i="526"/>
  <c r="Z87" i="526" s="1"/>
  <c r="D87" i="539" s="1"/>
  <c r="G87" i="539" s="1"/>
  <c r="Y34" i="526"/>
  <c r="Z34" i="526" s="1"/>
  <c r="D34" i="539" s="1"/>
  <c r="G34" i="539" s="1"/>
  <c r="Y51" i="526"/>
  <c r="Z51" i="526" s="1"/>
  <c r="D51" i="539" s="1"/>
  <c r="G51" i="539" s="1"/>
  <c r="Y98" i="526"/>
  <c r="Z98" i="526" s="1"/>
  <c r="D98" i="539" s="1"/>
  <c r="G98" i="539" s="1"/>
  <c r="Y73" i="526"/>
  <c r="Z73" i="526" s="1"/>
  <c r="D73" i="539" s="1"/>
  <c r="G73" i="539" s="1"/>
  <c r="Y90" i="526"/>
  <c r="Z90" i="526" s="1"/>
  <c r="D90" i="539" s="1"/>
  <c r="G90" i="539" s="1"/>
  <c r="Y42" i="526"/>
  <c r="Z42" i="526" s="1"/>
  <c r="D42" i="539" s="1"/>
  <c r="G42" i="539" s="1"/>
  <c r="Y89" i="526"/>
  <c r="Z89" i="526" s="1"/>
  <c r="D89" i="539" s="1"/>
  <c r="G89" i="539" s="1"/>
  <c r="Y65" i="526"/>
  <c r="Z65" i="526" s="1"/>
  <c r="D65" i="539" s="1"/>
  <c r="G65" i="539" s="1"/>
  <c r="Y41" i="526"/>
  <c r="Z41" i="526" s="1"/>
  <c r="D41" i="539" s="1"/>
  <c r="G41" i="539" s="1"/>
  <c r="Y31" i="526"/>
  <c r="Z31" i="526" s="1"/>
  <c r="Y78" i="526"/>
  <c r="Z78" i="526" s="1"/>
  <c r="D78" i="539" s="1"/>
  <c r="G78" i="539" s="1"/>
  <c r="Y38" i="526"/>
  <c r="Z38" i="526" s="1"/>
  <c r="D38" i="539" s="1"/>
  <c r="G38" i="539" s="1"/>
  <c r="Y96" i="526"/>
  <c r="Z96" i="526" s="1"/>
  <c r="D96" i="539" s="1"/>
  <c r="G96" i="539" s="1"/>
  <c r="Y82" i="526"/>
  <c r="Z82" i="526" s="1"/>
  <c r="D82" i="539" s="1"/>
  <c r="G82" i="539" s="1"/>
  <c r="Y47" i="526"/>
  <c r="Z47" i="526" s="1"/>
  <c r="D47" i="539" s="1"/>
  <c r="G47" i="539" s="1"/>
  <c r="Y56" i="526"/>
  <c r="Z56" i="526" s="1"/>
  <c r="D56" i="539" s="1"/>
  <c r="G56" i="539" s="1"/>
  <c r="Y57" i="526"/>
  <c r="Z57" i="526" s="1"/>
  <c r="D57" i="539" s="1"/>
  <c r="G57" i="539" s="1"/>
  <c r="Y36" i="526"/>
  <c r="Z36" i="526" s="1"/>
  <c r="D36" i="539" s="1"/>
  <c r="G36" i="539" s="1"/>
  <c r="Y93" i="526"/>
  <c r="Z93" i="526" s="1"/>
  <c r="D93" i="539" s="1"/>
  <c r="G93" i="539" s="1"/>
  <c r="Y91" i="526"/>
  <c r="Z91" i="526" s="1"/>
  <c r="D91" i="539" s="1"/>
  <c r="G91" i="539" s="1"/>
  <c r="Y37" i="526"/>
  <c r="Z37" i="526" s="1"/>
  <c r="D37" i="539" s="1"/>
  <c r="G37" i="539" s="1"/>
  <c r="Y85" i="526"/>
  <c r="Z85" i="526" s="1"/>
  <c r="D85" i="539" s="1"/>
  <c r="G85" i="539" s="1"/>
  <c r="Y67" i="526"/>
  <c r="Z67" i="526" s="1"/>
  <c r="D67" i="539" s="1"/>
  <c r="G67" i="539" s="1"/>
  <c r="Y94" i="526"/>
  <c r="Z94" i="526" s="1"/>
  <c r="D94" i="539" s="1"/>
  <c r="G94" i="539" s="1"/>
  <c r="Y70" i="526"/>
  <c r="Z70" i="526" s="1"/>
  <c r="D70" i="539" s="1"/>
  <c r="G70" i="539" s="1"/>
  <c r="Y32" i="526"/>
  <c r="Z32" i="526" s="1"/>
  <c r="D32" i="539" s="1"/>
  <c r="G32" i="539" s="1"/>
  <c r="J107" i="539" l="1"/>
  <c r="I107" i="539"/>
  <c r="I106" i="539"/>
  <c r="J106" i="539"/>
  <c r="I105" i="539"/>
  <c r="J105" i="539"/>
  <c r="J70" i="539"/>
  <c r="I70" i="539"/>
  <c r="J96" i="539"/>
  <c r="I96" i="539"/>
  <c r="J94" i="539"/>
  <c r="I94" i="539"/>
  <c r="J34" i="539"/>
  <c r="I34" i="539"/>
  <c r="I37" i="539"/>
  <c r="J37" i="539"/>
  <c r="I46" i="539"/>
  <c r="J46" i="539"/>
  <c r="I91" i="539"/>
  <c r="J91" i="539"/>
  <c r="J67" i="539"/>
  <c r="I67" i="539"/>
  <c r="I47" i="539"/>
  <c r="J47" i="539"/>
  <c r="I65" i="539"/>
  <c r="J65" i="539"/>
  <c r="J73" i="539"/>
  <c r="I73" i="539"/>
  <c r="J57" i="539"/>
  <c r="I57" i="539"/>
  <c r="Z131" i="526"/>
  <c r="D31" i="539"/>
  <c r="J92" i="539"/>
  <c r="I92" i="539"/>
  <c r="I56" i="539"/>
  <c r="J56" i="539"/>
  <c r="J93" i="539"/>
  <c r="I93" i="539"/>
  <c r="I78" i="539"/>
  <c r="J78" i="539"/>
  <c r="J32" i="539"/>
  <c r="I32" i="539"/>
  <c r="I85" i="539"/>
  <c r="J85" i="539"/>
  <c r="I87" i="539"/>
  <c r="J87" i="539"/>
  <c r="I53" i="539"/>
  <c r="J53" i="539"/>
  <c r="I40" i="539"/>
  <c r="J40" i="539"/>
  <c r="J95" i="539"/>
  <c r="I95" i="539"/>
  <c r="J42" i="539"/>
  <c r="I42" i="539"/>
  <c r="J41" i="539"/>
  <c r="I41" i="539"/>
  <c r="J75" i="539"/>
  <c r="I75" i="539"/>
  <c r="I33" i="539"/>
  <c r="J33" i="539"/>
  <c r="I90" i="539"/>
  <c r="J90" i="539"/>
  <c r="J36" i="539"/>
  <c r="I36" i="539"/>
  <c r="J89" i="539"/>
  <c r="I89" i="539"/>
  <c r="I38" i="539"/>
  <c r="J38" i="539"/>
  <c r="I98" i="539"/>
  <c r="J98" i="539"/>
  <c r="I51" i="539"/>
  <c r="J51" i="539"/>
  <c r="J52" i="539"/>
  <c r="I52" i="539"/>
  <c r="Y131" i="526"/>
  <c r="J45" i="539"/>
  <c r="I45" i="539"/>
  <c r="J58" i="539"/>
  <c r="I58" i="539"/>
  <c r="I82" i="539"/>
  <c r="J82" i="539"/>
  <c r="J54" i="539"/>
  <c r="I54" i="539"/>
  <c r="G31" i="539" l="1"/>
  <c r="D131" i="539"/>
  <c r="J31" i="539" l="1"/>
  <c r="J131" i="539" s="1"/>
  <c r="K6" i="539" s="1"/>
  <c r="I31" i="539"/>
  <c r="I131" i="539" s="1"/>
  <c r="G131" i="539"/>
  <c r="K107" i="539" l="1"/>
  <c r="L107" i="539" s="1"/>
  <c r="K106" i="539"/>
  <c r="L106" i="539" s="1"/>
  <c r="K105" i="539"/>
  <c r="L105" i="539" s="1"/>
  <c r="K31" i="539"/>
  <c r="L31" i="539" s="1"/>
  <c r="K94" i="539"/>
  <c r="L94" i="539" s="1"/>
  <c r="K91" i="539"/>
  <c r="L91" i="539" s="1"/>
  <c r="K73" i="539"/>
  <c r="L73" i="539" s="1"/>
  <c r="K92" i="539"/>
  <c r="L92" i="539" s="1"/>
  <c r="K32" i="539"/>
  <c r="L32" i="539" s="1"/>
  <c r="K40" i="539"/>
  <c r="L40" i="539" s="1"/>
  <c r="K75" i="539"/>
  <c r="L75" i="539" s="1"/>
  <c r="K89" i="539"/>
  <c r="L89" i="539" s="1"/>
  <c r="K52" i="539"/>
  <c r="L52" i="539" s="1"/>
  <c r="K45" i="539"/>
  <c r="L45" i="539" s="1"/>
  <c r="K82" i="539"/>
  <c r="L82" i="539" s="1"/>
  <c r="K34" i="539"/>
  <c r="L34" i="539" s="1"/>
  <c r="K58" i="539"/>
  <c r="L58" i="539" s="1"/>
  <c r="K96" i="539"/>
  <c r="L96" i="539" s="1"/>
  <c r="K46" i="539"/>
  <c r="L46" i="539" s="1"/>
  <c r="K65" i="539"/>
  <c r="L65" i="539" s="1"/>
  <c r="K78" i="539"/>
  <c r="L78" i="539" s="1"/>
  <c r="K53" i="539"/>
  <c r="L53" i="539" s="1"/>
  <c r="K41" i="539"/>
  <c r="L41" i="539" s="1"/>
  <c r="K36" i="539"/>
  <c r="L36" i="539" s="1"/>
  <c r="K51" i="539"/>
  <c r="L51" i="539" s="1"/>
  <c r="K54" i="539"/>
  <c r="L54" i="539" s="1"/>
  <c r="K57" i="539"/>
  <c r="L57" i="539" s="1"/>
  <c r="K85" i="539"/>
  <c r="L85" i="539" s="1"/>
  <c r="K95" i="539"/>
  <c r="L95" i="539" s="1"/>
  <c r="K33" i="539"/>
  <c r="L33" i="539" s="1"/>
  <c r="K38" i="539"/>
  <c r="L38" i="539" s="1"/>
  <c r="K70" i="539"/>
  <c r="L70" i="539" s="1"/>
  <c r="K37" i="539"/>
  <c r="L37" i="539" s="1"/>
  <c r="K47" i="539"/>
  <c r="L47" i="539" s="1"/>
  <c r="K93" i="539"/>
  <c r="L93" i="539" s="1"/>
  <c r="K87" i="539"/>
  <c r="L87" i="539" s="1"/>
  <c r="K42" i="539"/>
  <c r="L42" i="539" s="1"/>
  <c r="K90" i="539"/>
  <c r="L90" i="539" s="1"/>
  <c r="K98" i="539"/>
  <c r="L98" i="539" s="1"/>
  <c r="K67" i="539"/>
  <c r="L67" i="539" s="1"/>
  <c r="K56" i="539"/>
  <c r="L56" i="539" s="1"/>
  <c r="L131" i="539" l="1"/>
  <c r="K131" i="539"/>
  <c r="Y47" i="539" l="1"/>
  <c r="Z47" i="539" s="1"/>
  <c r="H47" i="527" s="1"/>
  <c r="E47" i="528" s="1"/>
  <c r="Y107" i="539"/>
  <c r="Y106" i="539"/>
  <c r="Y105" i="539"/>
  <c r="Y93" i="539"/>
  <c r="G93" i="527" s="1"/>
  <c r="Y33" i="539"/>
  <c r="Z33" i="539" s="1"/>
  <c r="H33" i="527" s="1"/>
  <c r="E33" i="528" s="1"/>
  <c r="Y46" i="539"/>
  <c r="Z46" i="539" s="1"/>
  <c r="H46" i="527" s="1"/>
  <c r="E46" i="528" s="1"/>
  <c r="Y89" i="539"/>
  <c r="Z89" i="539" s="1"/>
  <c r="H89" i="527" s="1"/>
  <c r="E89" i="528" s="1"/>
  <c r="Y45" i="539"/>
  <c r="Y32" i="539"/>
  <c r="Y57" i="539"/>
  <c r="Y31" i="539"/>
  <c r="Y87" i="539"/>
  <c r="Y90" i="539"/>
  <c r="Y58" i="539"/>
  <c r="Y37" i="539"/>
  <c r="Y96" i="539"/>
  <c r="Y85" i="539"/>
  <c r="Y91" i="539"/>
  <c r="Y51" i="539"/>
  <c r="Y56" i="539"/>
  <c r="Y73" i="539"/>
  <c r="Y41" i="539"/>
  <c r="Y98" i="539"/>
  <c r="Y34" i="539"/>
  <c r="Y70" i="539"/>
  <c r="Y54" i="539"/>
  <c r="Y52" i="539"/>
  <c r="Y95" i="539"/>
  <c r="Y75" i="539"/>
  <c r="Y40" i="539"/>
  <c r="Y65" i="539"/>
  <c r="Y82" i="539"/>
  <c r="Y38" i="539"/>
  <c r="Y53" i="539"/>
  <c r="Y92" i="539"/>
  <c r="Y36" i="539"/>
  <c r="Y67" i="539"/>
  <c r="Y94" i="539"/>
  <c r="Y78" i="539"/>
  <c r="Y42" i="539"/>
  <c r="G47" i="527" l="1"/>
  <c r="Z107" i="539"/>
  <c r="H107" i="527" s="1"/>
  <c r="E107" i="528" s="1"/>
  <c r="G107" i="527"/>
  <c r="Z93" i="539"/>
  <c r="H93" i="527" s="1"/>
  <c r="E93" i="528" s="1"/>
  <c r="F93" i="528" s="1"/>
  <c r="G106" i="527"/>
  <c r="Z106" i="539"/>
  <c r="H106" i="527" s="1"/>
  <c r="E106" i="528" s="1"/>
  <c r="G105" i="527"/>
  <c r="Z105" i="539"/>
  <c r="H105" i="527" s="1"/>
  <c r="E105" i="528" s="1"/>
  <c r="G46" i="527"/>
  <c r="G33" i="527"/>
  <c r="G89" i="527"/>
  <c r="G75" i="527"/>
  <c r="Z75" i="539"/>
  <c r="H75" i="527" s="1"/>
  <c r="E75" i="528" s="1"/>
  <c r="G73" i="527"/>
  <c r="Z73" i="539"/>
  <c r="H73" i="527" s="1"/>
  <c r="E73" i="528" s="1"/>
  <c r="Z37" i="539"/>
  <c r="H37" i="527" s="1"/>
  <c r="E37" i="528" s="1"/>
  <c r="G37" i="527"/>
  <c r="G42" i="527"/>
  <c r="Z42" i="539"/>
  <c r="H42" i="527" s="1"/>
  <c r="E42" i="528" s="1"/>
  <c r="Z36" i="539"/>
  <c r="H36" i="527" s="1"/>
  <c r="E36" i="528" s="1"/>
  <c r="G36" i="527"/>
  <c r="G82" i="527"/>
  <c r="Z82" i="539"/>
  <c r="H82" i="527" s="1"/>
  <c r="E82" i="528" s="1"/>
  <c r="Z95" i="539"/>
  <c r="H95" i="527" s="1"/>
  <c r="E95" i="528" s="1"/>
  <c r="G95" i="527"/>
  <c r="G34" i="527"/>
  <c r="Z34" i="539"/>
  <c r="H34" i="527" s="1"/>
  <c r="E34" i="528" s="1"/>
  <c r="G56" i="527"/>
  <c r="Z56" i="539"/>
  <c r="H56" i="527" s="1"/>
  <c r="E56" i="528" s="1"/>
  <c r="F33" i="528"/>
  <c r="G33" i="528"/>
  <c r="G58" i="527"/>
  <c r="Z58" i="539"/>
  <c r="H58" i="527" s="1"/>
  <c r="E58" i="528" s="1"/>
  <c r="G57" i="527"/>
  <c r="Z57" i="539"/>
  <c r="H57" i="527" s="1"/>
  <c r="E57" i="528" s="1"/>
  <c r="G67" i="527"/>
  <c r="Z67" i="539"/>
  <c r="H67" i="527" s="1"/>
  <c r="E67" i="528" s="1"/>
  <c r="G78" i="527"/>
  <c r="Z78" i="539"/>
  <c r="H78" i="527" s="1"/>
  <c r="E78" i="528" s="1"/>
  <c r="G92" i="527"/>
  <c r="Z92" i="539"/>
  <c r="H92" i="527" s="1"/>
  <c r="E92" i="528" s="1"/>
  <c r="Z65" i="539"/>
  <c r="H65" i="527" s="1"/>
  <c r="E65" i="528" s="1"/>
  <c r="G65" i="527"/>
  <c r="Z52" i="539"/>
  <c r="H52" i="527" s="1"/>
  <c r="E52" i="528" s="1"/>
  <c r="G52" i="527"/>
  <c r="Z98" i="539"/>
  <c r="H98" i="527" s="1"/>
  <c r="E98" i="528" s="1"/>
  <c r="G98" i="527"/>
  <c r="Z51" i="539"/>
  <c r="H51" i="527" s="1"/>
  <c r="E51" i="528" s="1"/>
  <c r="G51" i="527"/>
  <c r="G90" i="527"/>
  <c r="Z90" i="539"/>
  <c r="H90" i="527" s="1"/>
  <c r="E90" i="528" s="1"/>
  <c r="G32" i="527"/>
  <c r="Z32" i="539"/>
  <c r="H32" i="527" s="1"/>
  <c r="E32" i="528" s="1"/>
  <c r="F46" i="528"/>
  <c r="G46" i="528"/>
  <c r="G47" i="528"/>
  <c r="F47" i="528"/>
  <c r="G38" i="527"/>
  <c r="Z38" i="539"/>
  <c r="H38" i="527" s="1"/>
  <c r="E38" i="528" s="1"/>
  <c r="G70" i="527"/>
  <c r="Z70" i="539"/>
  <c r="H70" i="527" s="1"/>
  <c r="E70" i="528" s="1"/>
  <c r="Z85" i="539"/>
  <c r="H85" i="527" s="1"/>
  <c r="E85" i="528" s="1"/>
  <c r="G85" i="527"/>
  <c r="G31" i="527"/>
  <c r="Z31" i="539"/>
  <c r="Y131" i="539"/>
  <c r="Z94" i="539"/>
  <c r="H94" i="527" s="1"/>
  <c r="E94" i="528" s="1"/>
  <c r="G94" i="527"/>
  <c r="Z53" i="539"/>
  <c r="H53" i="527" s="1"/>
  <c r="E53" i="528" s="1"/>
  <c r="G53" i="527"/>
  <c r="Z40" i="539"/>
  <c r="H40" i="527" s="1"/>
  <c r="E40" i="528" s="1"/>
  <c r="G40" i="527"/>
  <c r="Z54" i="539"/>
  <c r="H54" i="527" s="1"/>
  <c r="E54" i="528" s="1"/>
  <c r="G54" i="527"/>
  <c r="G41" i="527"/>
  <c r="Z41" i="539"/>
  <c r="H41" i="527" s="1"/>
  <c r="E41" i="528" s="1"/>
  <c r="Z91" i="539"/>
  <c r="H91" i="527" s="1"/>
  <c r="E91" i="528" s="1"/>
  <c r="G91" i="527"/>
  <c r="Z96" i="539"/>
  <c r="H96" i="527" s="1"/>
  <c r="E96" i="528" s="1"/>
  <c r="G96" i="527"/>
  <c r="G87" i="527"/>
  <c r="Z87" i="539"/>
  <c r="H87" i="527" s="1"/>
  <c r="E87" i="528" s="1"/>
  <c r="G89" i="528"/>
  <c r="F89" i="528"/>
  <c r="G45" i="527"/>
  <c r="Z45" i="539"/>
  <c r="H45" i="527" s="1"/>
  <c r="E45" i="528" s="1"/>
  <c r="G107" i="528" l="1"/>
  <c r="F107" i="528"/>
  <c r="G93" i="528"/>
  <c r="F106" i="528"/>
  <c r="G106" i="528"/>
  <c r="F105" i="528"/>
  <c r="G105" i="528"/>
  <c r="G54" i="528"/>
  <c r="F54" i="528"/>
  <c r="G70" i="528"/>
  <c r="F70" i="528"/>
  <c r="G34" i="528"/>
  <c r="F34" i="528"/>
  <c r="G73" i="528"/>
  <c r="F73" i="528"/>
  <c r="F41" i="528"/>
  <c r="G41" i="528"/>
  <c r="G131" i="527"/>
  <c r="G51" i="528"/>
  <c r="F51" i="528"/>
  <c r="F52" i="528"/>
  <c r="G52" i="528"/>
  <c r="G53" i="528"/>
  <c r="F53" i="528"/>
  <c r="G32" i="528"/>
  <c r="F32" i="528"/>
  <c r="F57" i="528"/>
  <c r="G57" i="528"/>
  <c r="F42" i="528"/>
  <c r="G42" i="528"/>
  <c r="F96" i="528"/>
  <c r="G96" i="528"/>
  <c r="F40" i="528"/>
  <c r="G40" i="528"/>
  <c r="G94" i="528"/>
  <c r="F94" i="528"/>
  <c r="F38" i="528"/>
  <c r="G38" i="528"/>
  <c r="F90" i="528"/>
  <c r="G90" i="528"/>
  <c r="G78" i="528"/>
  <c r="F78" i="528"/>
  <c r="F67" i="528"/>
  <c r="G67" i="528"/>
  <c r="F58" i="528"/>
  <c r="G58" i="528"/>
  <c r="F56" i="528"/>
  <c r="G56" i="528"/>
  <c r="F75" i="528"/>
  <c r="G75" i="528"/>
  <c r="G91" i="528"/>
  <c r="F91" i="528"/>
  <c r="H31" i="527"/>
  <c r="Z131" i="539"/>
  <c r="G92" i="528"/>
  <c r="F92" i="528"/>
  <c r="G82" i="528"/>
  <c r="F82" i="528"/>
  <c r="G45" i="528"/>
  <c r="F45" i="528"/>
  <c r="F87" i="528"/>
  <c r="G87" i="528"/>
  <c r="G85" i="528"/>
  <c r="F85" i="528"/>
  <c r="G98" i="528"/>
  <c r="F98" i="528"/>
  <c r="G65" i="528"/>
  <c r="F65" i="528"/>
  <c r="G95" i="528"/>
  <c r="F95" i="528"/>
  <c r="G36" i="528"/>
  <c r="F36" i="528"/>
  <c r="G37" i="528"/>
  <c r="F37" i="528"/>
  <c r="H53" i="528" l="1"/>
  <c r="J53" i="528" s="1"/>
  <c r="H51" i="528"/>
  <c r="J51" i="528" s="1"/>
  <c r="H131" i="527"/>
  <c r="E31" i="528"/>
  <c r="I53" i="528" l="1"/>
  <c r="K53" i="528" s="1"/>
  <c r="L53" i="528" s="1"/>
  <c r="I51" i="528"/>
  <c r="K51" i="528" s="1"/>
  <c r="E131" i="528"/>
  <c r="G31" i="528"/>
  <c r="G131" i="528" s="1"/>
  <c r="F31" i="528"/>
  <c r="H93" i="528" s="1"/>
  <c r="J93" i="528" l="1"/>
  <c r="I93" i="528"/>
  <c r="K93" i="528" s="1"/>
  <c r="M93" i="528" s="1"/>
  <c r="H47" i="528"/>
  <c r="J47" i="528" s="1"/>
  <c r="H78" i="528"/>
  <c r="H107" i="528"/>
  <c r="H105" i="528"/>
  <c r="H106" i="528"/>
  <c r="H33" i="528"/>
  <c r="H37" i="528"/>
  <c r="H91" i="528"/>
  <c r="H56" i="528"/>
  <c r="H52" i="528"/>
  <c r="M53" i="528"/>
  <c r="N53" i="528" s="1"/>
  <c r="L93" i="528"/>
  <c r="N93" i="528" s="1"/>
  <c r="H31" i="528"/>
  <c r="H89" i="528"/>
  <c r="H46" i="528"/>
  <c r="H87" i="528"/>
  <c r="H90" i="528"/>
  <c r="H82" i="528"/>
  <c r="H85" i="528"/>
  <c r="H32" i="528"/>
  <c r="H73" i="528"/>
  <c r="H95" i="528"/>
  <c r="H75" i="528"/>
  <c r="H42" i="528"/>
  <c r="H38" i="528"/>
  <c r="H67" i="528"/>
  <c r="H96" i="528"/>
  <c r="H92" i="528"/>
  <c r="H41" i="528"/>
  <c r="H65" i="528"/>
  <c r="H98" i="528"/>
  <c r="H58" i="528"/>
  <c r="H36" i="528"/>
  <c r="H54" i="528"/>
  <c r="H57" i="528"/>
  <c r="H70" i="528"/>
  <c r="H34" i="528"/>
  <c r="H45" i="528"/>
  <c r="H94" i="528"/>
  <c r="H40" i="528"/>
  <c r="L51" i="528"/>
  <c r="M51" i="528"/>
  <c r="I47" i="528" l="1"/>
  <c r="K47" i="528" s="1"/>
  <c r="L47" i="528" s="1"/>
  <c r="I78" i="528"/>
  <c r="J78" i="528"/>
  <c r="I106" i="528"/>
  <c r="J106" i="528"/>
  <c r="I105" i="528"/>
  <c r="J105" i="528"/>
  <c r="J107" i="528"/>
  <c r="I107" i="528"/>
  <c r="I37" i="528"/>
  <c r="J37" i="528"/>
  <c r="J33" i="528"/>
  <c r="I33" i="528"/>
  <c r="I56" i="528"/>
  <c r="J56" i="528"/>
  <c r="J52" i="528"/>
  <c r="I52" i="528"/>
  <c r="J91" i="528"/>
  <c r="I91" i="528"/>
  <c r="P93" i="528"/>
  <c r="O93" i="528"/>
  <c r="J36" i="528"/>
  <c r="I36" i="528"/>
  <c r="I73" i="528"/>
  <c r="J73" i="528"/>
  <c r="H131" i="528"/>
  <c r="J31" i="528"/>
  <c r="I31" i="528"/>
  <c r="N51" i="528"/>
  <c r="J40" i="528"/>
  <c r="I40" i="528"/>
  <c r="J70" i="528"/>
  <c r="I70" i="528"/>
  <c r="I58" i="528"/>
  <c r="J58" i="528"/>
  <c r="I92" i="528"/>
  <c r="J92" i="528"/>
  <c r="I42" i="528"/>
  <c r="J42" i="528"/>
  <c r="J32" i="528"/>
  <c r="I32" i="528"/>
  <c r="I87" i="528"/>
  <c r="J87" i="528"/>
  <c r="P53" i="528"/>
  <c r="O53" i="528"/>
  <c r="J34" i="528"/>
  <c r="I34" i="528"/>
  <c r="I38" i="528"/>
  <c r="J38" i="528"/>
  <c r="J94" i="528"/>
  <c r="I94" i="528"/>
  <c r="J57" i="528"/>
  <c r="I57" i="528"/>
  <c r="J98" i="528"/>
  <c r="I98" i="528"/>
  <c r="I96" i="528"/>
  <c r="J96" i="528"/>
  <c r="J75" i="528"/>
  <c r="I75" i="528"/>
  <c r="I85" i="528"/>
  <c r="J85" i="528"/>
  <c r="J46" i="528"/>
  <c r="I46" i="528"/>
  <c r="I41" i="528"/>
  <c r="J41" i="528"/>
  <c r="J90" i="528"/>
  <c r="I90" i="528"/>
  <c r="J45" i="528"/>
  <c r="I45" i="528"/>
  <c r="I54" i="528"/>
  <c r="J54" i="528"/>
  <c r="I65" i="528"/>
  <c r="J65" i="528"/>
  <c r="I67" i="528"/>
  <c r="J67" i="528"/>
  <c r="I95" i="528"/>
  <c r="J95" i="528"/>
  <c r="I82" i="528"/>
  <c r="J82" i="528"/>
  <c r="J89" i="528"/>
  <c r="I89" i="528"/>
  <c r="K78" i="528" l="1"/>
  <c r="L78" i="528" s="1"/>
  <c r="M47" i="528"/>
  <c r="N47" i="528" s="1"/>
  <c r="K33" i="528"/>
  <c r="M33" i="528" s="1"/>
  <c r="K106" i="528"/>
  <c r="K107" i="528"/>
  <c r="K105" i="528"/>
  <c r="K52" i="528"/>
  <c r="M52" i="528" s="1"/>
  <c r="K37" i="528"/>
  <c r="K56" i="528"/>
  <c r="K91" i="528"/>
  <c r="Q93" i="528"/>
  <c r="S93" i="528" s="1"/>
  <c r="Q53" i="528"/>
  <c r="S53" i="528" s="1"/>
  <c r="K40" i="528"/>
  <c r="K82" i="528"/>
  <c r="K67" i="528"/>
  <c r="K54" i="528"/>
  <c r="K41" i="528"/>
  <c r="K85" i="528"/>
  <c r="K96" i="528"/>
  <c r="K38" i="528"/>
  <c r="K87" i="528"/>
  <c r="K42" i="528"/>
  <c r="K58" i="528"/>
  <c r="K57" i="528"/>
  <c r="K36" i="528"/>
  <c r="K89" i="528"/>
  <c r="K90" i="528"/>
  <c r="K46" i="528"/>
  <c r="K75" i="528"/>
  <c r="K98" i="528"/>
  <c r="K94" i="528"/>
  <c r="K34" i="528"/>
  <c r="K32" i="528"/>
  <c r="K70" i="528"/>
  <c r="P51" i="528"/>
  <c r="O51" i="528"/>
  <c r="J131" i="528"/>
  <c r="K45" i="528"/>
  <c r="K95" i="528"/>
  <c r="K65" i="528"/>
  <c r="K92" i="528"/>
  <c r="K31" i="528"/>
  <c r="I131" i="528"/>
  <c r="K73" i="528"/>
  <c r="M78" i="528" l="1"/>
  <c r="N78" i="528" s="1"/>
  <c r="L33" i="528"/>
  <c r="P47" i="528"/>
  <c r="O47" i="528"/>
  <c r="M107" i="528"/>
  <c r="L107" i="528"/>
  <c r="M105" i="528"/>
  <c r="L105" i="528"/>
  <c r="L106" i="528"/>
  <c r="M106" i="528"/>
  <c r="L52" i="528"/>
  <c r="L37" i="528"/>
  <c r="M37" i="528"/>
  <c r="M56" i="528"/>
  <c r="L56" i="528"/>
  <c r="L91" i="528"/>
  <c r="M91" i="528"/>
  <c r="R93" i="528"/>
  <c r="T93" i="528" s="1"/>
  <c r="U93" i="528" s="1"/>
  <c r="D93" i="529" s="1"/>
  <c r="F93" i="529" s="1"/>
  <c r="T93" i="532" s="1"/>
  <c r="R53" i="528"/>
  <c r="T53" i="528" s="1"/>
  <c r="U53" i="528" s="1"/>
  <c r="Q51" i="528"/>
  <c r="S51" i="528" s="1"/>
  <c r="L94" i="528"/>
  <c r="M94" i="528"/>
  <c r="L96" i="528"/>
  <c r="M96" i="528"/>
  <c r="M65" i="528"/>
  <c r="L65" i="528"/>
  <c r="M98" i="528"/>
  <c r="L98" i="528"/>
  <c r="M89" i="528"/>
  <c r="L89" i="528"/>
  <c r="L42" i="528"/>
  <c r="M42" i="528"/>
  <c r="L85" i="528"/>
  <c r="M85" i="528"/>
  <c r="M67" i="528"/>
  <c r="L67" i="528"/>
  <c r="M40" i="528"/>
  <c r="L40" i="528"/>
  <c r="M90" i="528"/>
  <c r="L90" i="528"/>
  <c r="M54" i="528"/>
  <c r="L54" i="528"/>
  <c r="M45" i="528"/>
  <c r="L45" i="528"/>
  <c r="K131" i="528"/>
  <c r="M31" i="528"/>
  <c r="L31" i="528"/>
  <c r="N33" i="528" s="1"/>
  <c r="L95" i="528"/>
  <c r="M95" i="528"/>
  <c r="L75" i="528"/>
  <c r="M75" i="528"/>
  <c r="M36" i="528"/>
  <c r="L36" i="528"/>
  <c r="M87" i="528"/>
  <c r="L87" i="528"/>
  <c r="M41" i="528"/>
  <c r="L41" i="528"/>
  <c r="M82" i="528"/>
  <c r="L82" i="528"/>
  <c r="M73" i="528"/>
  <c r="L73" i="528"/>
  <c r="L32" i="528"/>
  <c r="M32" i="528"/>
  <c r="M58" i="528"/>
  <c r="L58" i="528"/>
  <c r="M92" i="528"/>
  <c r="L92" i="528"/>
  <c r="M70" i="528"/>
  <c r="L70" i="528"/>
  <c r="M34" i="528"/>
  <c r="L34" i="528"/>
  <c r="M46" i="528"/>
  <c r="L46" i="528"/>
  <c r="M57" i="528"/>
  <c r="L57" i="528"/>
  <c r="M38" i="528"/>
  <c r="L38" i="528"/>
  <c r="P78" i="528" l="1"/>
  <c r="O78" i="528"/>
  <c r="Q47" i="528"/>
  <c r="S47" i="528" s="1"/>
  <c r="P33" i="528"/>
  <c r="O33" i="528"/>
  <c r="N37" i="528"/>
  <c r="O37" i="528" s="1"/>
  <c r="N106" i="528"/>
  <c r="N107" i="528"/>
  <c r="N105" i="528"/>
  <c r="N52" i="528"/>
  <c r="O52" i="528" s="1"/>
  <c r="N91" i="528"/>
  <c r="N56" i="528"/>
  <c r="E93" i="531"/>
  <c r="F93" i="531" s="1"/>
  <c r="G93" i="529"/>
  <c r="N67" i="528"/>
  <c r="O67" i="528" s="1"/>
  <c r="R51" i="528"/>
  <c r="T51" i="528" s="1"/>
  <c r="U51" i="528" s="1"/>
  <c r="N41" i="528"/>
  <c r="O41" i="528" s="1"/>
  <c r="N92" i="528"/>
  <c r="O92" i="528" s="1"/>
  <c r="N87" i="528"/>
  <c r="N54" i="528"/>
  <c r="N98" i="528"/>
  <c r="N57" i="528"/>
  <c r="N34" i="528"/>
  <c r="N32" i="528"/>
  <c r="N75" i="528"/>
  <c r="N42" i="528"/>
  <c r="N96" i="528"/>
  <c r="N82" i="528"/>
  <c r="D53" i="529"/>
  <c r="N58" i="528"/>
  <c r="N73" i="528"/>
  <c r="N36" i="528"/>
  <c r="N95" i="528"/>
  <c r="N45" i="528"/>
  <c r="N90" i="528"/>
  <c r="N40" i="528"/>
  <c r="N89" i="528"/>
  <c r="N65" i="528"/>
  <c r="M131" i="528"/>
  <c r="N38" i="528"/>
  <c r="N46" i="528"/>
  <c r="N70" i="528"/>
  <c r="L131" i="528"/>
  <c r="N31" i="528"/>
  <c r="N85" i="528"/>
  <c r="N94" i="528"/>
  <c r="Q78" i="528" l="1"/>
  <c r="R47" i="528"/>
  <c r="T47" i="528" s="1"/>
  <c r="U47" i="528" s="1"/>
  <c r="D47" i="529" s="1"/>
  <c r="F47" i="529" s="1"/>
  <c r="G47" i="529" s="1"/>
  <c r="P37" i="528"/>
  <c r="P105" i="528"/>
  <c r="O105" i="528"/>
  <c r="P107" i="528"/>
  <c r="O107" i="528"/>
  <c r="P106" i="528"/>
  <c r="O106" i="528"/>
  <c r="P52" i="528"/>
  <c r="P56" i="528"/>
  <c r="O56" i="528"/>
  <c r="O91" i="528"/>
  <c r="P91" i="528"/>
  <c r="P67" i="528"/>
  <c r="Q67" i="528" s="1"/>
  <c r="P41" i="528"/>
  <c r="P92" i="528"/>
  <c r="P73" i="528"/>
  <c r="O73" i="528"/>
  <c r="O70" i="528"/>
  <c r="P70" i="528"/>
  <c r="P40" i="528"/>
  <c r="O40" i="528"/>
  <c r="O36" i="528"/>
  <c r="P36" i="528"/>
  <c r="O58" i="528"/>
  <c r="P58" i="528"/>
  <c r="P75" i="528"/>
  <c r="O75" i="528"/>
  <c r="P34" i="528"/>
  <c r="O34" i="528"/>
  <c r="O87" i="528"/>
  <c r="P87" i="528"/>
  <c r="O31" i="528"/>
  <c r="Q33" i="528" s="1"/>
  <c r="P31" i="528"/>
  <c r="N131" i="528"/>
  <c r="O95" i="528"/>
  <c r="P95" i="528"/>
  <c r="P94" i="528"/>
  <c r="O94" i="528"/>
  <c r="D51" i="529"/>
  <c r="P46" i="528"/>
  <c r="O46" i="528"/>
  <c r="P90" i="528"/>
  <c r="O90" i="528"/>
  <c r="P82" i="528"/>
  <c r="O82" i="528"/>
  <c r="P42" i="528"/>
  <c r="O42" i="528"/>
  <c r="O32" i="528"/>
  <c r="P32" i="528"/>
  <c r="P57" i="528"/>
  <c r="O57" i="528"/>
  <c r="P89" i="528"/>
  <c r="O89" i="528"/>
  <c r="P54" i="528"/>
  <c r="O54" i="528"/>
  <c r="O85" i="528"/>
  <c r="P85" i="528"/>
  <c r="P38" i="528"/>
  <c r="O38" i="528"/>
  <c r="P65" i="528"/>
  <c r="O65" i="528"/>
  <c r="P45" i="528"/>
  <c r="O45" i="528"/>
  <c r="F53" i="529"/>
  <c r="O96" i="528"/>
  <c r="P96" i="528"/>
  <c r="P98" i="528"/>
  <c r="O98" i="528"/>
  <c r="S78" i="528" l="1"/>
  <c r="R78" i="528"/>
  <c r="E47" i="531"/>
  <c r="F47" i="531" s="1"/>
  <c r="T47" i="532"/>
  <c r="S33" i="528"/>
  <c r="R33" i="528"/>
  <c r="Q37" i="528"/>
  <c r="S37" i="528" s="1"/>
  <c r="Q41" i="528"/>
  <c r="S41" i="528" s="1"/>
  <c r="Q105" i="528"/>
  <c r="Q106" i="528"/>
  <c r="Q107" i="528"/>
  <c r="Q52" i="528"/>
  <c r="R52" i="528" s="1"/>
  <c r="Q91" i="528"/>
  <c r="Q56" i="528"/>
  <c r="Q92" i="528"/>
  <c r="R92" i="528" s="1"/>
  <c r="Q65" i="528"/>
  <c r="R65" i="528" s="1"/>
  <c r="Q54" i="528"/>
  <c r="S54" i="528" s="1"/>
  <c r="Q82" i="528"/>
  <c r="F51" i="529"/>
  <c r="Q34" i="528"/>
  <c r="Q32" i="528"/>
  <c r="Q46" i="528"/>
  <c r="Q94" i="528"/>
  <c r="O131" i="528"/>
  <c r="Q31" i="528"/>
  <c r="Q36" i="528"/>
  <c r="T53" i="532"/>
  <c r="E53" i="531"/>
  <c r="F53" i="531" s="1"/>
  <c r="P131" i="528"/>
  <c r="Q98" i="528"/>
  <c r="Q45" i="528"/>
  <c r="S67" i="528"/>
  <c r="R67" i="528"/>
  <c r="Q89" i="528"/>
  <c r="Q57" i="528"/>
  <c r="Q42" i="528"/>
  <c r="Q90" i="528"/>
  <c r="Q95" i="528"/>
  <c r="Q75" i="528"/>
  <c r="Q40" i="528"/>
  <c r="Q73" i="528"/>
  <c r="Q70" i="528"/>
  <c r="Q96" i="528"/>
  <c r="G53" i="529"/>
  <c r="Q38" i="528"/>
  <c r="Q85" i="528"/>
  <c r="Q87" i="528"/>
  <c r="Q58" i="528"/>
  <c r="T78" i="528" l="1"/>
  <c r="U78" i="528" s="1"/>
  <c r="D78" i="529" s="1"/>
  <c r="F78" i="529" s="1"/>
  <c r="G78" i="529" s="1"/>
  <c r="R41" i="528"/>
  <c r="R37" i="528"/>
  <c r="S107" i="528"/>
  <c r="R107" i="528"/>
  <c r="S106" i="528"/>
  <c r="R106" i="528"/>
  <c r="S105" i="528"/>
  <c r="R105" i="528"/>
  <c r="S52" i="528"/>
  <c r="S56" i="528"/>
  <c r="R56" i="528"/>
  <c r="R91" i="528"/>
  <c r="S91" i="528"/>
  <c r="R54" i="528"/>
  <c r="S65" i="528"/>
  <c r="S92" i="528"/>
  <c r="R75" i="528"/>
  <c r="S75" i="528"/>
  <c r="R46" i="528"/>
  <c r="S46" i="528"/>
  <c r="S85" i="528"/>
  <c r="R85" i="528"/>
  <c r="S73" i="528"/>
  <c r="R73" i="528"/>
  <c r="S89" i="528"/>
  <c r="R89" i="528"/>
  <c r="R98" i="528"/>
  <c r="S98" i="528"/>
  <c r="Q131" i="528"/>
  <c r="S31" i="528"/>
  <c r="R31" i="528"/>
  <c r="T33" i="528" s="1"/>
  <c r="U33" i="528" s="1"/>
  <c r="D33" i="529" s="1"/>
  <c r="F33" i="529" s="1"/>
  <c r="S32" i="528"/>
  <c r="R32" i="528"/>
  <c r="T51" i="532"/>
  <c r="E51" i="531"/>
  <c r="F51" i="531" s="1"/>
  <c r="S96" i="528"/>
  <c r="R96" i="528"/>
  <c r="S45" i="528"/>
  <c r="R45" i="528"/>
  <c r="R34" i="528"/>
  <c r="S34" i="528"/>
  <c r="R70" i="528"/>
  <c r="S70" i="528"/>
  <c r="R95" i="528"/>
  <c r="S95" i="528"/>
  <c r="S38" i="528"/>
  <c r="R38" i="528"/>
  <c r="S90" i="528"/>
  <c r="R90" i="528"/>
  <c r="T67" i="528"/>
  <c r="U67" i="528" s="1"/>
  <c r="G51" i="529"/>
  <c r="R87" i="528"/>
  <c r="S87" i="528"/>
  <c r="S57" i="528"/>
  <c r="R57" i="528"/>
  <c r="R58" i="528"/>
  <c r="S58" i="528"/>
  <c r="S40" i="528"/>
  <c r="R40" i="528"/>
  <c r="S42" i="528"/>
  <c r="R42" i="528"/>
  <c r="S36" i="528"/>
  <c r="R36" i="528"/>
  <c r="S94" i="528"/>
  <c r="R94" i="528"/>
  <c r="T78" i="532"/>
  <c r="E78" i="531"/>
  <c r="F78" i="531" s="1"/>
  <c r="R82" i="528"/>
  <c r="S82" i="528"/>
  <c r="G33" i="529" l="1"/>
  <c r="E33" i="531"/>
  <c r="F33" i="531" s="1"/>
  <c r="T33" i="532"/>
  <c r="T37" i="528"/>
  <c r="U37" i="528" s="1"/>
  <c r="D37" i="529" s="1"/>
  <c r="F37" i="529" s="1"/>
  <c r="G37" i="529" s="1"/>
  <c r="T41" i="528"/>
  <c r="U41" i="528" s="1"/>
  <c r="D41" i="529" s="1"/>
  <c r="F41" i="529" s="1"/>
  <c r="T106" i="528"/>
  <c r="U106" i="528" s="1"/>
  <c r="D106" i="529" s="1"/>
  <c r="F106" i="529" s="1"/>
  <c r="G106" i="529" s="1"/>
  <c r="T107" i="528"/>
  <c r="U107" i="528" s="1"/>
  <c r="D107" i="529" s="1"/>
  <c r="F107" i="529" s="1"/>
  <c r="T105" i="528"/>
  <c r="U105" i="528" s="1"/>
  <c r="D105" i="529" s="1"/>
  <c r="F105" i="529" s="1"/>
  <c r="E105" i="531" s="1"/>
  <c r="F105" i="531" s="1"/>
  <c r="T52" i="528"/>
  <c r="U52" i="528" s="1"/>
  <c r="D52" i="529" s="1"/>
  <c r="F52" i="529" s="1"/>
  <c r="T91" i="528"/>
  <c r="U91" i="528" s="1"/>
  <c r="D91" i="529" s="1"/>
  <c r="T56" i="528"/>
  <c r="U56" i="528" s="1"/>
  <c r="D56" i="529" s="1"/>
  <c r="F56" i="529" s="1"/>
  <c r="G56" i="529" s="1"/>
  <c r="T92" i="528"/>
  <c r="U92" i="528" s="1"/>
  <c r="D92" i="529" s="1"/>
  <c r="T54" i="528"/>
  <c r="U54" i="528" s="1"/>
  <c r="D54" i="529" s="1"/>
  <c r="T87" i="528"/>
  <c r="U87" i="528" s="1"/>
  <c r="T73" i="528"/>
  <c r="U73" i="528" s="1"/>
  <c r="T94" i="528"/>
  <c r="U94" i="528" s="1"/>
  <c r="T42" i="528"/>
  <c r="U42" i="528" s="1"/>
  <c r="T57" i="528"/>
  <c r="U57" i="528" s="1"/>
  <c r="T95" i="528"/>
  <c r="U95" i="528" s="1"/>
  <c r="T34" i="528"/>
  <c r="U34" i="528" s="1"/>
  <c r="T31" i="528"/>
  <c r="R131" i="528"/>
  <c r="T98" i="528"/>
  <c r="U98" i="528" s="1"/>
  <c r="T46" i="528"/>
  <c r="U46" i="528" s="1"/>
  <c r="T90" i="528"/>
  <c r="U90" i="528" s="1"/>
  <c r="T82" i="528"/>
  <c r="U82" i="528" s="1"/>
  <c r="T38" i="528"/>
  <c r="U38" i="528" s="1"/>
  <c r="T45" i="528"/>
  <c r="U45" i="528" s="1"/>
  <c r="T65" i="528"/>
  <c r="U65" i="528" s="1"/>
  <c r="S131" i="528"/>
  <c r="T89" i="528"/>
  <c r="U89" i="528" s="1"/>
  <c r="T85" i="528"/>
  <c r="U85" i="528" s="1"/>
  <c r="T96" i="528"/>
  <c r="U96" i="528" s="1"/>
  <c r="T36" i="528"/>
  <c r="U36" i="528" s="1"/>
  <c r="T40" i="528"/>
  <c r="U40" i="528" s="1"/>
  <c r="T58" i="528"/>
  <c r="U58" i="528" s="1"/>
  <c r="D67" i="529"/>
  <c r="F67" i="529" s="1"/>
  <c r="T70" i="528"/>
  <c r="U70" i="528" s="1"/>
  <c r="T32" i="528"/>
  <c r="U32" i="528" s="1"/>
  <c r="T75" i="528"/>
  <c r="U75" i="528" s="1"/>
  <c r="T105" i="532" l="1"/>
  <c r="T37" i="532"/>
  <c r="E37" i="531"/>
  <c r="F37" i="531" s="1"/>
  <c r="G105" i="529"/>
  <c r="T106" i="532"/>
  <c r="E106" i="531"/>
  <c r="F106" i="531" s="1"/>
  <c r="G107" i="529"/>
  <c r="T107" i="532"/>
  <c r="E107" i="531"/>
  <c r="F107" i="531" s="1"/>
  <c r="G52" i="529"/>
  <c r="T52" i="532"/>
  <c r="E52" i="531"/>
  <c r="F52" i="531" s="1"/>
  <c r="E56" i="531"/>
  <c r="F56" i="531" s="1"/>
  <c r="T56" i="532"/>
  <c r="F91" i="529"/>
  <c r="G91" i="529" s="1"/>
  <c r="D58" i="529"/>
  <c r="D96" i="529"/>
  <c r="F96" i="529" s="1"/>
  <c r="D42" i="529"/>
  <c r="F42" i="529" s="1"/>
  <c r="D70" i="529"/>
  <c r="D40" i="529"/>
  <c r="F40" i="529" s="1"/>
  <c r="D85" i="529"/>
  <c r="D46" i="529"/>
  <c r="F46" i="529" s="1"/>
  <c r="D34" i="529"/>
  <c r="F34" i="529" s="1"/>
  <c r="D94" i="529"/>
  <c r="F94" i="529" s="1"/>
  <c r="F92" i="529"/>
  <c r="G92" i="529" s="1"/>
  <c r="D90" i="529"/>
  <c r="F90" i="529" s="1"/>
  <c r="D75" i="529"/>
  <c r="D36" i="529"/>
  <c r="D89" i="529"/>
  <c r="F89" i="529" s="1"/>
  <c r="D65" i="529"/>
  <c r="F65" i="529" s="1"/>
  <c r="G41" i="529"/>
  <c r="E41" i="531"/>
  <c r="F41" i="531" s="1"/>
  <c r="T41" i="532"/>
  <c r="D98" i="529"/>
  <c r="D95" i="529"/>
  <c r="F95" i="529" s="1"/>
  <c r="D73" i="529"/>
  <c r="D38" i="529"/>
  <c r="T131" i="528"/>
  <c r="U31" i="528"/>
  <c r="D32" i="529"/>
  <c r="F32" i="529" s="1"/>
  <c r="G67" i="529"/>
  <c r="E67" i="531"/>
  <c r="F67" i="531" s="1"/>
  <c r="T67" i="532"/>
  <c r="D45" i="529"/>
  <c r="D82" i="529"/>
  <c r="D57" i="529"/>
  <c r="F57" i="529" s="1"/>
  <c r="D87" i="529"/>
  <c r="F54" i="529"/>
  <c r="G54" i="529" s="1"/>
  <c r="T91" i="532" l="1"/>
  <c r="E91" i="531"/>
  <c r="F91" i="531" s="1"/>
  <c r="Z106" i="528"/>
  <c r="Z107" i="528"/>
  <c r="Z58" i="528"/>
  <c r="Z105" i="528"/>
  <c r="Z45" i="528"/>
  <c r="Z57" i="528"/>
  <c r="Z40" i="528"/>
  <c r="Z95" i="528"/>
  <c r="Z89" i="528"/>
  <c r="Z46" i="528"/>
  <c r="Z96" i="528"/>
  <c r="Z38" i="528"/>
  <c r="Z90" i="528"/>
  <c r="Z94" i="528"/>
  <c r="Z32" i="528"/>
  <c r="Z87" i="528"/>
  <c r="Z82" i="528"/>
  <c r="Z65" i="528"/>
  <c r="Z36" i="528"/>
  <c r="Z42" i="528"/>
  <c r="T54" i="532"/>
  <c r="E54" i="531"/>
  <c r="F54" i="531" s="1"/>
  <c r="G57" i="529"/>
  <c r="E57" i="531"/>
  <c r="F57" i="531" s="1"/>
  <c r="T57" i="532"/>
  <c r="F45" i="529"/>
  <c r="G45" i="529" s="1"/>
  <c r="G65" i="529"/>
  <c r="E65" i="531"/>
  <c r="F65" i="531" s="1"/>
  <c r="T65" i="532"/>
  <c r="F36" i="529"/>
  <c r="G90" i="529"/>
  <c r="E90" i="531"/>
  <c r="F90" i="531" s="1"/>
  <c r="T90" i="532"/>
  <c r="G94" i="529"/>
  <c r="E94" i="531"/>
  <c r="F94" i="531" s="1"/>
  <c r="T94" i="532"/>
  <c r="G46" i="529"/>
  <c r="E46" i="531"/>
  <c r="F46" i="531" s="1"/>
  <c r="T46" i="532"/>
  <c r="G40" i="529"/>
  <c r="E40" i="531"/>
  <c r="F40" i="531" s="1"/>
  <c r="T40" i="532"/>
  <c r="G42" i="529"/>
  <c r="E42" i="531"/>
  <c r="F42" i="531" s="1"/>
  <c r="T42" i="532"/>
  <c r="G96" i="529"/>
  <c r="T96" i="532"/>
  <c r="E96" i="531"/>
  <c r="F96" i="531" s="1"/>
  <c r="F73" i="529"/>
  <c r="G73" i="529" s="1"/>
  <c r="F98" i="529"/>
  <c r="G98" i="529" s="1"/>
  <c r="Z75" i="528"/>
  <c r="Z34" i="528"/>
  <c r="Z85" i="528"/>
  <c r="Z70" i="528"/>
  <c r="G32" i="529"/>
  <c r="T32" i="532"/>
  <c r="E32" i="531"/>
  <c r="F32" i="531" s="1"/>
  <c r="F38" i="529"/>
  <c r="G38" i="529" s="1"/>
  <c r="G95" i="529"/>
  <c r="T95" i="532"/>
  <c r="E95" i="531"/>
  <c r="F95" i="531" s="1"/>
  <c r="F87" i="529"/>
  <c r="F82" i="529"/>
  <c r="G82" i="529" s="1"/>
  <c r="Z31" i="528"/>
  <c r="U131" i="528"/>
  <c r="F2" i="528" s="1"/>
  <c r="D31" i="529"/>
  <c r="Z93" i="528"/>
  <c r="Z47" i="528"/>
  <c r="Z91" i="528"/>
  <c r="Z33" i="528"/>
  <c r="Z37" i="528"/>
  <c r="Z53" i="528"/>
  <c r="Z52" i="528"/>
  <c r="Z51" i="528"/>
  <c r="Z78" i="528"/>
  <c r="Z56" i="528"/>
  <c r="Z67" i="528"/>
  <c r="Z92" i="528"/>
  <c r="Z54" i="528"/>
  <c r="Z41" i="528"/>
  <c r="Z73" i="528"/>
  <c r="Z98" i="528"/>
  <c r="G89" i="529"/>
  <c r="T89" i="532"/>
  <c r="E89" i="531"/>
  <c r="F89" i="531" s="1"/>
  <c r="F75" i="529"/>
  <c r="G75" i="529" s="1"/>
  <c r="T92" i="532"/>
  <c r="E92" i="531"/>
  <c r="F92" i="531" s="1"/>
  <c r="G34" i="529"/>
  <c r="E34" i="531"/>
  <c r="F34" i="531" s="1"/>
  <c r="T34" i="532"/>
  <c r="F85" i="529"/>
  <c r="F70" i="529"/>
  <c r="F58" i="529"/>
  <c r="T36" i="532" l="1"/>
  <c r="E36" i="531"/>
  <c r="F36" i="531" s="1"/>
  <c r="T70" i="532"/>
  <c r="E70" i="531"/>
  <c r="F70" i="531" s="1"/>
  <c r="Z131" i="528"/>
  <c r="T82" i="532"/>
  <c r="E82" i="531"/>
  <c r="F82" i="531" s="1"/>
  <c r="E73" i="531"/>
  <c r="F73" i="531" s="1"/>
  <c r="T73" i="532"/>
  <c r="G36" i="529"/>
  <c r="T85" i="532"/>
  <c r="E85" i="531"/>
  <c r="F85" i="531" s="1"/>
  <c r="G70" i="529"/>
  <c r="T87" i="532"/>
  <c r="E87" i="531"/>
  <c r="F87" i="531" s="1"/>
  <c r="E38" i="531"/>
  <c r="F38" i="531" s="1"/>
  <c r="T38" i="532"/>
  <c r="T45" i="532"/>
  <c r="E45" i="531"/>
  <c r="F45" i="531" s="1"/>
  <c r="T58" i="532"/>
  <c r="E58" i="531"/>
  <c r="F58" i="531" s="1"/>
  <c r="G58" i="529"/>
  <c r="G85" i="529"/>
  <c r="T75" i="532"/>
  <c r="E75" i="531"/>
  <c r="F75" i="531" s="1"/>
  <c r="F31" i="529"/>
  <c r="K27" i="529"/>
  <c r="D131" i="529"/>
  <c r="G87" i="529"/>
  <c r="T98" i="532"/>
  <c r="E98" i="531"/>
  <c r="F98" i="531" s="1"/>
  <c r="G31" i="529" l="1"/>
  <c r="G131" i="529" s="1"/>
  <c r="F131" i="529"/>
  <c r="T31" i="532"/>
  <c r="T131" i="532" s="1"/>
  <c r="E31" i="531"/>
  <c r="L27" i="529"/>
  <c r="M107" i="529" s="1"/>
  <c r="H107" i="529" s="1"/>
  <c r="D107" i="530" s="1"/>
  <c r="F107" i="530" l="1"/>
  <c r="M105" i="529"/>
  <c r="H105" i="529" s="1"/>
  <c r="D105" i="530" s="1"/>
  <c r="F105" i="530" s="1"/>
  <c r="M106" i="529"/>
  <c r="H106" i="529" s="1"/>
  <c r="D106" i="530" s="1"/>
  <c r="E131" i="531"/>
  <c r="F31" i="531"/>
  <c r="M34" i="529"/>
  <c r="H34" i="529" s="1"/>
  <c r="D34" i="530" s="1"/>
  <c r="M94" i="529"/>
  <c r="H94" i="529" s="1"/>
  <c r="D94" i="530" s="1"/>
  <c r="M92" i="529"/>
  <c r="H92" i="529" s="1"/>
  <c r="D92" i="530" s="1"/>
  <c r="M67" i="529"/>
  <c r="H67" i="529" s="1"/>
  <c r="D67" i="530" s="1"/>
  <c r="M70" i="529"/>
  <c r="H70" i="529" s="1"/>
  <c r="D70" i="530" s="1"/>
  <c r="M52" i="529"/>
  <c r="H52" i="529" s="1"/>
  <c r="D52" i="530" s="1"/>
  <c r="M54" i="529"/>
  <c r="H54" i="529" s="1"/>
  <c r="D54" i="530" s="1"/>
  <c r="M57" i="529"/>
  <c r="H57" i="529" s="1"/>
  <c r="D57" i="530" s="1"/>
  <c r="M47" i="529"/>
  <c r="H47" i="529" s="1"/>
  <c r="D47" i="530" s="1"/>
  <c r="M78" i="529"/>
  <c r="H78" i="529" s="1"/>
  <c r="D78" i="530" s="1"/>
  <c r="M90" i="529"/>
  <c r="H90" i="529" s="1"/>
  <c r="D90" i="530" s="1"/>
  <c r="M93" i="529"/>
  <c r="H93" i="529" s="1"/>
  <c r="D93" i="530" s="1"/>
  <c r="M33" i="529"/>
  <c r="H33" i="529" s="1"/>
  <c r="D33" i="530" s="1"/>
  <c r="M40" i="529"/>
  <c r="H40" i="529" s="1"/>
  <c r="D40" i="530" s="1"/>
  <c r="M38" i="529"/>
  <c r="H38" i="529" s="1"/>
  <c r="D38" i="530" s="1"/>
  <c r="M75" i="529"/>
  <c r="H75" i="529" s="1"/>
  <c r="D75" i="530" s="1"/>
  <c r="M36" i="529"/>
  <c r="H36" i="529" s="1"/>
  <c r="D36" i="530" s="1"/>
  <c r="M51" i="529"/>
  <c r="H51" i="529" s="1"/>
  <c r="D51" i="530" s="1"/>
  <c r="M89" i="529"/>
  <c r="H89" i="529" s="1"/>
  <c r="D89" i="530" s="1"/>
  <c r="M31" i="529"/>
  <c r="H31" i="529" s="1"/>
  <c r="M42" i="529"/>
  <c r="H42" i="529" s="1"/>
  <c r="D42" i="530" s="1"/>
  <c r="M32" i="529"/>
  <c r="H32" i="529" s="1"/>
  <c r="D32" i="530" s="1"/>
  <c r="M41" i="529"/>
  <c r="H41" i="529" s="1"/>
  <c r="D41" i="530" s="1"/>
  <c r="M87" i="529"/>
  <c r="H87" i="529" s="1"/>
  <c r="D87" i="530" s="1"/>
  <c r="M37" i="529"/>
  <c r="H37" i="529" s="1"/>
  <c r="D37" i="530" s="1"/>
  <c r="M45" i="529"/>
  <c r="H45" i="529" s="1"/>
  <c r="D45" i="530" s="1"/>
  <c r="M98" i="529"/>
  <c r="H98" i="529" s="1"/>
  <c r="D98" i="530" s="1"/>
  <c r="M96" i="529"/>
  <c r="H96" i="529" s="1"/>
  <c r="D96" i="530" s="1"/>
  <c r="M73" i="529"/>
  <c r="H73" i="529" s="1"/>
  <c r="D73" i="530" s="1"/>
  <c r="M91" i="529"/>
  <c r="H91" i="529" s="1"/>
  <c r="D91" i="530" s="1"/>
  <c r="M56" i="529"/>
  <c r="H56" i="529" s="1"/>
  <c r="D56" i="530" s="1"/>
  <c r="M46" i="529"/>
  <c r="H46" i="529" s="1"/>
  <c r="D46" i="530" s="1"/>
  <c r="M95" i="529"/>
  <c r="H95" i="529" s="1"/>
  <c r="D95" i="530" s="1"/>
  <c r="M65" i="529"/>
  <c r="H65" i="529" s="1"/>
  <c r="D65" i="530" s="1"/>
  <c r="M85" i="529"/>
  <c r="H85" i="529" s="1"/>
  <c r="D85" i="530" s="1"/>
  <c r="M58" i="529"/>
  <c r="H58" i="529" s="1"/>
  <c r="D58" i="530" s="1"/>
  <c r="M82" i="529"/>
  <c r="H82" i="529" s="1"/>
  <c r="D82" i="530" s="1"/>
  <c r="M53" i="529"/>
  <c r="H53" i="529" s="1"/>
  <c r="D53" i="530" s="1"/>
  <c r="F106" i="530" l="1"/>
  <c r="F91" i="530"/>
  <c r="F51" i="530"/>
  <c r="F52" i="530"/>
  <c r="F95" i="530"/>
  <c r="F37" i="530"/>
  <c r="F36" i="530"/>
  <c r="F33" i="530"/>
  <c r="F47" i="530"/>
  <c r="F70" i="530"/>
  <c r="F34" i="530"/>
  <c r="F65" i="530"/>
  <c r="F45" i="530"/>
  <c r="F40" i="530"/>
  <c r="F94" i="530"/>
  <c r="F73" i="530"/>
  <c r="F42" i="530"/>
  <c r="F58" i="530"/>
  <c r="F46" i="530"/>
  <c r="F96" i="530"/>
  <c r="F87" i="530"/>
  <c r="D31" i="530"/>
  <c r="H131" i="529"/>
  <c r="D1" i="529" s="1"/>
  <c r="F75" i="530"/>
  <c r="F93" i="530"/>
  <c r="F57" i="530"/>
  <c r="F67" i="530"/>
  <c r="F131" i="531"/>
  <c r="F53" i="530"/>
  <c r="F32" i="530"/>
  <c r="F78" i="530"/>
  <c r="F82" i="530"/>
  <c r="F85" i="530"/>
  <c r="F56" i="530"/>
  <c r="F98" i="530"/>
  <c r="F41" i="530"/>
  <c r="F89" i="530"/>
  <c r="F38" i="530"/>
  <c r="F90" i="530"/>
  <c r="F54" i="530"/>
  <c r="F92" i="530"/>
  <c r="D131" i="530" l="1"/>
  <c r="J27" i="530"/>
  <c r="F31" i="530"/>
  <c r="F131" i="530" s="1"/>
  <c r="L106" i="530" l="1"/>
  <c r="G106" i="530" s="1"/>
  <c r="G106" i="531" s="1"/>
  <c r="H106" i="531" s="1"/>
  <c r="L107" i="530"/>
  <c r="G107" i="530" s="1"/>
  <c r="G107" i="531" s="1"/>
  <c r="L31" i="530"/>
  <c r="G31" i="530" s="1"/>
  <c r="G31" i="531" s="1"/>
  <c r="L105" i="530"/>
  <c r="G105" i="530" s="1"/>
  <c r="G105" i="531" s="1"/>
  <c r="L32" i="530"/>
  <c r="G32" i="530" s="1"/>
  <c r="G32" i="531" s="1"/>
  <c r="L82" i="530"/>
  <c r="G82" i="530" s="1"/>
  <c r="G82" i="531" s="1"/>
  <c r="L56" i="530"/>
  <c r="G56" i="530" s="1"/>
  <c r="G56" i="531" s="1"/>
  <c r="L41" i="530"/>
  <c r="G41" i="530" s="1"/>
  <c r="G41" i="531" s="1"/>
  <c r="L38" i="530"/>
  <c r="G38" i="530" s="1"/>
  <c r="G38" i="531" s="1"/>
  <c r="L54" i="530"/>
  <c r="G54" i="530" s="1"/>
  <c r="G54" i="531" s="1"/>
  <c r="L93" i="530"/>
  <c r="G93" i="530" s="1"/>
  <c r="G93" i="531" s="1"/>
  <c r="L67" i="530"/>
  <c r="G67" i="530" s="1"/>
  <c r="G67" i="531" s="1"/>
  <c r="L53" i="530"/>
  <c r="G53" i="530" s="1"/>
  <c r="G53" i="531" s="1"/>
  <c r="L85" i="530"/>
  <c r="G85" i="530" s="1"/>
  <c r="G85" i="531" s="1"/>
  <c r="L89" i="530"/>
  <c r="G89" i="530" s="1"/>
  <c r="G89" i="531" s="1"/>
  <c r="L51" i="530"/>
  <c r="G51" i="530" s="1"/>
  <c r="G51" i="531" s="1"/>
  <c r="L36" i="530"/>
  <c r="G36" i="530" s="1"/>
  <c r="G36" i="531" s="1"/>
  <c r="L45" i="530"/>
  <c r="G45" i="530" s="1"/>
  <c r="G45" i="531" s="1"/>
  <c r="L42" i="530"/>
  <c r="G42" i="530" s="1"/>
  <c r="G42" i="531" s="1"/>
  <c r="L75" i="530"/>
  <c r="G75" i="530" s="1"/>
  <c r="G75" i="531" s="1"/>
  <c r="L91" i="530"/>
  <c r="G91" i="530" s="1"/>
  <c r="G91" i="531" s="1"/>
  <c r="L52" i="530"/>
  <c r="G52" i="530" s="1"/>
  <c r="G52" i="531" s="1"/>
  <c r="L37" i="530"/>
  <c r="G37" i="530" s="1"/>
  <c r="G37" i="531" s="1"/>
  <c r="L33" i="530"/>
  <c r="G33" i="530" s="1"/>
  <c r="G33" i="531" s="1"/>
  <c r="L70" i="530"/>
  <c r="G70" i="530" s="1"/>
  <c r="G70" i="531" s="1"/>
  <c r="L65" i="530"/>
  <c r="G65" i="530" s="1"/>
  <c r="G65" i="531" s="1"/>
  <c r="L40" i="530"/>
  <c r="G40" i="530" s="1"/>
  <c r="G40" i="531" s="1"/>
  <c r="L73" i="530"/>
  <c r="G73" i="530" s="1"/>
  <c r="G73" i="531" s="1"/>
  <c r="L58" i="530"/>
  <c r="G58" i="530" s="1"/>
  <c r="G58" i="531" s="1"/>
  <c r="L96" i="530"/>
  <c r="G96" i="530" s="1"/>
  <c r="G96" i="531" s="1"/>
  <c r="L78" i="530"/>
  <c r="G78" i="530" s="1"/>
  <c r="G78" i="531" s="1"/>
  <c r="L98" i="530"/>
  <c r="G98" i="530" s="1"/>
  <c r="G98" i="531" s="1"/>
  <c r="L92" i="530"/>
  <c r="G92" i="530" s="1"/>
  <c r="G92" i="531" s="1"/>
  <c r="L95" i="530"/>
  <c r="G95" i="530" s="1"/>
  <c r="G95" i="531" s="1"/>
  <c r="L34" i="530"/>
  <c r="G34" i="530" s="1"/>
  <c r="G34" i="531" s="1"/>
  <c r="L94" i="530"/>
  <c r="G94" i="530" s="1"/>
  <c r="G94" i="531" s="1"/>
  <c r="L87" i="530"/>
  <c r="G87" i="530" s="1"/>
  <c r="G87" i="531" s="1"/>
  <c r="L57" i="530"/>
  <c r="G57" i="530" s="1"/>
  <c r="G57" i="531" s="1"/>
  <c r="L90" i="530"/>
  <c r="G90" i="530" s="1"/>
  <c r="G90" i="531" s="1"/>
  <c r="L47" i="530"/>
  <c r="G47" i="530" s="1"/>
  <c r="G47" i="531" s="1"/>
  <c r="L46" i="530"/>
  <c r="G46" i="530" s="1"/>
  <c r="G46" i="531" s="1"/>
  <c r="I106" i="531" l="1"/>
  <c r="H107" i="531"/>
  <c r="I107" i="531"/>
  <c r="H105" i="531"/>
  <c r="I105" i="531"/>
  <c r="H57" i="531"/>
  <c r="I57" i="531"/>
  <c r="H52" i="531"/>
  <c r="I52" i="531"/>
  <c r="H54" i="531"/>
  <c r="I54" i="531"/>
  <c r="H92" i="531"/>
  <c r="I92" i="531"/>
  <c r="H36" i="531"/>
  <c r="I36" i="531"/>
  <c r="H53" i="531"/>
  <c r="I53" i="531"/>
  <c r="H38" i="531"/>
  <c r="I38" i="531"/>
  <c r="H32" i="531"/>
  <c r="I32" i="531"/>
  <c r="H96" i="531"/>
  <c r="I96" i="531"/>
  <c r="H45" i="531"/>
  <c r="I45" i="531"/>
  <c r="H82" i="531"/>
  <c r="I82" i="531"/>
  <c r="H87" i="531"/>
  <c r="I87" i="531"/>
  <c r="H70" i="531"/>
  <c r="I70" i="531"/>
  <c r="H47" i="531"/>
  <c r="I47" i="531"/>
  <c r="H98" i="531"/>
  <c r="I98" i="531"/>
  <c r="H73" i="531"/>
  <c r="I73" i="531"/>
  <c r="H33" i="531"/>
  <c r="I33" i="531"/>
  <c r="H75" i="531"/>
  <c r="I75" i="531"/>
  <c r="H51" i="531"/>
  <c r="I51" i="531"/>
  <c r="H67" i="531"/>
  <c r="I67" i="531"/>
  <c r="H41" i="531"/>
  <c r="I41" i="531"/>
  <c r="G131" i="531"/>
  <c r="H31" i="531"/>
  <c r="I31" i="531"/>
  <c r="H95" i="531"/>
  <c r="I95" i="531"/>
  <c r="H65" i="531"/>
  <c r="I65" i="531"/>
  <c r="H85" i="531"/>
  <c r="I85" i="531"/>
  <c r="H46" i="531"/>
  <c r="I46" i="531"/>
  <c r="H58" i="531"/>
  <c r="I58" i="531"/>
  <c r="H91" i="531"/>
  <c r="I91" i="531"/>
  <c r="H94" i="531"/>
  <c r="I94" i="531"/>
  <c r="H90" i="531"/>
  <c r="I90" i="531"/>
  <c r="H34" i="531"/>
  <c r="I34" i="531"/>
  <c r="H78" i="531"/>
  <c r="I78" i="531"/>
  <c r="H40" i="531"/>
  <c r="I40" i="531"/>
  <c r="H37" i="531"/>
  <c r="I37" i="531"/>
  <c r="H42" i="531"/>
  <c r="I42" i="531"/>
  <c r="H89" i="531"/>
  <c r="I89" i="531"/>
  <c r="H93" i="531"/>
  <c r="I93" i="531"/>
  <c r="H56" i="531"/>
  <c r="I56" i="531"/>
  <c r="G131" i="530"/>
  <c r="D1" i="530" s="1"/>
  <c r="J107" i="531" l="1"/>
  <c r="J106" i="531"/>
  <c r="L106" i="531" s="1"/>
  <c r="J105" i="531"/>
  <c r="J56" i="531"/>
  <c r="K56" i="531" s="1"/>
  <c r="J37" i="531"/>
  <c r="J91" i="531"/>
  <c r="J31" i="531"/>
  <c r="H131" i="531"/>
  <c r="J67" i="531"/>
  <c r="J75" i="531"/>
  <c r="J73" i="531"/>
  <c r="J47" i="531"/>
  <c r="J87" i="531"/>
  <c r="J45" i="531"/>
  <c r="J32" i="531"/>
  <c r="J53" i="531"/>
  <c r="J92" i="531"/>
  <c r="J52" i="531"/>
  <c r="J78" i="531"/>
  <c r="J65" i="531"/>
  <c r="J93" i="531"/>
  <c r="J42" i="531"/>
  <c r="J40" i="531"/>
  <c r="J34" i="531"/>
  <c r="J94" i="531"/>
  <c r="J58" i="531"/>
  <c r="J85" i="531"/>
  <c r="J95" i="531"/>
  <c r="J89" i="531"/>
  <c r="J90" i="531"/>
  <c r="J46" i="531"/>
  <c r="I131" i="531"/>
  <c r="J41" i="531"/>
  <c r="J51" i="531"/>
  <c r="J33" i="531"/>
  <c r="J98" i="531"/>
  <c r="J70" i="531"/>
  <c r="J82" i="531"/>
  <c r="J96" i="531"/>
  <c r="J38" i="531"/>
  <c r="J36" i="531"/>
  <c r="J54" i="531"/>
  <c r="J57" i="531"/>
  <c r="L107" i="531" l="1"/>
  <c r="K107" i="531"/>
  <c r="K106" i="531"/>
  <c r="L105" i="531"/>
  <c r="K105" i="531"/>
  <c r="L56" i="531"/>
  <c r="L51" i="531"/>
  <c r="K51" i="531"/>
  <c r="L42" i="531"/>
  <c r="K42" i="531"/>
  <c r="K47" i="531"/>
  <c r="L47" i="531"/>
  <c r="L70" i="531"/>
  <c r="K70" i="531"/>
  <c r="K41" i="531"/>
  <c r="L41" i="531"/>
  <c r="L89" i="531"/>
  <c r="K89" i="531"/>
  <c r="K94" i="531"/>
  <c r="L94" i="531"/>
  <c r="L93" i="531"/>
  <c r="K93" i="531"/>
  <c r="L32" i="531"/>
  <c r="K32" i="531"/>
  <c r="L73" i="531"/>
  <c r="K73" i="531"/>
  <c r="K31" i="531"/>
  <c r="L31" i="531"/>
  <c r="J131" i="531"/>
  <c r="L82" i="531"/>
  <c r="K82" i="531"/>
  <c r="K58" i="531"/>
  <c r="L58" i="531"/>
  <c r="L53" i="531"/>
  <c r="K53" i="531"/>
  <c r="L36" i="531"/>
  <c r="K36" i="531"/>
  <c r="K38" i="531"/>
  <c r="L38" i="531"/>
  <c r="L98" i="531"/>
  <c r="K98" i="531"/>
  <c r="K95" i="531"/>
  <c r="L95" i="531"/>
  <c r="L34" i="531"/>
  <c r="K34" i="531"/>
  <c r="L65" i="531"/>
  <c r="K65" i="531"/>
  <c r="L52" i="531"/>
  <c r="K52" i="531"/>
  <c r="K45" i="531"/>
  <c r="L45" i="531"/>
  <c r="K75" i="531"/>
  <c r="L75" i="531"/>
  <c r="K91" i="531"/>
  <c r="L91" i="531"/>
  <c r="K54" i="531"/>
  <c r="L54" i="531"/>
  <c r="L90" i="531"/>
  <c r="K90" i="531"/>
  <c r="K57" i="531"/>
  <c r="L57" i="531"/>
  <c r="K96" i="531"/>
  <c r="L96" i="531"/>
  <c r="K33" i="531"/>
  <c r="L33" i="531"/>
  <c r="L46" i="531"/>
  <c r="K46" i="531"/>
  <c r="K85" i="531"/>
  <c r="L85" i="531"/>
  <c r="L40" i="531"/>
  <c r="K40" i="531"/>
  <c r="K78" i="531"/>
  <c r="L78" i="531"/>
  <c r="L92" i="531"/>
  <c r="K92" i="531"/>
  <c r="L87" i="531"/>
  <c r="K87" i="531"/>
  <c r="K67" i="531"/>
  <c r="L67" i="531"/>
  <c r="K37" i="531"/>
  <c r="L37" i="531"/>
  <c r="M107" i="531" l="1"/>
  <c r="O107" i="531" s="1"/>
  <c r="M106" i="531"/>
  <c r="O106" i="531" s="1"/>
  <c r="M105" i="531"/>
  <c r="O105" i="531" s="1"/>
  <c r="M87" i="531"/>
  <c r="O87" i="531" s="1"/>
  <c r="M52" i="531"/>
  <c r="M36" i="531"/>
  <c r="M70" i="531"/>
  <c r="M78" i="531"/>
  <c r="M85" i="531"/>
  <c r="M33" i="531"/>
  <c r="M57" i="531"/>
  <c r="M54" i="531"/>
  <c r="M75" i="531"/>
  <c r="M58" i="531"/>
  <c r="L131" i="531"/>
  <c r="M32" i="531"/>
  <c r="M98" i="531"/>
  <c r="M93" i="531"/>
  <c r="M42" i="531"/>
  <c r="M92" i="531"/>
  <c r="M46" i="531"/>
  <c r="M90" i="531"/>
  <c r="M65" i="531"/>
  <c r="M53" i="531"/>
  <c r="M82" i="531"/>
  <c r="K131" i="531"/>
  <c r="M31" i="531"/>
  <c r="M51" i="531"/>
  <c r="M34" i="531"/>
  <c r="M89" i="531"/>
  <c r="M37" i="531"/>
  <c r="M40" i="531"/>
  <c r="M67" i="531"/>
  <c r="M96" i="531"/>
  <c r="M91" i="531"/>
  <c r="M45" i="531"/>
  <c r="M95" i="531"/>
  <c r="M38" i="531"/>
  <c r="M73" i="531"/>
  <c r="M56" i="531"/>
  <c r="M94" i="531"/>
  <c r="M41" i="531"/>
  <c r="M47" i="531"/>
  <c r="N107" i="531" l="1"/>
  <c r="N106" i="531"/>
  <c r="N105" i="531"/>
  <c r="N87" i="531"/>
  <c r="O38" i="531"/>
  <c r="N38" i="531"/>
  <c r="O90" i="531"/>
  <c r="N90" i="531"/>
  <c r="N33" i="531"/>
  <c r="O33" i="531"/>
  <c r="N95" i="531"/>
  <c r="O95" i="531"/>
  <c r="N67" i="531"/>
  <c r="O67" i="531"/>
  <c r="N34" i="531"/>
  <c r="O34" i="531"/>
  <c r="N82" i="531"/>
  <c r="O82" i="531"/>
  <c r="N46" i="531"/>
  <c r="O46" i="531"/>
  <c r="N98" i="531"/>
  <c r="O98" i="531"/>
  <c r="N75" i="531"/>
  <c r="O75" i="531"/>
  <c r="O85" i="531"/>
  <c r="N85" i="531"/>
  <c r="N52" i="531"/>
  <c r="O52" i="531"/>
  <c r="O41" i="531"/>
  <c r="N41" i="531"/>
  <c r="O89" i="531"/>
  <c r="N89" i="531"/>
  <c r="O93" i="531"/>
  <c r="N93" i="531"/>
  <c r="O36" i="531"/>
  <c r="N36" i="531"/>
  <c r="N56" i="531"/>
  <c r="O56" i="531"/>
  <c r="O45" i="531"/>
  <c r="N45" i="531"/>
  <c r="O40" i="531"/>
  <c r="N40" i="531"/>
  <c r="N51" i="531"/>
  <c r="O51" i="531"/>
  <c r="O53" i="531"/>
  <c r="N53" i="531"/>
  <c r="N92" i="531"/>
  <c r="O92" i="531"/>
  <c r="N32" i="531"/>
  <c r="O32" i="531"/>
  <c r="N54" i="531"/>
  <c r="O54" i="531"/>
  <c r="N78" i="531"/>
  <c r="O78" i="531"/>
  <c r="N96" i="531"/>
  <c r="O96" i="531"/>
  <c r="N58" i="531"/>
  <c r="O58" i="531"/>
  <c r="O94" i="531"/>
  <c r="N94" i="531"/>
  <c r="O47" i="531"/>
  <c r="N47" i="531"/>
  <c r="N73" i="531"/>
  <c r="O73" i="531"/>
  <c r="O91" i="531"/>
  <c r="N91" i="531"/>
  <c r="N37" i="531"/>
  <c r="O37" i="531"/>
  <c r="O31" i="531"/>
  <c r="N31" i="531"/>
  <c r="M131" i="531"/>
  <c r="O65" i="531"/>
  <c r="N65" i="531"/>
  <c r="O42" i="531"/>
  <c r="N42" i="531"/>
  <c r="O57" i="531"/>
  <c r="N57" i="531"/>
  <c r="N70" i="531"/>
  <c r="O70" i="531"/>
  <c r="P107" i="531" l="1"/>
  <c r="P106" i="531"/>
  <c r="R106" i="531" s="1"/>
  <c r="P105" i="531"/>
  <c r="P42" i="531"/>
  <c r="R42" i="531" s="1"/>
  <c r="P87" i="531"/>
  <c r="Q87" i="531" s="1"/>
  <c r="P37" i="531"/>
  <c r="P36" i="531"/>
  <c r="P91" i="531"/>
  <c r="P54" i="531"/>
  <c r="P92" i="531"/>
  <c r="P51" i="531"/>
  <c r="P52" i="531"/>
  <c r="P75" i="531"/>
  <c r="P46" i="531"/>
  <c r="P34" i="531"/>
  <c r="P95" i="531"/>
  <c r="P96" i="531"/>
  <c r="P89" i="531"/>
  <c r="P70" i="531"/>
  <c r="N131" i="531"/>
  <c r="P31" i="531"/>
  <c r="P47" i="531"/>
  <c r="P65" i="531"/>
  <c r="P58" i="531"/>
  <c r="P53" i="531"/>
  <c r="P40" i="531"/>
  <c r="P93" i="531"/>
  <c r="P41" i="531"/>
  <c r="P85" i="531"/>
  <c r="P38" i="531"/>
  <c r="P73" i="531"/>
  <c r="P45" i="531"/>
  <c r="P90" i="531"/>
  <c r="P57" i="531"/>
  <c r="O131" i="531"/>
  <c r="P94" i="531"/>
  <c r="P78" i="531"/>
  <c r="P32" i="531"/>
  <c r="P56" i="531"/>
  <c r="P98" i="531"/>
  <c r="P82" i="531"/>
  <c r="P67" i="531"/>
  <c r="P33" i="531"/>
  <c r="R107" i="531" l="1"/>
  <c r="Q107" i="531"/>
  <c r="Q106" i="531"/>
  <c r="R105" i="531"/>
  <c r="Q105" i="531"/>
  <c r="Q42" i="531"/>
  <c r="R87" i="531"/>
  <c r="R82" i="531"/>
  <c r="Q82" i="531"/>
  <c r="R93" i="531"/>
  <c r="Q93" i="531"/>
  <c r="R34" i="531"/>
  <c r="Q34" i="531"/>
  <c r="Q98" i="531"/>
  <c r="R98" i="531"/>
  <c r="R45" i="531"/>
  <c r="Q45" i="531"/>
  <c r="R38" i="531"/>
  <c r="Q38" i="531"/>
  <c r="Q40" i="531"/>
  <c r="R40" i="531"/>
  <c r="Q47" i="531"/>
  <c r="R47" i="531"/>
  <c r="Q89" i="531"/>
  <c r="R89" i="531"/>
  <c r="R46" i="531"/>
  <c r="Q46" i="531"/>
  <c r="R92" i="531"/>
  <c r="Q92" i="531"/>
  <c r="Q37" i="531"/>
  <c r="R37" i="531"/>
  <c r="Q78" i="531"/>
  <c r="R78" i="531"/>
  <c r="R70" i="531"/>
  <c r="Q70" i="531"/>
  <c r="R36" i="531"/>
  <c r="Q36" i="531"/>
  <c r="Q33" i="531"/>
  <c r="R33" i="531"/>
  <c r="Q56" i="531"/>
  <c r="R56" i="531"/>
  <c r="Q73" i="531"/>
  <c r="R73" i="531"/>
  <c r="Q85" i="531"/>
  <c r="R85" i="531"/>
  <c r="R53" i="531"/>
  <c r="Q53" i="531"/>
  <c r="R31" i="531"/>
  <c r="P131" i="531"/>
  <c r="Q31" i="531"/>
  <c r="R96" i="531"/>
  <c r="Q96" i="531"/>
  <c r="Q75" i="531"/>
  <c r="R75" i="531"/>
  <c r="R54" i="531"/>
  <c r="Q54" i="531"/>
  <c r="Q90" i="531"/>
  <c r="R90" i="531"/>
  <c r="R65" i="531"/>
  <c r="Q65" i="531"/>
  <c r="R51" i="531"/>
  <c r="Q51" i="531"/>
  <c r="Q94" i="531"/>
  <c r="R94" i="531"/>
  <c r="R67" i="531"/>
  <c r="Q67" i="531"/>
  <c r="R32" i="531"/>
  <c r="Q32" i="531"/>
  <c r="Q57" i="531"/>
  <c r="R57" i="531"/>
  <c r="R41" i="531"/>
  <c r="Q41" i="531"/>
  <c r="Q58" i="531"/>
  <c r="R58" i="531"/>
  <c r="R95" i="531"/>
  <c r="Q95" i="531"/>
  <c r="R52" i="531"/>
  <c r="Q52" i="531"/>
  <c r="R91" i="531"/>
  <c r="Q91" i="531"/>
  <c r="S107" i="531" l="1"/>
  <c r="U107" i="531" s="1"/>
  <c r="S106" i="531"/>
  <c r="U106" i="531" s="1"/>
  <c r="S105" i="531"/>
  <c r="U105" i="531" s="1"/>
  <c r="S52" i="531"/>
  <c r="T52" i="531" s="1"/>
  <c r="S42" i="531"/>
  <c r="U42" i="531" s="1"/>
  <c r="S67" i="531"/>
  <c r="T67" i="531" s="1"/>
  <c r="S51" i="531"/>
  <c r="U51" i="531" s="1"/>
  <c r="S33" i="531"/>
  <c r="S58" i="531"/>
  <c r="S75" i="531"/>
  <c r="S36" i="531"/>
  <c r="S37" i="531"/>
  <c r="S47" i="531"/>
  <c r="S98" i="531"/>
  <c r="S31" i="531"/>
  <c r="Q131" i="531"/>
  <c r="S46" i="531"/>
  <c r="S93" i="531"/>
  <c r="S90" i="531"/>
  <c r="S91" i="531"/>
  <c r="S41" i="531"/>
  <c r="S65" i="531"/>
  <c r="S96" i="531"/>
  <c r="S85" i="531"/>
  <c r="S56" i="531"/>
  <c r="S92" i="531"/>
  <c r="S45" i="531"/>
  <c r="S34" i="531"/>
  <c r="S82" i="531"/>
  <c r="S73" i="531"/>
  <c r="S38" i="531"/>
  <c r="S87" i="531"/>
  <c r="S57" i="531"/>
  <c r="S95" i="531"/>
  <c r="S32" i="531"/>
  <c r="S54" i="531"/>
  <c r="R131" i="531"/>
  <c r="S94" i="531"/>
  <c r="S53" i="531"/>
  <c r="S70" i="531"/>
  <c r="S78" i="531"/>
  <c r="S89" i="531"/>
  <c r="S40" i="531"/>
  <c r="T107" i="531" l="1"/>
  <c r="T106" i="531"/>
  <c r="U52" i="531"/>
  <c r="T105" i="531"/>
  <c r="U67" i="531"/>
  <c r="T42" i="531"/>
  <c r="T51" i="531"/>
  <c r="U53" i="531"/>
  <c r="T53" i="531"/>
  <c r="T82" i="531"/>
  <c r="U82" i="531"/>
  <c r="U46" i="531"/>
  <c r="T46" i="531"/>
  <c r="U94" i="531"/>
  <c r="T94" i="531"/>
  <c r="U95" i="531"/>
  <c r="T95" i="531"/>
  <c r="U73" i="531"/>
  <c r="T73" i="531"/>
  <c r="U34" i="531"/>
  <c r="T34" i="531"/>
  <c r="U85" i="531"/>
  <c r="T85" i="531"/>
  <c r="U91" i="531"/>
  <c r="T91" i="531"/>
  <c r="U98" i="531"/>
  <c r="T98" i="531"/>
  <c r="U75" i="531"/>
  <c r="T75" i="531"/>
  <c r="U32" i="531"/>
  <c r="T32" i="531"/>
  <c r="U56" i="531"/>
  <c r="T56" i="531"/>
  <c r="U36" i="531"/>
  <c r="T36" i="531"/>
  <c r="U78" i="531"/>
  <c r="T78" i="531"/>
  <c r="T57" i="531"/>
  <c r="U57" i="531"/>
  <c r="T45" i="531"/>
  <c r="U45" i="531"/>
  <c r="T96" i="531"/>
  <c r="U96" i="531"/>
  <c r="U90" i="531"/>
  <c r="T90" i="531"/>
  <c r="S131" i="531"/>
  <c r="U31" i="531"/>
  <c r="T31" i="531"/>
  <c r="T47" i="531"/>
  <c r="U47" i="531"/>
  <c r="U58" i="531"/>
  <c r="T58" i="531"/>
  <c r="U40" i="531"/>
  <c r="T40" i="531"/>
  <c r="T38" i="531"/>
  <c r="U38" i="531"/>
  <c r="T41" i="531"/>
  <c r="U41" i="531"/>
  <c r="T89" i="531"/>
  <c r="U89" i="531"/>
  <c r="T70" i="531"/>
  <c r="U70" i="531"/>
  <c r="U54" i="531"/>
  <c r="T54" i="531"/>
  <c r="T87" i="531"/>
  <c r="U87" i="531"/>
  <c r="U92" i="531"/>
  <c r="T92" i="531"/>
  <c r="U65" i="531"/>
  <c r="T65" i="531"/>
  <c r="U93" i="531"/>
  <c r="T93" i="531"/>
  <c r="U37" i="531"/>
  <c r="T37" i="531"/>
  <c r="T33" i="531"/>
  <c r="U33" i="531"/>
  <c r="V107" i="531" l="1"/>
  <c r="W107" i="531" s="1"/>
  <c r="V106" i="531"/>
  <c r="W106" i="531" s="1"/>
  <c r="P106" i="532" s="1"/>
  <c r="V105" i="531"/>
  <c r="W105" i="531" s="1"/>
  <c r="V33" i="531"/>
  <c r="W33" i="531" s="1"/>
  <c r="J33" i="527" s="1"/>
  <c r="K33" i="527" s="1"/>
  <c r="Z33" i="527" s="1"/>
  <c r="V93" i="531"/>
  <c r="W93" i="531" s="1"/>
  <c r="J93" i="527" s="1"/>
  <c r="K93" i="527" s="1"/>
  <c r="Z93" i="527" s="1"/>
  <c r="V92" i="531"/>
  <c r="W92" i="531" s="1"/>
  <c r="P92" i="532" s="1"/>
  <c r="V41" i="531"/>
  <c r="W41" i="531" s="1"/>
  <c r="V96" i="531"/>
  <c r="W96" i="531" s="1"/>
  <c r="V32" i="531"/>
  <c r="W32" i="531" s="1"/>
  <c r="V85" i="531"/>
  <c r="W85" i="531" s="1"/>
  <c r="V42" i="531"/>
  <c r="W42" i="531" s="1"/>
  <c r="V47" i="531"/>
  <c r="W47" i="531" s="1"/>
  <c r="V90" i="531"/>
  <c r="W90" i="531" s="1"/>
  <c r="V78" i="531"/>
  <c r="W78" i="531" s="1"/>
  <c r="V82" i="531"/>
  <c r="W82" i="531" s="1"/>
  <c r="V70" i="531"/>
  <c r="W70" i="531" s="1"/>
  <c r="V57" i="531"/>
  <c r="W57" i="531" s="1"/>
  <c r="V98" i="531"/>
  <c r="W98" i="531" s="1"/>
  <c r="V94" i="531"/>
  <c r="W94" i="531" s="1"/>
  <c r="V54" i="531"/>
  <c r="W54" i="531" s="1"/>
  <c r="V65" i="531"/>
  <c r="W65" i="531" s="1"/>
  <c r="V58" i="531"/>
  <c r="W58" i="531" s="1"/>
  <c r="V45" i="531"/>
  <c r="W45" i="531" s="1"/>
  <c r="V56" i="531"/>
  <c r="W56" i="531" s="1"/>
  <c r="V75" i="531"/>
  <c r="W75" i="531" s="1"/>
  <c r="V91" i="531"/>
  <c r="W91" i="531" s="1"/>
  <c r="V34" i="531"/>
  <c r="W34" i="531" s="1"/>
  <c r="V95" i="531"/>
  <c r="W95" i="531" s="1"/>
  <c r="V46" i="531"/>
  <c r="W46" i="531" s="1"/>
  <c r="V53" i="531"/>
  <c r="W53" i="531" s="1"/>
  <c r="V87" i="531"/>
  <c r="W87" i="531" s="1"/>
  <c r="V36" i="531"/>
  <c r="W36" i="531" s="1"/>
  <c r="V73" i="531"/>
  <c r="W73" i="531" s="1"/>
  <c r="V37" i="531"/>
  <c r="W37" i="531" s="1"/>
  <c r="V52" i="531"/>
  <c r="W52" i="531" s="1"/>
  <c r="V89" i="531"/>
  <c r="W89" i="531" s="1"/>
  <c r="V38" i="531"/>
  <c r="W38" i="531" s="1"/>
  <c r="T131" i="531"/>
  <c r="V31" i="531"/>
  <c r="V67" i="531"/>
  <c r="W67" i="531" s="1"/>
  <c r="V40" i="531"/>
  <c r="W40" i="531" s="1"/>
  <c r="U131" i="531"/>
  <c r="V51" i="531"/>
  <c r="W51" i="531" s="1"/>
  <c r="P107" i="532" l="1"/>
  <c r="J107" i="527"/>
  <c r="K107" i="527" s="1"/>
  <c r="Z107" i="527" s="1"/>
  <c r="J106" i="527"/>
  <c r="K106" i="527" s="1"/>
  <c r="Z106" i="527" s="1"/>
  <c r="P106" i="535"/>
  <c r="Q106" i="532"/>
  <c r="Q106" i="535" s="1"/>
  <c r="P105" i="532"/>
  <c r="J105" i="527"/>
  <c r="K105" i="527" s="1"/>
  <c r="Z105" i="527" s="1"/>
  <c r="P93" i="532"/>
  <c r="Q93" i="532" s="1"/>
  <c r="Q93" i="535" s="1"/>
  <c r="P33" i="532"/>
  <c r="Q33" i="532" s="1"/>
  <c r="Q33" i="535" s="1"/>
  <c r="J92" i="527"/>
  <c r="K92" i="527" s="1"/>
  <c r="Z92" i="527" s="1"/>
  <c r="J37" i="527"/>
  <c r="K37" i="527" s="1"/>
  <c r="Z37" i="527" s="1"/>
  <c r="P37" i="532"/>
  <c r="P54" i="532"/>
  <c r="J54" i="527"/>
  <c r="K54" i="527" s="1"/>
  <c r="Z54" i="527" s="1"/>
  <c r="J42" i="527"/>
  <c r="K42" i="527" s="1"/>
  <c r="Z42" i="527" s="1"/>
  <c r="P42" i="532"/>
  <c r="P40" i="532"/>
  <c r="J40" i="527"/>
  <c r="K40" i="527" s="1"/>
  <c r="Z40" i="527" s="1"/>
  <c r="P38" i="532"/>
  <c r="J38" i="527"/>
  <c r="K38" i="527" s="1"/>
  <c r="Z38" i="527" s="1"/>
  <c r="P73" i="532"/>
  <c r="J73" i="527"/>
  <c r="K73" i="527" s="1"/>
  <c r="Z73" i="527" s="1"/>
  <c r="P34" i="532"/>
  <c r="J34" i="527"/>
  <c r="K34" i="527" s="1"/>
  <c r="Z34" i="527" s="1"/>
  <c r="P45" i="532"/>
  <c r="J45" i="527"/>
  <c r="K45" i="527" s="1"/>
  <c r="Z45" i="527" s="1"/>
  <c r="J94" i="527"/>
  <c r="K94" i="527" s="1"/>
  <c r="Z94" i="527" s="1"/>
  <c r="P94" i="532"/>
  <c r="J78" i="527"/>
  <c r="K78" i="527" s="1"/>
  <c r="Z78" i="527" s="1"/>
  <c r="P78" i="532"/>
  <c r="P85" i="532"/>
  <c r="J85" i="527"/>
  <c r="K85" i="527" s="1"/>
  <c r="Z85" i="527" s="1"/>
  <c r="J95" i="527"/>
  <c r="K95" i="527" s="1"/>
  <c r="Z95" i="527" s="1"/>
  <c r="P95" i="532"/>
  <c r="P70" i="532"/>
  <c r="J70" i="527"/>
  <c r="K70" i="527" s="1"/>
  <c r="Z70" i="527" s="1"/>
  <c r="J41" i="527"/>
  <c r="K41" i="527" s="1"/>
  <c r="Z41" i="527" s="1"/>
  <c r="P41" i="532"/>
  <c r="J67" i="527"/>
  <c r="K67" i="527" s="1"/>
  <c r="Z67" i="527" s="1"/>
  <c r="P67" i="532"/>
  <c r="P89" i="532"/>
  <c r="J89" i="527"/>
  <c r="K89" i="527" s="1"/>
  <c r="Z89" i="527" s="1"/>
  <c r="P36" i="532"/>
  <c r="J36" i="527"/>
  <c r="K36" i="527" s="1"/>
  <c r="Z36" i="527" s="1"/>
  <c r="J53" i="527"/>
  <c r="K53" i="527" s="1"/>
  <c r="Z53" i="527" s="1"/>
  <c r="P53" i="532"/>
  <c r="P91" i="532"/>
  <c r="J91" i="527"/>
  <c r="K91" i="527" s="1"/>
  <c r="Z91" i="527" s="1"/>
  <c r="P58" i="532"/>
  <c r="J58" i="527"/>
  <c r="K58" i="527" s="1"/>
  <c r="Z58" i="527" s="1"/>
  <c r="J98" i="527"/>
  <c r="K98" i="527" s="1"/>
  <c r="Z98" i="527" s="1"/>
  <c r="P98" i="532"/>
  <c r="J90" i="527"/>
  <c r="K90" i="527" s="1"/>
  <c r="Z90" i="527" s="1"/>
  <c r="P90" i="532"/>
  <c r="J32" i="527"/>
  <c r="K32" i="527" s="1"/>
  <c r="Z32" i="527" s="1"/>
  <c r="P32" i="532"/>
  <c r="P56" i="532"/>
  <c r="J56" i="527"/>
  <c r="K56" i="527" s="1"/>
  <c r="Z56" i="527" s="1"/>
  <c r="P82" i="532"/>
  <c r="J82" i="527"/>
  <c r="K82" i="527" s="1"/>
  <c r="Z82" i="527" s="1"/>
  <c r="P51" i="532"/>
  <c r="J51" i="527"/>
  <c r="K51" i="527" s="1"/>
  <c r="Z51" i="527" s="1"/>
  <c r="W31" i="531"/>
  <c r="X107" i="531" s="1"/>
  <c r="V131" i="531"/>
  <c r="P52" i="532"/>
  <c r="J52" i="527"/>
  <c r="K52" i="527" s="1"/>
  <c r="Z52" i="527" s="1"/>
  <c r="J87" i="527"/>
  <c r="K87" i="527" s="1"/>
  <c r="Z87" i="527" s="1"/>
  <c r="P87" i="532"/>
  <c r="J46" i="527"/>
  <c r="K46" i="527" s="1"/>
  <c r="Z46" i="527" s="1"/>
  <c r="P46" i="532"/>
  <c r="J75" i="527"/>
  <c r="K75" i="527" s="1"/>
  <c r="Z75" i="527" s="1"/>
  <c r="P75" i="532"/>
  <c r="J65" i="527"/>
  <c r="K65" i="527" s="1"/>
  <c r="Z65" i="527" s="1"/>
  <c r="P65" i="532"/>
  <c r="P57" i="532"/>
  <c r="J57" i="527"/>
  <c r="K57" i="527" s="1"/>
  <c r="Z57" i="527" s="1"/>
  <c r="J47" i="527"/>
  <c r="K47" i="527" s="1"/>
  <c r="Z47" i="527" s="1"/>
  <c r="P47" i="532"/>
  <c r="J96" i="527"/>
  <c r="K96" i="527" s="1"/>
  <c r="Z96" i="527" s="1"/>
  <c r="P96" i="532"/>
  <c r="P92" i="535"/>
  <c r="Q92" i="532"/>
  <c r="Q92" i="535" s="1"/>
  <c r="P107" i="535" l="1"/>
  <c r="Q107" i="532"/>
  <c r="Q107" i="535" s="1"/>
  <c r="P93" i="535"/>
  <c r="X73" i="531"/>
  <c r="X106" i="531"/>
  <c r="X105" i="531"/>
  <c r="P105" i="535"/>
  <c r="Q105" i="532"/>
  <c r="Q105" i="535" s="1"/>
  <c r="P33" i="535"/>
  <c r="X52" i="531"/>
  <c r="X96" i="531"/>
  <c r="X57" i="531"/>
  <c r="X47" i="531"/>
  <c r="X53" i="531"/>
  <c r="X54" i="531"/>
  <c r="X56" i="531"/>
  <c r="X41" i="531"/>
  <c r="X75" i="531"/>
  <c r="X65" i="531"/>
  <c r="X78" i="531"/>
  <c r="Q46" i="532"/>
  <c r="Q46" i="535" s="1"/>
  <c r="P46" i="535"/>
  <c r="P51" i="535"/>
  <c r="Q51" i="532"/>
  <c r="Q51" i="535" s="1"/>
  <c r="P40" i="535"/>
  <c r="Q40" i="532"/>
  <c r="Q40" i="535" s="1"/>
  <c r="Q96" i="532"/>
  <c r="Q96" i="535" s="1"/>
  <c r="P96" i="535"/>
  <c r="X33" i="531"/>
  <c r="J31" i="527"/>
  <c r="P31" i="532"/>
  <c r="W131" i="531"/>
  <c r="X31" i="531"/>
  <c r="X92" i="531"/>
  <c r="X93" i="531"/>
  <c r="X82" i="531"/>
  <c r="X91" i="531"/>
  <c r="Q53" i="532"/>
  <c r="Q53" i="535" s="1"/>
  <c r="P53" i="535"/>
  <c r="P36" i="535"/>
  <c r="Q36" i="532"/>
  <c r="Q36" i="535" s="1"/>
  <c r="X67" i="531"/>
  <c r="P41" i="535"/>
  <c r="Q41" i="532"/>
  <c r="Q41" i="535" s="1"/>
  <c r="Q70" i="532"/>
  <c r="Q70" i="535" s="1"/>
  <c r="P70" i="535"/>
  <c r="X85" i="531"/>
  <c r="Q78" i="532"/>
  <c r="Q78" i="535" s="1"/>
  <c r="P78" i="535"/>
  <c r="X34" i="531"/>
  <c r="Q38" i="532"/>
  <c r="Q38" i="535" s="1"/>
  <c r="P38" i="535"/>
  <c r="X42" i="531"/>
  <c r="X37" i="531"/>
  <c r="Q47" i="532"/>
  <c r="Q47" i="535" s="1"/>
  <c r="P47" i="535"/>
  <c r="Q57" i="532"/>
  <c r="Q57" i="535" s="1"/>
  <c r="P57" i="535"/>
  <c r="Q89" i="532"/>
  <c r="Q89" i="535" s="1"/>
  <c r="P89" i="535"/>
  <c r="P65" i="535"/>
  <c r="Q65" i="532"/>
  <c r="Q65" i="535" s="1"/>
  <c r="X87" i="531"/>
  <c r="X51" i="531"/>
  <c r="P56" i="535"/>
  <c r="Q56" i="532"/>
  <c r="Q56" i="535" s="1"/>
  <c r="X90" i="531"/>
  <c r="X58" i="531"/>
  <c r="X89" i="531"/>
  <c r="Q67" i="532"/>
  <c r="Q67" i="535" s="1"/>
  <c r="P67" i="535"/>
  <c r="X95" i="531"/>
  <c r="X45" i="531"/>
  <c r="Q73" i="532"/>
  <c r="Q73" i="535" s="1"/>
  <c r="P73" i="535"/>
  <c r="X40" i="531"/>
  <c r="P42" i="535"/>
  <c r="Q42" i="532"/>
  <c r="Q42" i="535" s="1"/>
  <c r="Q54" i="532"/>
  <c r="Q54" i="535" s="1"/>
  <c r="P54" i="535"/>
  <c r="Q37" i="532"/>
  <c r="Q37" i="535" s="1"/>
  <c r="P37" i="535"/>
  <c r="P32" i="535"/>
  <c r="Q32" i="532"/>
  <c r="Q32" i="535" s="1"/>
  <c r="Q98" i="532"/>
  <c r="Q98" i="535" s="1"/>
  <c r="P98" i="535"/>
  <c r="Q58" i="532"/>
  <c r="Q58" i="535" s="1"/>
  <c r="P58" i="535"/>
  <c r="P94" i="535"/>
  <c r="Q94" i="532"/>
  <c r="Q94" i="535" s="1"/>
  <c r="P45" i="535"/>
  <c r="Q45" i="532"/>
  <c r="Q45" i="535" s="1"/>
  <c r="Q75" i="532"/>
  <c r="Q75" i="535" s="1"/>
  <c r="P75" i="535"/>
  <c r="X46" i="531"/>
  <c r="Q87" i="532"/>
  <c r="Q87" i="535" s="1"/>
  <c r="P87" i="535"/>
  <c r="Q52" i="532"/>
  <c r="Q52" i="535" s="1"/>
  <c r="P52" i="535"/>
  <c r="P82" i="535"/>
  <c r="Q82" i="532"/>
  <c r="Q82" i="535" s="1"/>
  <c r="X32" i="531"/>
  <c r="P90" i="535"/>
  <c r="Q90" i="532"/>
  <c r="Q90" i="535" s="1"/>
  <c r="X98" i="531"/>
  <c r="P91" i="535"/>
  <c r="Q91" i="532"/>
  <c r="Q91" i="535" s="1"/>
  <c r="X36" i="531"/>
  <c r="X70" i="531"/>
  <c r="Q95" i="532"/>
  <c r="Q95" i="535" s="1"/>
  <c r="P95" i="535"/>
  <c r="P85" i="535"/>
  <c r="Q85" i="532"/>
  <c r="Q85" i="535" s="1"/>
  <c r="X94" i="531"/>
  <c r="P34" i="535"/>
  <c r="Q34" i="532"/>
  <c r="Q34" i="535" s="1"/>
  <c r="X38" i="531"/>
  <c r="P131" i="532" l="1"/>
  <c r="Q31" i="532"/>
  <c r="Q31" i="535" s="1"/>
  <c r="P31" i="535"/>
  <c r="P131" i="535" s="1"/>
  <c r="J131" i="527"/>
  <c r="K31" i="527"/>
  <c r="X131" i="531"/>
  <c r="K131" i="527" l="1"/>
  <c r="Z31" i="5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700-000001000000}">
      <text>
        <r>
          <rPr>
            <b/>
            <sz val="9"/>
            <color indexed="81"/>
            <rFont val="Tahoma"/>
            <family val="2"/>
          </rPr>
          <t>מספר שורות למוסדות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B00-000001000000}">
      <text>
        <r>
          <rPr>
            <b/>
            <sz val="9"/>
            <color indexed="81"/>
            <rFont val="Tahoma"/>
            <family val="2"/>
          </rPr>
          <t>מספר שורות למוסדות</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C00-000001000000}">
      <text>
        <r>
          <rPr>
            <b/>
            <sz val="9"/>
            <color indexed="81"/>
            <rFont val="Tahoma"/>
            <family val="2"/>
          </rPr>
          <t>מספר שורות למוסדות</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D00-000001000000}">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<sst xmlns="http://schemas.openxmlformats.org/spreadsheetml/2006/main" count="3214" uniqueCount="1099">
  <si>
    <t>AllowFilterCheckBox</t>
  </si>
  <si>
    <t>AllowFormattingCheckBox</t>
  </si>
  <si>
    <t>AllowColumnFormattingCheckBox</t>
  </si>
  <si>
    <t>AllowRowFormattingCheckBox</t>
  </si>
  <si>
    <t>ProtectSettings</t>
  </si>
  <si>
    <t>הדרכה למשתמש</t>
  </si>
  <si>
    <t>פרמטרים לקריטריונים</t>
  </si>
  <si>
    <t>הוראת שעה</t>
  </si>
  <si>
    <t>תנאי סף</t>
  </si>
  <si>
    <t>סיווג</t>
  </si>
  <si>
    <t>מספר הרצות</t>
  </si>
  <si>
    <t>מספר מבצעים בתשלום</t>
  </si>
  <si>
    <t>מיקום ההרצות</t>
  </si>
  <si>
    <t>רמה מקצועית ואמנותית</t>
  </si>
  <si>
    <t>מיקום גיאוגרפי</t>
  </si>
  <si>
    <t>תקציב</t>
  </si>
  <si>
    <t>עידוד יצירה ישראלית</t>
  </si>
  <si>
    <t>תיעוד</t>
  </si>
  <si>
    <t>התחשיב הבסיסי</t>
  </si>
  <si>
    <t>פרמטרים לעקרונות חישוב התמיכה</t>
  </si>
  <si>
    <t>ייצוב</t>
  </si>
  <si>
    <t>הגנה</t>
  </si>
  <si>
    <t>הרכב חברי הוועדה</t>
  </si>
  <si>
    <t>תמיכה מינימלית</t>
  </si>
  <si>
    <t>הגנה (הוראת שעה)</t>
  </si>
  <si>
    <t>סיכום</t>
  </si>
  <si>
    <t>הגבלה לסכום מבוקש (1)</t>
  </si>
  <si>
    <t>קיזוזים בגין איחורים</t>
  </si>
  <si>
    <t>קיזוזים- החלטות ועדה</t>
  </si>
  <si>
    <t>הגבלה לסכום מבוקש (2)</t>
  </si>
  <si>
    <t>סיכום לועדה- הזנת נתונים</t>
  </si>
  <si>
    <t>סיכום לועדה - תוצאות</t>
  </si>
  <si>
    <t>תאריך בניית המודל</t>
  </si>
  <si>
    <t>תאריך עדכון מודל</t>
  </si>
  <si>
    <r>
      <rPr>
        <b/>
        <sz val="20"/>
        <color theme="1"/>
        <rFont val="Calibri"/>
        <family val="2"/>
        <scheme val="minor"/>
      </rPr>
      <t xml:space="preserve">הערות חשובות:
</t>
    </r>
    <r>
      <rPr>
        <b/>
        <sz val="16"/>
        <color theme="1"/>
        <rFont val="Calibri"/>
        <family val="2"/>
        <scheme val="minor"/>
      </rPr>
      <t xml:space="preserve">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 xml:space="preserve">.
אסור לבצע "הוספה" או "מחיקה" של שורות או עמודות
יש לפתוח את המודל בגרסת </t>
    </r>
    <r>
      <rPr>
        <b/>
        <u/>
        <sz val="16"/>
        <color theme="1"/>
        <rFont val="Calibri"/>
        <family val="2"/>
        <scheme val="minor"/>
      </rPr>
      <t>אקסל 2010</t>
    </r>
    <r>
      <rPr>
        <b/>
        <sz val="16"/>
        <color theme="1"/>
        <rFont val="Calibri"/>
        <family val="2"/>
        <scheme val="minor"/>
      </rPr>
      <t xml:space="preserve"> לפחות. </t>
    </r>
    <r>
      <rPr>
        <b/>
        <i/>
        <u/>
        <sz val="16"/>
        <color theme="1"/>
        <rFont val="Calibri"/>
        <family val="2"/>
        <scheme val="minor"/>
      </rPr>
      <t>חל איסור</t>
    </r>
    <r>
      <rPr>
        <b/>
        <sz val="16"/>
        <color theme="1"/>
        <rFont val="Calibri"/>
        <family val="2"/>
        <scheme val="minor"/>
      </rPr>
      <t xml:space="preserve"> לשמור את הקובץ בפורמט התואם אקסל 97-2003</t>
    </r>
  </si>
  <si>
    <t>הוראת שעה/מעבר:</t>
  </si>
  <si>
    <t>2019-2020</t>
  </si>
  <si>
    <t>הדרכה להזנת נתונים</t>
  </si>
  <si>
    <t>צבע התא</t>
  </si>
  <si>
    <t>מטרת התא</t>
  </si>
  <si>
    <t>דגש</t>
  </si>
  <si>
    <t>צהוב</t>
  </si>
  <si>
    <t>הזנת נתונים</t>
  </si>
  <si>
    <t>נדרש להזין מידע בהתאם להנחיות מבחן התמיכה, אי הזנה של תא יכולה להביא לידי שגיאה בתוצאות במודל. במקומות שבהם מזינים 0/1, אז המשמעות של 0 הוא "לא" ו-1 "כן"</t>
  </si>
  <si>
    <t>חום</t>
  </si>
  <si>
    <t>הצגת מידע</t>
  </si>
  <si>
    <t>תא שאיננו מיועד להזנה. תא זה מציג מידע עפ"י נוסחה קבועה ואין לשנות אותה.</t>
  </si>
  <si>
    <t>אדום</t>
  </si>
  <si>
    <t>התראת שגיאה</t>
  </si>
  <si>
    <t>קיימת שגיאה בהזנת נתונים באחד מהתאים המיועדים להזנה, נדרש להזין את הנתונים הנדרשים לפני קביעת גובה תמיכה סופי.</t>
  </si>
  <si>
    <t>יש לעדכן את שנת התמיכה והתקציב בגיליון פרמטרים לקריטריונים.
את רשימת המוסדות יש להזין בגיליון תנאי סף וכן את כלל הנתונים לגבי תנאי הסף.
יש למלא בכל גיליון של משתנה את הנתונים הרלוונטיים. במידה ויש נתון אשר הוזן בגיליון קודם, נתון זה יועבר באופן אוטומטי לגיליונות הרלוונטיים ללא צורך בהזנה חוזרת.</t>
  </si>
  <si>
    <t>ניהול גרסאות</t>
  </si>
  <si>
    <t>מספר גרסה</t>
  </si>
  <si>
    <t>תאריך עדכון גרסה</t>
  </si>
  <si>
    <t>תאריך גרסה של מבחן תמיכה</t>
  </si>
  <si>
    <t>התאמות נוספות של מבחן תמיכה</t>
  </si>
  <si>
    <t>מודל קבוצות מוסיקליות</t>
  </si>
  <si>
    <t>שנת תקציב</t>
  </si>
  <si>
    <t>תקציב התמיכה</t>
  </si>
  <si>
    <t>הגדרות</t>
  </si>
  <si>
    <t>הגדרת שנה</t>
  </si>
  <si>
    <t>תאריך התחלה</t>
  </si>
  <si>
    <t>תאריך סיום</t>
  </si>
  <si>
    <t>שנת התמיכה/תקציב</t>
  </si>
  <si>
    <t>שנת ההערכה</t>
  </si>
  <si>
    <t>שנת התקציב המבוקר</t>
  </si>
  <si>
    <t>שנה תקציבית קודמת</t>
  </si>
  <si>
    <t>מקדם</t>
  </si>
  <si>
    <t>תקציב גבוהה מ:</t>
  </si>
  <si>
    <t>מבצעים</t>
  </si>
  <si>
    <t>קטנה</t>
  </si>
  <si>
    <t>בינונית</t>
  </si>
  <si>
    <t>גדולה</t>
  </si>
  <si>
    <t>משקולות קריטריונים</t>
  </si>
  <si>
    <t>סעיף</t>
  </si>
  <si>
    <t>משקל</t>
  </si>
  <si>
    <t>החלת מקדם תלוי משתנה</t>
  </si>
  <si>
    <t>סה"כ</t>
  </si>
  <si>
    <t>ניקוד</t>
  </si>
  <si>
    <t>בעד כל הרצה</t>
  </si>
  <si>
    <t>שיעור מקס' ניקוד הרצות חו"ל מתוך הרצות בישראל</t>
  </si>
  <si>
    <t>בעד כל מבצע</t>
  </si>
  <si>
    <t>מרחק ממקום פעילות מרכזי</t>
  </si>
  <si>
    <t>יישוב סיווג למ"ס 1</t>
  </si>
  <si>
    <t>יישוב סיווג למ"ס 2</t>
  </si>
  <si>
    <t>0 עד 30 ק"מ</t>
  </si>
  <si>
    <t>מעל 30 ועד 60 ק"מ</t>
  </si>
  <si>
    <t>מעל 60 ועד 100 ק"מ</t>
  </si>
  <si>
    <t>מעל 100 ק"מ</t>
  </si>
  <si>
    <t>נאותה</t>
  </si>
  <si>
    <t>טובה</t>
  </si>
  <si>
    <t>טובה מאוד</t>
  </si>
  <si>
    <t>מצוינת</t>
  </si>
  <si>
    <t>מקום פעילות המרכזי</t>
  </si>
  <si>
    <t>תל אביב והסביבה (עד 30 קילומטר מתל-אביב)</t>
  </si>
  <si>
    <t>מעל 30 ועד 60 קילומטר מתל-אביב (נתניה חדרה, יבנה, גדרה)</t>
  </si>
  <si>
    <t>מעל 60 ועד 100 קילומטר מתל-אביב (ירושלים, חיפה)</t>
  </si>
  <si>
    <t>מעל 100 קילומטר מתל-אביב (עכו, באר שבע, טבריה)</t>
  </si>
  <si>
    <t>בפריפריה</t>
  </si>
  <si>
    <t>שיעור ההכנסות העצמיות מעל:</t>
  </si>
  <si>
    <t>בעד כל יצירה ישראלית</t>
  </si>
  <si>
    <t>משך התיעוד לפחות (דק')</t>
  </si>
  <si>
    <t>א</t>
  </si>
  <si>
    <t>ב</t>
  </si>
  <si>
    <t>ג</t>
  </si>
  <si>
    <t>ד</t>
  </si>
  <si>
    <t>ה</t>
  </si>
  <si>
    <t>האם חלה הוראת השעה בשנה הספציפית</t>
  </si>
  <si>
    <t>שנה</t>
  </si>
  <si>
    <t>הגנה הוראת שעה</t>
  </si>
  <si>
    <t>מינימום תמיכה</t>
  </si>
  <si>
    <t>שיעור הקלה</t>
  </si>
  <si>
    <t>ניקוד אוטומטי ברמה אמנותיצ</t>
  </si>
  <si>
    <t>מקיים פעילות מוסקלית מקצועית במשך שנתיים או נתמך ב2018 כקבוצה מוסיקלית באמצעות ארגון גג</t>
  </si>
  <si>
    <t>מקיים פעילות מוסקלית מקצועית במשך שנתיים</t>
  </si>
  <si>
    <t>בדוק נתוני הזנה</t>
  </si>
  <si>
    <t>סוגי בקרות</t>
  </si>
  <si>
    <t>0/1</t>
  </si>
  <si>
    <t>מספר</t>
  </si>
  <si>
    <t>מספר שלם</t>
  </si>
  <si>
    <t>מספר שאינו שלילי</t>
  </si>
  <si>
    <t>מספר שלם שאינו שלילי</t>
  </si>
  <si>
    <t>מספר חיובי</t>
  </si>
  <si>
    <t>מספר שלם חיובי</t>
  </si>
  <si>
    <t>טקסט</t>
  </si>
  <si>
    <t>טקסט מרשימה סגורה</t>
  </si>
  <si>
    <t>מספר בקרה</t>
  </si>
  <si>
    <t>רלוונטי למבחן עמידה בתנאי סף? 1=רלוונטי. 0= לא רלוונטי אבל נדרשת בקרה על הזנת נתונים. 99= לא רלוונטי ולא נדרשת בקה על הזנת נתונים</t>
  </si>
  <si>
    <t>רשימה סגורה</t>
  </si>
  <si>
    <t>מעבר תנאי סף- במידה ולא רלוונטי להשאיר ריק</t>
  </si>
  <si>
    <t>הקלות</t>
  </si>
  <si>
    <t>נדרש לפי הקלה</t>
  </si>
  <si>
    <t>מס"ד</t>
  </si>
  <si>
    <t>שם המוסד</t>
  </si>
  <si>
    <t>התקציב מנוהל כמשק סגור ובאופן ישיר</t>
  </si>
  <si>
    <t>מטרות המוסד עולים בקנה אחד עם מטרות התמיכה</t>
  </si>
  <si>
    <t>עומד בדרישות הנוהל</t>
  </si>
  <si>
    <t>המוסד מציין בפרסומיו את תמיכת המשרד</t>
  </si>
  <si>
    <t>המוסד פועל שנתיים כקבוצה מוסקלית</t>
  </si>
  <si>
    <t>גוף ביצוע בתחום המוסיקלי הכלית או רב תחומי כולל מוסיקה</t>
  </si>
  <si>
    <t>אינו מקבל תמיכה במסגרת מבחן גופים כליים</t>
  </si>
  <si>
    <t>סך מספר המבצעים בקבוצה</t>
  </si>
  <si>
    <t>מבצעים בקבוצה מתחום המוסיקה הכלית</t>
  </si>
  <si>
    <t>עומד בקריטריון מבצעים</t>
  </si>
  <si>
    <t>כל מבצע סיים הכשרה בתחומי המוסיקה במוסד מוכר או עבד כמוסיקאי במשך שנה לפחות</t>
  </si>
  <si>
    <t>בראש הקבוצה עומד מנהל מוסקלי העומד בדרישות</t>
  </si>
  <si>
    <t>פועל ברמה אמנותית נאותה</t>
  </si>
  <si>
    <t>מעלה הפקה מוסיקלית חדשה אחת לפחות בשנה</t>
  </si>
  <si>
    <t>מספר הרצות בישראל</t>
  </si>
  <si>
    <t>קריטריון הקלה 3</t>
  </si>
  <si>
    <t>קריטריון הקלה 4</t>
  </si>
  <si>
    <t>קריטריון הקלה 5</t>
  </si>
  <si>
    <t>עומד בתנאים לאור הקלות</t>
  </si>
  <si>
    <t>התנאים צפוים להתקיים בשנת התמיכה על פי תכנית עבודה</t>
  </si>
  <si>
    <t>עומד בתנאי סף כלליים אחרים</t>
  </si>
  <si>
    <t>מעבר תנאי סף-אישור מיוחד</t>
  </si>
  <si>
    <t>ריק</t>
  </si>
  <si>
    <t>מעבר תנאי סף</t>
  </si>
  <si>
    <t>הערות</t>
  </si>
  <si>
    <t>בקרה ראשית</t>
  </si>
  <si>
    <t>קריטריון הקלה 1</t>
  </si>
  <si>
    <t>קריטריון הקלה 2</t>
  </si>
  <si>
    <t>עומד בתנאים להקלות</t>
  </si>
  <si>
    <t>אנסמבל פרץ אליהו</t>
  </si>
  <si>
    <r>
      <rPr>
        <sz val="12"/>
        <rFont val="Calibri"/>
        <family val="2"/>
        <scheme val="minor"/>
      </rPr>
      <t>עומד בתנאי סף האמנותי ובתנאי הסף הכמותיים כקבוצה מוסיקלית</t>
    </r>
    <r>
      <rPr>
        <sz val="12"/>
        <color theme="4"/>
        <rFont val="Calibri"/>
        <family val="2"/>
        <scheme val="minor"/>
      </rPr>
      <t>,</t>
    </r>
  </si>
  <si>
    <t>אנסמבל הפניקס</t>
  </si>
  <si>
    <t>עומד בתנאי סף האמנותי ובתנאי הסף הכמותיים כקבוצה מוסיקלית.</t>
  </si>
  <si>
    <t>יניב ד'אור - אנסמבל נאיה</t>
  </si>
  <si>
    <t>הפרויקט הקאמרי הישראלי</t>
  </si>
  <si>
    <t>אנסמבל גלעד אפרת</t>
  </si>
  <si>
    <t>רביעיית כרמל</t>
  </si>
  <si>
    <t>הרכב עמית פרידמן</t>
  </si>
  <si>
    <t>חמישיית תל אביב לכלי נשיפה</t>
  </si>
  <si>
    <t>הרכב אקוט</t>
  </si>
  <si>
    <t>שלישיית עתר</t>
  </si>
  <si>
    <t>אנסמבל מצו</t>
  </si>
  <si>
    <t>אנסמבל מיתר</t>
  </si>
  <si>
    <t>אנסמבל ארז נטף</t>
  </si>
  <si>
    <t>עומד בתנאי סף האמנותי ובתנאי הסף הכמותיים כקבוצה מוסיקלית..</t>
  </si>
  <si>
    <t>אלקאת התזמורת התימנית</t>
  </si>
  <si>
    <t>גיא מינטוס- טריו</t>
  </si>
  <si>
    <t xml:space="preserve">פולקעס - בר-קיימא לתרבות </t>
  </si>
  <si>
    <t xml:space="preserve">עומד בתנאי סף האמנותי ובתנאי הסף הכמותיים כקבוצה מוסיקלית. </t>
  </si>
  <si>
    <t>מכון רננות</t>
  </si>
  <si>
    <t>עמותת מפעל המוזיקה צימבליסטה</t>
  </si>
  <si>
    <t>העמותה לקידום המוסיקה הערבית</t>
  </si>
  <si>
    <t/>
  </si>
  <si>
    <t>אחוז בין 0 ל-100</t>
  </si>
  <si>
    <t>אינו עומד בתנאי סף</t>
  </si>
  <si>
    <t>מספר מבצעים בשנת ההערכה</t>
  </si>
  <si>
    <t>נתון למכפיל1</t>
  </si>
  <si>
    <t>ניקוד לאחר מכפיל1</t>
  </si>
  <si>
    <t>ניקוד לאחר מכפיל2</t>
  </si>
  <si>
    <t>מקדם גודל</t>
  </si>
  <si>
    <t>מספר הרצות מחוץ לישראל</t>
  </si>
  <si>
    <t>ניקוד הרצות בישראל</t>
  </si>
  <si>
    <t>ניקוד הרצות בחו"ל</t>
  </si>
  <si>
    <t>סה"כ ניקוד</t>
  </si>
  <si>
    <t>ניקוד לאחר מקדם גודל</t>
  </si>
  <si>
    <t>שיעור יחסי</t>
  </si>
  <si>
    <t>מספר מבצעים שהשתתפו ב-75% לפחות מהרצות הקבוצה בשנת ההערכה</t>
  </si>
  <si>
    <t>טור הזנת מספר שלם</t>
  </si>
  <si>
    <t>טור הזנת מספר שאינו שלילי</t>
  </si>
  <si>
    <t>טור הזנת  מספר שלם שאינו שלילי</t>
  </si>
  <si>
    <t>טור הזנת מספר חיובי</t>
  </si>
  <si>
    <t>טור הזנת מספר שלם חיובי</t>
  </si>
  <si>
    <t>טור הזנת טקסט</t>
  </si>
  <si>
    <t>טור הזנת טקסט מרשימה סגורה</t>
  </si>
  <si>
    <t>סך מספר הרצות</t>
  </si>
  <si>
    <t>הרצות ביישוב סיווג למ"ס 1</t>
  </si>
  <si>
    <t>הרצות ביישוב סיווג למ"ס 2</t>
  </si>
  <si>
    <t>טור הזנת מספר</t>
  </si>
  <si>
    <t>מרחק מקום הפעילות המרכזי מתל אביב</t>
  </si>
  <si>
    <t>מקום הפעילות המרכזי בפריפריה</t>
  </si>
  <si>
    <t>סך הכנסות עצמיות</t>
  </si>
  <si>
    <t>שיעור הכנסות עצמיות</t>
  </si>
  <si>
    <t>מספר "תיעודי" פעילות הקבוצה בשנת ההערכה שמשכו 30 דקות ולא יותר מ-50 דקות</t>
  </si>
  <si>
    <t>מספר "תיעודי" פעילות הקבוצה בשנת ההערכה שמשכו 50 דקות ומעלה</t>
  </si>
  <si>
    <t>מספר יצירות ישראליות שנכללו בהפקה מוסיקלית בשנת ההערכה, שמשכה 6 דקות ומעלה</t>
  </si>
  <si>
    <t>מספר סידורי</t>
  </si>
  <si>
    <t>שיעור התמיכה המתוקנן</t>
  </si>
  <si>
    <t>סכום בסיסי</t>
  </si>
  <si>
    <t>פרמטרים לחישוב תמיכה לאור שיעור מוסדי ותמיכה ממקורות אחרים</t>
  </si>
  <si>
    <t>תאגיד מוסדי או מחויבות ממשלתית</t>
  </si>
  <si>
    <t>תוספת בגין מקורות אחרים</t>
  </si>
  <si>
    <t>סוג</t>
  </si>
  <si>
    <t>שיעור תמיכה</t>
  </si>
  <si>
    <t>סימול</t>
  </si>
  <si>
    <t>מכפלת השקלים שמזכה בתוספת</t>
  </si>
  <si>
    <t>התוספת לכל מכפלה</t>
  </si>
  <si>
    <t>תאגיד מוסדי</t>
  </si>
  <si>
    <t>אינו תאגיד מוסדי</t>
  </si>
  <si>
    <t>פרמטרים לחישוב מנגנון ההגנה</t>
  </si>
  <si>
    <t>מנגנון ההגנה</t>
  </si>
  <si>
    <t>ערך</t>
  </si>
  <si>
    <t>שיעור פיחות מירבי בתמיכה</t>
  </si>
  <si>
    <t>שיעור תמיכה מינימלי משנה קודמת</t>
  </si>
  <si>
    <t>פרמטרים לחישוב הפחתות בגין חריגות שכר</t>
  </si>
  <si>
    <t>חריגות שכר</t>
  </si>
  <si>
    <t xml:space="preserve">פרמטרים לבחינת גירעון </t>
  </si>
  <si>
    <t>מוסד לא יהיה זכאי לתמיכה כל עוד לא הציג תוכנית הבראה במידה ו:</t>
  </si>
  <si>
    <t>בונוס עבור עמידה במגבלות חריגה תקציבית</t>
  </si>
  <si>
    <t>שיעור</t>
  </si>
  <si>
    <t>גרעון שוטף לא גבוה מ:</t>
  </si>
  <si>
    <t>גרעון מצטבר לא גבוה מ:</t>
  </si>
  <si>
    <t>שיעור הבונוס</t>
  </si>
  <si>
    <t xml:space="preserve">פרמטרים לבחינת הרכב חברי הוועדה </t>
  </si>
  <si>
    <t>מנגנון התוספת בגין הרכב חברי הועדה</t>
  </si>
  <si>
    <t>מוסד אשר מספר הנשים החברות בוועד המנהל שלו לעומת כלל חברי הוועד המנהל גדול מ:</t>
  </si>
  <si>
    <t>תגדל התמיכה בו ב:</t>
  </si>
  <si>
    <t>סכום תמיכה מינימאלי משנה קודמת</t>
  </si>
  <si>
    <t>שיעור גידול מקסימאלי בתמיכה ביחס לשנה קודמת</t>
  </si>
  <si>
    <t>לא ניתנן תמיכה למוסד בעד בקשה שהניקוד בעדה מזכה בסכום הנמוך מ:</t>
  </si>
  <si>
    <t>מגנון הייצוב</t>
  </si>
  <si>
    <t>שיעור יחסי
לפני ייצוב</t>
  </si>
  <si>
    <t>הפעילות נתמכת לראשונה בתחום מקצועי זה (ברירת מחדל - לא)</t>
  </si>
  <si>
    <t>שיעור התמיכה בשנת ההערכה</t>
  </si>
  <si>
    <t>שיעור תמיכה לאחר ייצוב</t>
  </si>
  <si>
    <t>שיעור יחסי לאחר ייצוב</t>
  </si>
  <si>
    <t>סכום יחסי לאחר ייצוב</t>
  </si>
  <si>
    <t>בקרת נתון שיעור יחסי לפני ייצוב</t>
  </si>
  <si>
    <t>בקרת נתון שיעור תמיכה שנה קודמת</t>
  </si>
  <si>
    <t>בקרת נתון זכאי להגנה</t>
  </si>
  <si>
    <t>בקרת נתונים</t>
  </si>
  <si>
    <t>בקרת סה"כ</t>
  </si>
  <si>
    <t>שיעור תמיכה לפני הגנה</t>
  </si>
  <si>
    <t>שיעור תמיכה יחסי בשנה קודמת</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</si>
  <si>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</si>
  <si>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</si>
  <si>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</si>
  <si>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</si>
  <si>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</si>
  <si>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</si>
  <si>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</si>
  <si>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</si>
  <si>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</si>
  <si>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</si>
  <si>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</si>
  <si>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</si>
  <si>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</si>
  <si>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</si>
  <si>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</si>
  <si>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</si>
  <si>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</si>
  <si>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</si>
  <si>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</si>
  <si>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</si>
  <si>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</si>
  <si>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</si>
  <si>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</si>
  <si>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</si>
  <si>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</si>
  <si>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</si>
  <si>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</si>
  <si>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</si>
  <si>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</si>
  <si>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</si>
  <si>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</si>
  <si>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</si>
  <si>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</si>
  <si>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</si>
  <si>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</si>
  <si>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</si>
  <si>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</si>
  <si>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</si>
  <si>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</si>
  <si>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</si>
  <si>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</si>
  <si>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</si>
  <si>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סכום תמיכה לאחר הגנה</t>
  </si>
  <si>
    <t>בקרת על</t>
  </si>
  <si>
    <t>שיעור תמיכה לפני הרכב חברי הוועדה</t>
  </si>
  <si>
    <t>מספר הנשים החברות בוועד המנהל</t>
  </si>
  <si>
    <t>מספר כלל חברי הוועד המנהל</t>
  </si>
  <si>
    <t>אחוז הנשים מכלל חברי הועד המנהל</t>
  </si>
  <si>
    <t>המוסד זכאי לתוספת בגין הרכב הועדה (0/1)</t>
  </si>
  <si>
    <t>שיעור תמיכה לאחר הרכב חברי הוועדה</t>
  </si>
  <si>
    <t>סכום תמיכה לאחר הרכב חברי הוועדה</t>
  </si>
  <si>
    <t>בקרץ מספר נשים בוועד</t>
  </si>
  <si>
    <t>בקרת שיעור תמיכה לפני הרכב חברי הוועדה</t>
  </si>
  <si>
    <t>בקרת מספר נשים כולל</t>
  </si>
  <si>
    <t>תוספת לחלוקה</t>
  </si>
  <si>
    <t>סכום תמיכה לפני בדיקת מינימום</t>
  </si>
  <si>
    <t>עובר סכום מינימום</t>
  </si>
  <si>
    <t>סכום לפסטיבלים מעל המינימום</t>
  </si>
  <si>
    <t>סכום שהופחת מאי עמידה במינימום</t>
  </si>
  <si>
    <t>תוספת לגופים מעל המינימום</t>
  </si>
  <si>
    <t>סכום חדש לאחר תוספת</t>
  </si>
  <si>
    <t>שיעור תמיכה לאחר בדיקת מינימום</t>
  </si>
  <si>
    <t>סכום תמיכה לאחר תמיכה מינימלית</t>
  </si>
  <si>
    <t>חסר נתון</t>
  </si>
  <si>
    <t>לא ניתן לחשב</t>
  </si>
  <si>
    <t>שיעור התמיכה וסכום התמיכה לפי המודל</t>
  </si>
  <si>
    <t>שיעור התמיכה בשנה הקודמת</t>
  </si>
  <si>
    <t>גובה התמיכה בשנה הקודמת</t>
  </si>
  <si>
    <t>גובה תמיכה לפי התחשיב הבסיסי</t>
  </si>
  <si>
    <t>שיעור תמיכה לפני הגבלות לסכום מבוקש וקיזוזים</t>
  </si>
  <si>
    <t>תמיכה ע"פ המודל לפני הגבלות לסכום מבוקש וקיזוזים</t>
  </si>
  <si>
    <t>הגבלה לסכום מבוקש</t>
  </si>
  <si>
    <t>גובה תמיכה לאחר קיזוזים והגבלה לסכום מבוקש</t>
  </si>
  <si>
    <t>שינוי גובה תמיכה משנה קודמת</t>
  </si>
  <si>
    <t>שיעור השינוי גובה תמיכה משנה קודמת</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</si>
  <si>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</si>
  <si>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</si>
  <si>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</si>
  <si>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</si>
  <si>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</si>
  <si>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</si>
  <si>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</si>
  <si>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בקרת סכום התמיכה המבוקש</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</si>
  <si>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</si>
  <si>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</si>
  <si>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</si>
  <si>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</si>
  <si>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</si>
  <si>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</si>
  <si>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</si>
  <si>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</si>
  <si>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</si>
  <si>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</si>
  <si>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</si>
  <si>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</si>
  <si>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t>סכום תמיכה לגופים חוץ מהגוף המקוזז</t>
  </si>
  <si>
    <t>סה"כ קיזוזים בגין איחורים</t>
  </si>
  <si>
    <t>גובה התמיכה המומלצת</t>
  </si>
  <si>
    <t>ימי איחור</t>
  </si>
  <si>
    <t>גובה סכום מקוזז</t>
  </si>
  <si>
    <t>סכום תמיכה ראשוני לאחר קיזוז</t>
  </si>
  <si>
    <t>גובה תמיכה לאחר קיזוזים</t>
  </si>
  <si>
    <t>הגוף מקוזז בוועדה</t>
  </si>
  <si>
    <t>הגוף מקוזז באיחורים</t>
  </si>
  <si>
    <t>הגוף מקוזז</t>
  </si>
  <si>
    <t>סכום תוספת</t>
  </si>
  <si>
    <t>גובה התמיכה המומלץ</t>
  </si>
  <si>
    <t>סה"כ קיזוזים</t>
  </si>
  <si>
    <t>גובה סכום התמיכה המבוקש לאחר הפחתת קיזוזים</t>
  </si>
  <si>
    <t>תמיכה ראשונית</t>
  </si>
  <si>
    <t>תמיכה לאחר הגבלה לסכום מבוקש (2)</t>
  </si>
  <si>
    <t>מגיש בקשה</t>
  </si>
  <si>
    <t>מספר העמותה</t>
  </si>
  <si>
    <t>שם הגוף</t>
  </si>
  <si>
    <t>מהות הבקשה</t>
  </si>
  <si>
    <t>סיבות לשינויים ביחס לשנה קודמת</t>
  </si>
  <si>
    <t>נימוקים</t>
  </si>
  <si>
    <t>קיזוזים בגין ימי איחור</t>
  </si>
  <si>
    <t>קיזוזים בגין החלטות ועדה</t>
  </si>
  <si>
    <t>מארש דונדורמה</t>
  </si>
  <si>
    <t>להקת מורין נהדר</t>
  </si>
  <si>
    <t>שורולה</t>
  </si>
  <si>
    <t>הודנא אורקסטרה</t>
  </si>
  <si>
    <t>לה פלפולה גרוב</t>
  </si>
  <si>
    <t>תזמורת ארמון בזמן</t>
  </si>
  <si>
    <t>איגוד הקומפוזיטורים בישראל</t>
  </si>
  <si>
    <t>האגודה לטיפוח חברה ותרבות, תיעוד ומ</t>
  </si>
  <si>
    <t>גיא מינטוס טריו</t>
  </si>
  <si>
    <t>רננות - המכון למוסיקה יהודית</t>
  </si>
  <si>
    <t>תמיכה בתזמורת הלאדינו הישראלית</t>
  </si>
  <si>
    <t>..  עומד בתנאי סף האמנותי ובתנאי הסף הכמותיים כקבוצה מוסיקלי</t>
  </si>
  <si>
    <t>עמותה לקידום וטיפוח המוסיקה הערבית</t>
  </si>
  <si>
    <t>עומד בתנאי סף האמנותי ובתנאי הסף הכמותיים כקבוצה מוסיקלית</t>
  </si>
  <si>
    <t>נוער מוסיקלי בישראל</t>
  </si>
  <si>
    <t>יניב ד'אור ואנסמבל נאיה</t>
  </si>
  <si>
    <t>הרכב יובל כהן</t>
  </si>
  <si>
    <t>אנסמבל גליל</t>
  </si>
  <si>
    <t>להקת שלוש</t>
  </si>
  <si>
    <t>טריו בן חיים</t>
  </si>
  <si>
    <t>בלאק סמבה</t>
  </si>
  <si>
    <t>ענת מושקובסקי</t>
  </si>
  <si>
    <t>סבבה 5</t>
  </si>
  <si>
    <t>דריה- הרכב אינסטרומנטלי</t>
  </si>
  <si>
    <t>רביעיית טוסקאניני</t>
  </si>
  <si>
    <t>הפתיליה</t>
  </si>
  <si>
    <t>תמיכה שותפת- קבוצת מוסיקה נובה</t>
  </si>
  <si>
    <t>קבוצת מוזיקה אנסמבל מורשת אבות 2024</t>
  </si>
  <si>
    <t>אנסמבל אמני תו המשווה 2024</t>
  </si>
  <si>
    <t>תו המשווה (ע"ר)</t>
  </si>
  <si>
    <t>וואקלקונטקט -שוטף</t>
  </si>
  <si>
    <t>תמיכה בתזמורת התימנית (אלקאת)</t>
  </si>
  <si>
    <t>פולקעס - שוטף</t>
  </si>
  <si>
    <t>מפעל המוסיקה- קבוצות מוסיקה 2024</t>
  </si>
  <si>
    <t>קבוצות ואנסמבלים מוסיקליים</t>
  </si>
  <si>
    <t>תמיכה בתזמורת TLV (הערבית יהודית)</t>
  </si>
  <si>
    <t>אנסמבל גליל תמיכה 2024</t>
  </si>
  <si>
    <t>תקוע-קבוצה מוזיקלית - 'דאפה' 2024</t>
  </si>
  <si>
    <t>אמיתי אריכא והפרויקט D1</t>
  </si>
  <si>
    <t>עומר מושקוביץ טריו</t>
  </si>
  <si>
    <t>האם עובר לפי הקלה 80% מהתקציב השנתי?</t>
  </si>
  <si>
    <t>האם עובר לפי הקלה 80% ממספר ההרצות?</t>
  </si>
  <si>
    <t>הוועדה המליצה מתן הקלות למוסד לפי סעיף 9ב' והמוסד אינו קיבל הקלות אלו בשנה קודמת</t>
  </si>
  <si>
    <t>במוסד בו מועסקים עובדים ביחסי עבודה, המוסד קבע תקנון למניעת הטרדה מינית ועומד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</si>
  <si>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מדד בסיס</t>
  </si>
  <si>
    <t>מדד מעודכן</t>
  </si>
  <si>
    <t>תקציב לפחות:</t>
  </si>
  <si>
    <t>קבוצה מוסיקלית</t>
  </si>
  <si>
    <t xml:space="preserve"> קבוצה מוסיקלית</t>
  </si>
  <si>
    <t>קבוצה מוסיקלית חדשה</t>
  </si>
  <si>
    <t>מוסד חדש</t>
  </si>
  <si>
    <t>מספר בקשה</t>
  </si>
  <si>
    <t>תיאור בקשה קצר</t>
  </si>
  <si>
    <t>סטאטוס</t>
  </si>
  <si>
    <t>מזהה מגיש הבקשה</t>
  </si>
  <si>
    <t>מס' מגיש (ספק)</t>
  </si>
  <si>
    <t>שם מגיש הבקשה</t>
  </si>
  <si>
    <t>שנת בקשה</t>
  </si>
  <si>
    <t>סכום מבוקש</t>
  </si>
  <si>
    <t>סכום מעודכן</t>
  </si>
  <si>
    <t>מס' תקנה</t>
  </si>
  <si>
    <t>תיאור תקנה תקציבית</t>
  </si>
  <si>
    <t>חויב</t>
  </si>
  <si>
    <t>תיאטרון תנועה "תמו-נע"</t>
  </si>
  <si>
    <t>בקשת תמיכה לשנת 2024</t>
  </si>
  <si>
    <t>הזירה הבין-תחומית (ע"ר)</t>
  </si>
  <si>
    <t>תמיכה שוטפת</t>
  </si>
  <si>
    <t>נעסף</t>
  </si>
  <si>
    <t>המרכז למוסיקה ע"ש פיליציה בלומנטל (</t>
  </si>
  <si>
    <t>עירית רחובות</t>
  </si>
  <si>
    <t>החברה העירונית לתרבות, ספורט ומרכזי</t>
  </si>
  <si>
    <t>עירית תל-אביב-יפו</t>
  </si>
  <si>
    <t>החברה העירונית לתרבות הפנאי בכפר סב</t>
  </si>
  <si>
    <t>מועד</t>
  </si>
  <si>
    <t>בית מזי"א לתאטרון בע"מ (חל"צ)</t>
  </si>
  <si>
    <t>עירית רעננה</t>
  </si>
  <si>
    <t>טיוט</t>
  </si>
  <si>
    <t>.</t>
  </si>
  <si>
    <t>מקשב (ע"ר)</t>
  </si>
  <si>
    <t>19-42-02-16</t>
  </si>
  <si>
    <t>מוסיקה</t>
  </si>
  <si>
    <t>מכון למוסיקה ישראלית (ע"ר)</t>
  </si>
  <si>
    <t>תזמורת חיבה</t>
  </si>
  <si>
    <t>חיבה - התנועה למורשת ישראל )ע"ר(</t>
  </si>
  <si>
    <t>המקהלה הקאמרית הישראלית - טבעון (ע"</t>
  </si>
  <si>
    <t>עמותת כליזמרים - כיתת אומן בצפת (ע"</t>
  </si>
  <si>
    <t>תזמורת סימפונית חיפה</t>
  </si>
  <si>
    <t>אתו"ס - החברה לאומנות תרבות וספורט</t>
  </si>
  <si>
    <t>אופרה חיפה</t>
  </si>
  <si>
    <t>חבצלת מוסדות תרבות וחנוך של השומר ה</t>
  </si>
  <si>
    <t>בארוקדה - קולקטיב הבארוק הישראלי (ע</t>
  </si>
  <si>
    <t>תמוז - 98 (ע"ר)</t>
  </si>
  <si>
    <t>המקהלה הישראלית ע"ש גארי ברתיני (ע"</t>
  </si>
  <si>
    <t>זמרי קולגיום (ע"ר)</t>
  </si>
  <si>
    <t>תזמורת המהפכה (ע"ר)</t>
  </si>
  <si>
    <t>הקם (חל"צ)</t>
  </si>
  <si>
    <t>חברת התזמורת הפילהרמונית הישראלית (</t>
  </si>
  <si>
    <t>האופרה הירושלמית (ע"ר)</t>
  </si>
  <si>
    <t>הקשר הווקאלי וינה - תל אביב (ע"ר)</t>
  </si>
  <si>
    <t>עמותת תזמורת סימפונט רעננה</t>
  </si>
  <si>
    <t>בר-קיימא לתרבות, אמנות, מוסיקה ושלו</t>
  </si>
  <si>
    <t>ליריק-אופרה: כיתות אמן</t>
  </si>
  <si>
    <t>ידידי מקהלת העפרוני (ע"ר)</t>
  </si>
  <si>
    <t>אוצר המוסיקה היהודית (ע"ר)</t>
  </si>
  <si>
    <t>עירית מעלות תרשיחא</t>
  </si>
  <si>
    <t>פרויקט מוסיקה הזירה הבין תחומית</t>
  </si>
  <si>
    <t>התזמורת האנדלוסית הישראלית אשדוד</t>
  </si>
  <si>
    <t>המרכז לתרבות האנדלוסית ולפיוט בישרא</t>
  </si>
  <si>
    <t>עמותת הסינפונייטה הישראלית באר שבע</t>
  </si>
  <si>
    <t>צוללת צהובה - המקום למוסיקה בירושלי</t>
  </si>
  <si>
    <t>קרן התרבות אמריקה -ישראל (ע"ר)</t>
  </si>
  <si>
    <t>פעילות המקהלה הקאמרית מוסיקה אטרנה</t>
  </si>
  <si>
    <t>''קשת אמנויות'' (ע''ר)</t>
  </si>
  <si>
    <t>תל-חי - כיתות אמן בינ"ל לפסנתר (ע"ר</t>
  </si>
  <si>
    <t>עמותת התזמורת הסימפונית ראשון לציון</t>
  </si>
  <si>
    <t>האופרה הישראלית - תל אביב-יפו }ע"ר{</t>
  </si>
  <si>
    <t>כיתות אומן</t>
  </si>
  <si>
    <t>מפעל המוסיקה של צימבליסטה (ע''ר)</t>
  </si>
  <si>
    <t>אופרה קאמרה</t>
  </si>
  <si>
    <t>כיתות אמן צ'ליל בגליל</t>
  </si>
  <si>
    <t>פועם בלב -סדרה למוזיקה קאמרית ישראלית</t>
  </si>
  <si>
    <t>שוברטיאדה הישראלית</t>
  </si>
  <si>
    <t>אנסמבל עלמה קול נשי ישראלי</t>
  </si>
  <si>
    <t>מקהלת אודיאנה</t>
  </si>
  <si>
    <t>מקהלת זמרת י'ה בניצוחו של ד"ר אורי</t>
  </si>
  <si>
    <t>תמיד - תרבות מוסיקלית יהודית (ע"ר)</t>
  </si>
  <si>
    <t>המרכז לפיוט ושירה - מוסיקה קולית מסורתית</t>
  </si>
  <si>
    <t>גליא (ע''ר)</t>
  </si>
  <si>
    <t>האנסמבל הקולי הישראלי (1995) (ע"ר)</t>
  </si>
  <si>
    <t>כיתות אמן</t>
  </si>
  <si>
    <t>מורשת אבות - לימוד מקצועות הקודש (ע</t>
  </si>
  <si>
    <t>מקהלת החזנים הירושלמית )ע"ר(</t>
  </si>
  <si>
    <t>מקהלת גיא בן הינום</t>
  </si>
  <si>
    <t>הערת שוליים (ע"ר)</t>
  </si>
  <si>
    <t>קשת אילון (ע"ר)</t>
  </si>
  <si>
    <t>פרוייקט סמינרים לנגנים ישראלים צעירים</t>
  </si>
  <si>
    <t>קבוצת מוסיקה נובה (ע"ר)</t>
  </si>
  <si>
    <t>תזמורת הבארוק ירושלים que orchestra</t>
  </si>
  <si>
    <t>תמיכה שוטפת בתזמורת ירושלים מזרח ומערב</t>
  </si>
  <si>
    <t>תזמורת ירושלים מזרח ומערב (ע"ר)</t>
  </si>
  <si>
    <t>מרכז מוסיקה</t>
  </si>
  <si>
    <t>מיוזיק פורט - מוביליות וקידום מוזיק</t>
  </si>
  <si>
    <t>הקאמרטה הישראלית - ירושלים (ע"ר)</t>
  </si>
  <si>
    <t>המקהלה הפילהרמונית תל אביב (ע"ר)</t>
  </si>
  <si>
    <t>מועדון הג'אז מצפה רמון</t>
  </si>
  <si>
    <t>מעבר - מרכז אומנויות ויצירה (ע"ר)</t>
  </si>
  <si>
    <t>מוזתיקה (ע"ר)</t>
  </si>
  <si>
    <t>המקהלה הקאמרית תל אביב (ע"ר)</t>
  </si>
  <si>
    <t>האורקסטרה - תזמורת הג'אז הישראלית (</t>
  </si>
  <si>
    <t>תזמורת סימפונית ירושלים (ע"ר) tra</t>
  </si>
  <si>
    <t>אלשיך - מרכז למוזיקה מסורתית, תל אב</t>
  </si>
  <si>
    <t>תמיכה בהרכב הא-קפלה ווקאלוסיטי</t>
  </si>
  <si>
    <t>מרכז ישראלי למקהלות ולחבורות זמר (ע</t>
  </si>
  <si>
    <t>ספקטרום - בית לתרבות ואמנות בירושלי</t>
  </si>
  <si>
    <t>התזמורת הקאמרית הישראלית</t>
  </si>
  <si>
    <t>זמרי המדריגל (ע"ר)</t>
  </si>
  <si>
    <t>עמותת ארתור רובינשטיין הבינלאומית מ</t>
  </si>
  <si>
    <t>כביש אחד (ע"ר)</t>
  </si>
  <si>
    <t>ארגון המקהלות בישראל (ע"ר) (iscoro</t>
  </si>
  <si>
    <t>קהילות שרות פיוט וניגון (ע"ר)</t>
  </si>
  <si>
    <t>עמותת הנבל והזמיר (ע"ר)</t>
  </si>
  <si>
    <t>אנסמבל סולני תל אביב (ע"ר)</t>
  </si>
  <si>
    <t>מרכז למוזיקה לבונטין 7</t>
  </si>
  <si>
    <t>א.מ.א. - אומנות מקורית אלטרנטיבית (</t>
  </si>
  <si>
    <t>מקהלת אנקור - תמיכה שוטפת</t>
  </si>
  <si>
    <t>האקדמיה למוסיקה ולמחול בירושלים (ע"</t>
  </si>
  <si>
    <t>מרכז עדן תמיר למוסיקה, עין כרם, ירו</t>
  </si>
  <si>
    <t>תחרות האמן הצעיר</t>
  </si>
  <si>
    <t>אנסמבל זמרי מורן</t>
  </si>
  <si>
    <t>עמותת מקהלות מורן והבית לשירה בישרא</t>
  </si>
  <si>
    <t>יובל - האנסמבל הישראלי לחזנות ומוסי</t>
  </si>
  <si>
    <t>הקונסבטוריון הישראלי למוסיקה ת"א (ע</t>
  </si>
  <si>
    <t>מכון תל אביב לחזנות (ע"ר)</t>
  </si>
  <si>
    <t>סינתיסייזר (ע"ר)</t>
  </si>
  <si>
    <t>צלילי קסם</t>
  </si>
  <si>
    <t>צוותא לתרבות מתקדמת בע"מ (חל"צ)</t>
  </si>
  <si>
    <t>מרכז מוסיקלי תרבותי בירושלים</t>
  </si>
  <si>
    <t>מרכז למוסיקה ירושלים (חל"צ)</t>
  </si>
  <si>
    <t>כיתות אמן לכינור- מרים פריד</t>
  </si>
  <si>
    <t>כיתות אמן לפסנתר - מארי פרחיה</t>
  </si>
  <si>
    <t>מקהלה ועתודה צעירה</t>
  </si>
  <si>
    <t>מרחבים חברה לחנוך ותרבות (חל"צ)</t>
  </si>
  <si>
    <t>תזמורת האופרה הקאמרית (ע"ר)</t>
  </si>
  <si>
    <t>אנסמבל טרמולו לכלי הקשה, נתניה )ע"ר</t>
  </si>
  <si>
    <t>תמיכה שוטפת בפעילות התזמורת הקאמרית הישר</t>
  </si>
  <si>
    <t>שיר לשירה</t>
  </si>
  <si>
    <t>המרכז האלקטרוני "התיבה"</t>
  </si>
  <si>
    <t>אנסמבל המאה ה-21</t>
  </si>
  <si>
    <t>הגשת בקשת תמיכה לשנת 2024</t>
  </si>
  <si>
    <t>תמיכה שוטפת 2024</t>
  </si>
  <si>
    <t>תמיכה באירועי מוזיקה</t>
  </si>
  <si>
    <t>תמיכה במרכז המוסיקה שטיינברג חולון</t>
  </si>
  <si>
    <t>רשת קהילה ופנאי (ע"ר)</t>
  </si>
  <si>
    <t>תמיכה באנסמבלים מוסיקליים מרכז שטיינברג</t>
  </si>
  <si>
    <t>תמיכה בקונסרבטוריון חולון בכיתות אמן</t>
  </si>
  <si>
    <t>תמיכה במקהלות עירוניות</t>
  </si>
  <si>
    <t>מקהלת ברתיני תמיכה שוטפת 2024</t>
  </si>
  <si>
    <t>הפקת אופרות</t>
  </si>
  <si>
    <t>תמיכה שוטפת לפעילות תרבות של מקהלה מסורת</t>
  </si>
  <si>
    <t>מוסיקה הזירה הבין תחומית</t>
  </si>
  <si>
    <t>עמותה לקידום התרבות והאמנות תקוע (ע</t>
  </si>
  <si>
    <t>בקשה לתמיכה שוטפת</t>
  </si>
  <si>
    <t>תמיכה שוטפת מרכזי מוסיקה</t>
  </si>
  <si>
    <t>מקהלת הקיבוץ הארצי 2024</t>
  </si>
  <si>
    <t>תמיכות 2024 מוסיקה קולית</t>
  </si>
  <si>
    <t>תזמורת הביג בנד</t>
  </si>
  <si>
    <t>מקהלת בת - שיר</t>
  </si>
  <si>
    <t>כיתות אומן לניצוח</t>
  </si>
  <si>
    <t>כיתות אומן אינסטרומנטליות</t>
  </si>
  <si>
    <t>תמיכה שוטפת לשנת 2024</t>
  </si>
  <si>
    <t>בקשה לתמיכה בסדרת הקונצרטים לעוגב</t>
  </si>
  <si>
    <t>תחרויות אביב 2024 שנת תחרות</t>
  </si>
  <si>
    <t>בארוקדה תמיכה 2024 3א גופים כליים</t>
  </si>
  <si>
    <t>תמיכה מש התרבות לשנת 2024 - תקנת המוסיקה</t>
  </si>
  <si>
    <t>תמיכה בשירת יהודי תימן</t>
  </si>
  <si>
    <t>תמיכה בתזמורת- הקאמרטה הישראלית ירושלים</t>
  </si>
  <si>
    <t>המזקקה - בית למוסיקה ותרבות</t>
  </si>
  <si>
    <t>תזמורת הרחוב הירושלמית - שוטף</t>
  </si>
  <si>
    <t>בית הגת - אילומיניישן</t>
  </si>
  <si>
    <t>בית הגת - קולות חבויים</t>
  </si>
  <si>
    <t>ליריק פרויקט אופראי</t>
  </si>
  <si>
    <t>פעילות האורקסטרה - תזמורת הג'אז הישראלית</t>
  </si>
  <si>
    <t>תמיכה ביצירה ברשת 2024</t>
  </si>
  <si>
    <t>ביתן של ישראל ביריד החשיפה WOMEX</t>
  </si>
  <si>
    <t>המקהלה הקאמרית</t>
  </si>
  <si>
    <t>סמה צעיר</t>
  </si>
  <si>
    <t>יניב ד'אור , אנסמבל נאיה</t>
  </si>
  <si>
    <t>תמיכה שוטפת מרכז למוזיקה לבונטין 7</t>
  </si>
  <si>
    <t>מרכז מוזיקה סטודיו אנט</t>
  </si>
  <si>
    <t>תמיכה בכיתות האמן תל חי לשנת 2024</t>
  </si>
  <si>
    <t>,תחרות נגינה כפר סבא 2024</t>
  </si>
  <si>
    <t>קורס קיץ של קשת אילון במתכונת כיתות אמן</t>
  </si>
  <si>
    <t>מקהלת "בת - קול" 2024</t>
  </si>
  <si>
    <t>סדרות הקונצרטים של יובל</t>
  </si>
  <si>
    <t>,תמיכה שוטפת בפעילות המקהלה</t>
  </si>
  <si>
    <t>קונצרטים בפריפריה לקהל עם צרכים מיוחדים</t>
  </si>
  <si>
    <t>פרויקט "אופרה זעירה"</t>
  </si>
  <si>
    <t>מוסיקה קולית מסורתית 2024</t>
  </si>
  <si>
    <t>הסמטה ג'אז 2024</t>
  </si>
  <si>
    <t>תמיכה שנתית בעמותה ובאירועים לציון 50שנה</t>
  </si>
  <si>
    <t>תמיכה עבור מ'לי באיגוד הקומפוזיטורים</t>
  </si>
  <si>
    <t>תמיכה בגופים קוליים(מקהלות)</t>
  </si>
  <si>
    <t>פרויקטים אופראים לטיפוח זמרים</t>
  </si>
  <si>
    <t>פסנתר לתמיד 2024</t>
  </si>
  <si>
    <t>כיתת אמן למנצחים ולזמרים</t>
  </si>
  <si>
    <t>מקהלות ועתודה צעירה</t>
  </si>
  <si>
    <t>אופרה בקהילה</t>
  </si>
  <si>
    <t>מרכז קהילתי בטירת כרמל עש פרסט בע"מ</t>
  </si>
  <si>
    <t>ספרקטום - מרכז מוזיקה 2024</t>
  </si>
  <si>
    <t>תמיכה שוטפת במוסד קהילות שרות</t>
  </si>
  <si>
    <t>תמיכה 2024</t>
  </si>
  <si>
    <t>מוסיקה שוטף</t>
  </si>
  <si>
    <t>2024 - תמיכה בדור הבא של חזנים ובעלי תפי</t>
  </si>
  <si>
    <t>תמיכה שוטפת אופרה</t>
  </si>
  <si>
    <t>תמיכה בכיתות אמן (מחנות נוער מוסיקלי)</t>
  </si>
  <si>
    <t>תמיכה בתחרות ע"ש פאול בן חיים</t>
  </si>
  <si>
    <t>בקשה לתמיכה</t>
  </si>
  <si>
    <t>תמיכה לפרויקט "אל תוך האור"</t>
  </si>
  <si>
    <t>העולם המרהיב של מוסיקה יהודית (ע"ר)</t>
  </si>
  <si>
    <t>בקשת לתמיכה בפעילות שוטפת של הרכב קולי</t>
  </si>
  <si>
    <t>אנסמבל סולני תל אביב תמיכה 2024</t>
  </si>
  <si>
    <t>אלשיך פרויקט 2024</t>
  </si>
  <si>
    <t>תזמורת האנדלוסית אלמוגרביה מעלות 2024</t>
  </si>
  <si>
    <t>תמיכה בזמיר ישראל</t>
  </si>
  <si>
    <t>מקהלת האיחוד 2024</t>
  </si>
  <si>
    <t>תמיכה באנסמבל הפיוט</t>
  </si>
  <si>
    <t>אנסמבל הפיוט מיסודו של מכון בן צבי</t>
  </si>
  <si>
    <t>תמיכה פרוייקט ברוב קולות</t>
  </si>
  <si>
    <t>תמיכה בפעילות שוטפת לשנת 2024</t>
  </si>
  <si>
    <t>תחרות הנבל הבינלאומית ה- 22 בישראל</t>
  </si>
  <si>
    <t>זמריית "יחד ננצח"</t>
  </si>
  <si>
    <t>תמיכה באנסמבל טרמולו בשנת 2024</t>
  </si>
  <si>
    <t>גליא- גופים כליים 2024</t>
  </si>
  <si>
    <t>פרויקט מוסיקה בונת שיוויון 24 תוו המשווה</t>
  </si>
  <si>
    <t>פרויקט כנס תרבות מונגשת 2024 תו המשו</t>
  </si>
  <si>
    <t>16759מרכזי מוסיקה</t>
  </si>
  <si>
    <t>תמיכה שוטפת באנסמבל הקולי הישראלי ל-2024</t>
  </si>
  <si>
    <t>מקהלת מעיין 2024</t>
  </si>
  <si>
    <t>פרויקט בתחום המוסיקה</t>
  </si>
  <si>
    <t>זרקור ליצירה-מרכז ענב</t>
  </si>
  <si>
    <t>מרכז מוסיקה ענב 2024</t>
  </si>
  <si>
    <t>16761 כיתות אומן</t>
  </si>
  <si>
    <t>תזמורת אנדלוסלאם הרכב כלי 2024</t>
  </si>
  <si>
    <t>תמיכה במכון רננות - חזנות ומוסיקה יהודית</t>
  </si>
  <si>
    <t>תמיכת מתקנת ירושלים</t>
  </si>
  <si>
    <t>העמותה לקידום מצויינות תרבותית בישר</t>
  </si>
  <si>
    <t>כנית האקסלרטור למוזיקאים סינתיסייזר</t>
  </si>
  <si>
    <t>הקונסרבטוריון שליד האקדמיה למוסיקה</t>
  </si>
  <si>
    <t>תמיכה בפרוייקט שנת מרק לברי</t>
  </si>
  <si>
    <t>העמותה למורשת מרק לברי (ע"ר)</t>
  </si>
  <si>
    <t>מס' בקשה שנת תמיכה</t>
  </si>
  <si>
    <t>מס' בקשה שנה קודמת</t>
  </si>
  <si>
    <t>השנה האחרונה בה ניתנה הגנה לצורך 80% (מנגנון הגנה ביחס לשנה קודמת)</t>
  </si>
  <si>
    <t>זכאות להגנה של 80% (מנגנון הגנה ביחס לשנה קודמת)</t>
  </si>
  <si>
    <t>זיהוי מספר הבקשה לאותו גוף</t>
  </si>
  <si>
    <t>סכום תמיכה בשנה קודמת</t>
  </si>
  <si>
    <t>סכום תמיכה מומלץ</t>
  </si>
  <si>
    <t>שיעור שינוי מו שנה קודמת</t>
  </si>
  <si>
    <t>שם רשות/מועצה</t>
  </si>
  <si>
    <t>מ. אזורית</t>
  </si>
  <si>
    <t>אוכלוסיה (2021) - לפי חברתי</t>
  </si>
  <si>
    <t>מרחק מגבול מחוז תל אביב (ק"מ) (מועצות= ממוצע הישובים)</t>
  </si>
  <si>
    <t>אשכול חברתי (2021)</t>
  </si>
  <si>
    <t>אשכול גאוגראפי (2020)</t>
  </si>
  <si>
    <t>עדיפות לאומית 919</t>
  </si>
  <si>
    <t>אבו גוש</t>
  </si>
  <si>
    <t>אבו סנאן</t>
  </si>
  <si>
    <t>אבן יהודה</t>
  </si>
  <si>
    <t>אום אל-פחם</t>
  </si>
  <si>
    <t>אופקים</t>
  </si>
  <si>
    <t>אור יהודה</t>
  </si>
  <si>
    <t>אור עקיבא</t>
  </si>
  <si>
    <t>אורנית</t>
  </si>
  <si>
    <t>אזור</t>
  </si>
  <si>
    <t>אילת</t>
  </si>
  <si>
    <t>אכסאל</t>
  </si>
  <si>
    <t>אל - בטוף</t>
  </si>
  <si>
    <t>אל קסום</t>
  </si>
  <si>
    <t>אלונה</t>
  </si>
  <si>
    <t>אליכין</t>
  </si>
  <si>
    <t>אלעד</t>
  </si>
  <si>
    <t>אלפי מנשה</t>
  </si>
  <si>
    <t>אלקנה</t>
  </si>
  <si>
    <t>אעבלין</t>
  </si>
  <si>
    <t>אפרת</t>
  </si>
  <si>
    <t>אריאל</t>
  </si>
  <si>
    <t>אשדוד</t>
  </si>
  <si>
    <t>אשכול</t>
  </si>
  <si>
    <t>אשקלון</t>
  </si>
  <si>
    <t>באקה אל-גרביה</t>
  </si>
  <si>
    <t>באר טוביה</t>
  </si>
  <si>
    <t>באר יעקב</t>
  </si>
  <si>
    <t>באר שבע</t>
  </si>
  <si>
    <t>5R</t>
  </si>
  <si>
    <t>בוסתן אל -מרג'</t>
  </si>
  <si>
    <t>בועיינה-נוג'ידאת</t>
  </si>
  <si>
    <t>בוקעאתא</t>
  </si>
  <si>
    <t>ביר אל-מכסור</t>
  </si>
  <si>
    <t>בית אל</t>
  </si>
  <si>
    <t>בית אריה-עופרים</t>
  </si>
  <si>
    <t>בית ג'ן</t>
  </si>
  <si>
    <t>בית דגן</t>
  </si>
  <si>
    <t>בית שאן</t>
  </si>
  <si>
    <t>בית שמש</t>
  </si>
  <si>
    <t>ביתר עילית</t>
  </si>
  <si>
    <t>בני ברק</t>
  </si>
  <si>
    <t>בני עי"ש</t>
  </si>
  <si>
    <t>בני שמעון</t>
  </si>
  <si>
    <t>בנימינה-גבעת עדה</t>
  </si>
  <si>
    <t>בסמ"ה</t>
  </si>
  <si>
    <t>בסמת טבעון</t>
  </si>
  <si>
    <t>בענה</t>
  </si>
  <si>
    <t>ברנר</t>
  </si>
  <si>
    <t>בת ים</t>
  </si>
  <si>
    <t>ג'דיידה-מכר</t>
  </si>
  <si>
    <t>ג'ולס</t>
  </si>
  <si>
    <t>ג'לג'וליה</t>
  </si>
  <si>
    <t>ג'סר א-זרקא</t>
  </si>
  <si>
    <t>ג'ש (גוש חלב)</t>
  </si>
  <si>
    <t>ג'ת</t>
  </si>
  <si>
    <t>גבעת זאב</t>
  </si>
  <si>
    <t>גבעת שמואל</t>
  </si>
  <si>
    <t>גבעתיים</t>
  </si>
  <si>
    <t>גדרה</t>
  </si>
  <si>
    <t>גדרות</t>
  </si>
  <si>
    <t>גולן</t>
  </si>
  <si>
    <t>גוש עציון</t>
  </si>
  <si>
    <t>גזר</t>
  </si>
  <si>
    <t>גן יבנה</t>
  </si>
  <si>
    <t>גן רווה</t>
  </si>
  <si>
    <t>גני תקווה</t>
  </si>
  <si>
    <t>דאלית אל-כרמל</t>
  </si>
  <si>
    <t>דבורייה</t>
  </si>
  <si>
    <t>דייר אל-אסד</t>
  </si>
  <si>
    <t>דייר חנא</t>
  </si>
  <si>
    <t>דימונה</t>
  </si>
  <si>
    <t>דרום השרון</t>
  </si>
  <si>
    <t>הגלבוע</t>
  </si>
  <si>
    <t>הגליל העליון</t>
  </si>
  <si>
    <t>הגליל התחתון</t>
  </si>
  <si>
    <t>הוד השרון</t>
  </si>
  <si>
    <t>הערבה התיכונה</t>
  </si>
  <si>
    <t>הר אדר</t>
  </si>
  <si>
    <t>הר חברון</t>
  </si>
  <si>
    <t>הרצלייה</t>
  </si>
  <si>
    <t>זבולון</t>
  </si>
  <si>
    <t>זכרון יעקב</t>
  </si>
  <si>
    <t>זמר</t>
  </si>
  <si>
    <t>זרזיר</t>
  </si>
  <si>
    <t>חבל אילות</t>
  </si>
  <si>
    <t>חבל יבנה</t>
  </si>
  <si>
    <t>חבל מודיעין</t>
  </si>
  <si>
    <t>חדרה</t>
  </si>
  <si>
    <t>חולון</t>
  </si>
  <si>
    <t>חוף אשקלון</t>
  </si>
  <si>
    <t>חוף הכרמל</t>
  </si>
  <si>
    <t>חוף השרון</t>
  </si>
  <si>
    <t>חורה</t>
  </si>
  <si>
    <t>חורפיש</t>
  </si>
  <si>
    <t>חיפה</t>
  </si>
  <si>
    <t>חצור הגלילית</t>
  </si>
  <si>
    <t>חריש</t>
  </si>
  <si>
    <t>טבריה</t>
  </si>
  <si>
    <t>טובא-זנגרייה</t>
  </si>
  <si>
    <t>טורעאן</t>
  </si>
  <si>
    <t>טייבה</t>
  </si>
  <si>
    <t>טירה</t>
  </si>
  <si>
    <t>טירת כרמל</t>
  </si>
  <si>
    <t>טמרה</t>
  </si>
  <si>
    <t>יאנוח-ג'ת</t>
  </si>
  <si>
    <t>יבנאל</t>
  </si>
  <si>
    <t>יבנה</t>
  </si>
  <si>
    <t>יהוד-מונוסון</t>
  </si>
  <si>
    <t>יואב</t>
  </si>
  <si>
    <t>יסוד המעלה</t>
  </si>
  <si>
    <t>יפיע</t>
  </si>
  <si>
    <t>יקנעם עילית</t>
  </si>
  <si>
    <t>ירוחם</t>
  </si>
  <si>
    <t>ירושלים</t>
  </si>
  <si>
    <t>ירכא</t>
  </si>
  <si>
    <t>כאבול</t>
  </si>
  <si>
    <t>כאוכב אבו אל-היג'א</t>
  </si>
  <si>
    <t>כוכב יאיר</t>
  </si>
  <si>
    <t>כסיפה</t>
  </si>
  <si>
    <t>כסרא-סמיע</t>
  </si>
  <si>
    <t>כעביה-טבאש-חג'אג'רה</t>
  </si>
  <si>
    <t>כפר ברא</t>
  </si>
  <si>
    <t>כפר ורדים</t>
  </si>
  <si>
    <t>כפר יאסיף</t>
  </si>
  <si>
    <t>כפר יונה</t>
  </si>
  <si>
    <t>כפר כמא</t>
  </si>
  <si>
    <t>כפר כנא</t>
  </si>
  <si>
    <t>כפר מנדא</t>
  </si>
  <si>
    <t>כפר סבא</t>
  </si>
  <si>
    <t>כפר קאסם</t>
  </si>
  <si>
    <t>כפר קרע</t>
  </si>
  <si>
    <t>כפר שמריהו</t>
  </si>
  <si>
    <t>כפר תבור</t>
  </si>
  <si>
    <t>כרמיאל</t>
  </si>
  <si>
    <t>לב השרון</t>
  </si>
  <si>
    <t>להבים</t>
  </si>
  <si>
    <t>לוד</t>
  </si>
  <si>
    <t>לכיש</t>
  </si>
  <si>
    <t>לקיה</t>
  </si>
  <si>
    <t>מבואות החרמון</t>
  </si>
  <si>
    <t>מבשרת ציון</t>
  </si>
  <si>
    <t>מג'ד אל-כרום</t>
  </si>
  <si>
    <t>מג'דל שמס</t>
  </si>
  <si>
    <t>מגאר</t>
  </si>
  <si>
    <t>מגדל</t>
  </si>
  <si>
    <t>מגדל העמק</t>
  </si>
  <si>
    <t>מגידו</t>
  </si>
  <si>
    <t>מגילות ים המלח</t>
  </si>
  <si>
    <t>מודיעין-מכבים-רעות</t>
  </si>
  <si>
    <t>מודיעין עילית</t>
  </si>
  <si>
    <t>מזכרת בתיה</t>
  </si>
  <si>
    <t>מזרעה</t>
  </si>
  <si>
    <t>מטה אשר</t>
  </si>
  <si>
    <t>מטה בנימין</t>
  </si>
  <si>
    <t>מטה יהודה</t>
  </si>
  <si>
    <t>מטולה</t>
  </si>
  <si>
    <t>מיתר</t>
  </si>
  <si>
    <t>מנשה</t>
  </si>
  <si>
    <t>מסעדה</t>
  </si>
  <si>
    <t>מעיליא</t>
  </si>
  <si>
    <t>מעלה אדומים</t>
  </si>
  <si>
    <t>מעלה אפרים</t>
  </si>
  <si>
    <t>מעלה יוסף</t>
  </si>
  <si>
    <t>מעלה עירון</t>
  </si>
  <si>
    <t>מעלות-תרשיחא</t>
  </si>
  <si>
    <t>מצפה רמון</t>
  </si>
  <si>
    <t>מרום הגליל</t>
  </si>
  <si>
    <t>מרחבים</t>
  </si>
  <si>
    <t>משגב</t>
  </si>
  <si>
    <t>משהד</t>
  </si>
  <si>
    <t>נהרייה</t>
  </si>
  <si>
    <t>נווה מדבר</t>
  </si>
  <si>
    <t>נוף הגליל</t>
  </si>
  <si>
    <t>נחל שורק</t>
  </si>
  <si>
    <t>נחף</t>
  </si>
  <si>
    <t>נס ציונה</t>
  </si>
  <si>
    <t>נצרת</t>
  </si>
  <si>
    <t>נשר</t>
  </si>
  <si>
    <t>נתיבות</t>
  </si>
  <si>
    <t>נתניה</t>
  </si>
  <si>
    <t>סאג'ור</t>
  </si>
  <si>
    <t>סביון</t>
  </si>
  <si>
    <t>סח'נין</t>
  </si>
  <si>
    <t>ע'ג'ר</t>
  </si>
  <si>
    <t>עומר</t>
  </si>
  <si>
    <t>עיילבון</t>
  </si>
  <si>
    <t>עילוט</t>
  </si>
  <si>
    <t>עין מאהל</t>
  </si>
  <si>
    <t>עין קנייא</t>
  </si>
  <si>
    <t>עכו</t>
  </si>
  <si>
    <t>עמנואל</t>
  </si>
  <si>
    <t>עמק הירדן</t>
  </si>
  <si>
    <t>עמק המעיינות</t>
  </si>
  <si>
    <t>עמק חפר</t>
  </si>
  <si>
    <t>עמק יזרעאל</t>
  </si>
  <si>
    <t>עמק לוד</t>
  </si>
  <si>
    <t>עספיא</t>
  </si>
  <si>
    <t>עפולה</t>
  </si>
  <si>
    <t>עראבה</t>
  </si>
  <si>
    <t>ערבות הירדן</t>
  </si>
  <si>
    <t>ערד</t>
  </si>
  <si>
    <t>ערערה</t>
  </si>
  <si>
    <t>ערערה-בנגב</t>
  </si>
  <si>
    <t>פוריידיס</t>
  </si>
  <si>
    <t>פסוטה</t>
  </si>
  <si>
    <t>פקיעין (בוקייעה)</t>
  </si>
  <si>
    <t>פרדס חנה-כרכור</t>
  </si>
  <si>
    <t>פרדסייה</t>
  </si>
  <si>
    <t>פתח תקווה</t>
  </si>
  <si>
    <t>צור הדסה</t>
  </si>
  <si>
    <t>צפת</t>
  </si>
  <si>
    <t>קדומים</t>
  </si>
  <si>
    <t>קדימה-צורן</t>
  </si>
  <si>
    <t>קלנסווה</t>
  </si>
  <si>
    <t>קצרין</t>
  </si>
  <si>
    <t>קריית אונו</t>
  </si>
  <si>
    <t>קריית ארבע</t>
  </si>
  <si>
    <t>קריית אתא</t>
  </si>
  <si>
    <t>קריית ביאליק</t>
  </si>
  <si>
    <t>קריית גת</t>
  </si>
  <si>
    <t>קריית טבעון</t>
  </si>
  <si>
    <t>קריית ים</t>
  </si>
  <si>
    <t>קריית יערים</t>
  </si>
  <si>
    <t>קריית מוצקין</t>
  </si>
  <si>
    <t>קריית מלאכי</t>
  </si>
  <si>
    <t>קריית עקרון</t>
  </si>
  <si>
    <t>קריית שמונה</t>
  </si>
  <si>
    <t>קרני שומרון</t>
  </si>
  <si>
    <t>ראמה</t>
  </si>
  <si>
    <t>ראש העין</t>
  </si>
  <si>
    <t>ראש פינה</t>
  </si>
  <si>
    <t>ראשון לציון</t>
  </si>
  <si>
    <t>רהט</t>
  </si>
  <si>
    <t>רחובות</t>
  </si>
  <si>
    <t>ריינה</t>
  </si>
  <si>
    <t>רכסים</t>
  </si>
  <si>
    <t>רמלה</t>
  </si>
  <si>
    <t>רמת גן</t>
  </si>
  <si>
    <t>רמת השרון</t>
  </si>
  <si>
    <t>רמת ישי</t>
  </si>
  <si>
    <t>רמת נגב</t>
  </si>
  <si>
    <t>רעננה</t>
  </si>
  <si>
    <t>שבלי - אום אל-גנם</t>
  </si>
  <si>
    <t>שגב-שלום</t>
  </si>
  <si>
    <t>שדות נגב</t>
  </si>
  <si>
    <t>שדרות</t>
  </si>
  <si>
    <t>שוהם</t>
  </si>
  <si>
    <t>שומרון</t>
  </si>
  <si>
    <t>שלומי</t>
  </si>
  <si>
    <t>שעב</t>
  </si>
  <si>
    <t>שער הנגב</t>
  </si>
  <si>
    <t>שערי שומרון</t>
  </si>
  <si>
    <t>שפיר</t>
  </si>
  <si>
    <t>שפרעם</t>
  </si>
  <si>
    <t>תל אביב -יפו</t>
  </si>
  <si>
    <t>תל מונד</t>
  </si>
  <si>
    <t>תל שבע</t>
  </si>
  <si>
    <t>תמר</t>
  </si>
  <si>
    <t>רשות</t>
  </si>
  <si>
    <t>מרחק מגבול מחוז ת"א</t>
  </si>
  <si>
    <t>תמיכה מכוח מענק ירושלים</t>
  </si>
  <si>
    <t>בוטל</t>
  </si>
  <si>
    <t>תמיכה בלהקת קולות חמים לשנת 2024</t>
  </si>
  <si>
    <t>מתנ"ס שער הנגב (ע"ר)</t>
  </si>
  <si>
    <t>הפרויקט תמר שאוקי</t>
  </si>
  <si>
    <t>ערבי מוסיקה</t>
  </si>
  <si>
    <t>מדרשת שכטר (ע"ר)</t>
  </si>
  <si>
    <t>16757 כיתות אמן</t>
  </si>
  <si>
    <t>קידום יצירה ישראלית ומלחינים ישראלים</t>
  </si>
  <si>
    <t>מפעל המוסיקה- גופים כליים, תזמורות 2024</t>
  </si>
  <si>
    <t>תזמורת אנדלוסלאם קבוצת מוזיקה 2024</t>
  </si>
  <si>
    <t>מקהלת אנקור - שוטף 2025</t>
  </si>
  <si>
    <t>הקונסורט הקולי 2025</t>
  </si>
  <si>
    <t>ליריק הרכב קולי בל קנטו 2025</t>
  </si>
  <si>
    <t>תמיכה שוטפת 2025</t>
  </si>
  <si>
    <t>תמיכה בפעילות - קונצרטים, הקלטות, הוצ'לא</t>
  </si>
  <si>
    <t>מקהלת ברתיני תמיכה שוטפת 2025</t>
  </si>
  <si>
    <t>תמיכה שוטפת בפעילות מ. פילהרמונית ת"א</t>
  </si>
  <si>
    <t>בקשת תמיכה 2025 -</t>
  </si>
  <si>
    <t>תמיכה בשירת תימן</t>
  </si>
  <si>
    <t>תמיכות מוסיקה קולית 2025</t>
  </si>
  <si>
    <t>תמיכה 2025</t>
  </si>
  <si>
    <t>מקהלת הקיבוץ הארצי</t>
  </si>
  <si>
    <t>פעילות שוטפת של המקהלה הקאמרית הירושלמית</t>
  </si>
  <si>
    <t>תחרויות האביב 2025 - שנת הכנה</t>
  </si>
  <si>
    <t>תמיכה במקהלת שחר-רחובות</t>
  </si>
  <si>
    <t>תמיכה כללית בפעילות המקהלה</t>
  </si>
  <si>
    <t>תמיכה בפעילות שוטפת וקידום שירה האמנותית</t>
  </si>
  <si>
    <t>מטרוז - המרכז למוסיקה אנדלוסית ולפי</t>
  </si>
  <si>
    <t>מקהלת "בת-קול" 2025</t>
  </si>
  <si>
    <t>קבוצת מוזיקליות תזמורת TLV הערבית יהודית</t>
  </si>
  <si>
    <t>2025 - תמיכה בדור הבא של חזנים ובעלי תפ</t>
  </si>
  <si>
    <t>תחרות ע"ש פאול בן חיים 2025-2026</t>
  </si>
  <si>
    <t>תחרות הנבל הישראלית החמישית</t>
  </si>
  <si>
    <t>בקשת תמיכה לפעילות עמותת זמרי המדריגל</t>
  </si>
  <si>
    <t>קהילות שרות פיוט וניגון - תמיכה שוטפת</t>
  </si>
  <si>
    <t>מקהלת מעיין 2025</t>
  </si>
  <si>
    <t>פסנתר לתמיד 2025</t>
  </si>
  <si>
    <t>מוסיקה קולית מסורתית 2025</t>
  </si>
  <si>
    <t>מקהלת משגב 2025</t>
  </si>
  <si>
    <t>משגב הגליל עמותה לקידום ההתישבות בג</t>
  </si>
  <si>
    <t>מקהלה 2025</t>
  </si>
  <si>
    <t>סדרת המנוים של יובל</t>
  </si>
  <si>
    <t>מקהלת "בת שיר"</t>
  </si>
  <si>
    <t>תחרות כפר סבא 2025 - תחרות זלצמן לפסנתר</t>
  </si>
  <si>
    <t>המקהלה הקאמרית ירושלים 2025</t>
  </si>
  <si>
    <t>טוטאל ווקאל</t>
  </si>
  <si>
    <t>פרויקט מוסיקה במזיא</t>
  </si>
  <si>
    <t>תחרות העוד</t>
  </si>
  <si>
    <t>תחרות הקמנצ'ה</t>
  </si>
  <si>
    <t>תמיכה שוטפת באנסמבל הקולי הישראלי ל-2025</t>
  </si>
  <si>
    <t>פרוייקט בתחום המוסיקה: מעבדת מקהלה</t>
  </si>
  <si>
    <t>הרכב ווקאלי משגב</t>
  </si>
  <si>
    <t>חבורות זמר - שיר בהר 2025</t>
  </si>
  <si>
    <t>תזמורת הרחוב הירושלמית - שוטף 2025</t>
  </si>
  <si>
    <t>תמיכה שוטפת בפעילות התזמורת</t>
  </si>
  <si>
    <t>תמיכה שוטפת לשנת 2025</t>
  </si>
  <si>
    <t>אנסמבל המאה ה-21, תמיכה שוטפת</t>
  </si>
  <si>
    <t>תמיכה מש התרבות לשנת 2025 - תקנת המוסיקה</t>
  </si>
  <si>
    <t>תמיכה 3א בארוקדה 2025</t>
  </si>
  <si>
    <t>תמיכה בפעילות שוטפת לשנת 2025</t>
  </si>
  <si>
    <t>בקשת תמיכה לשנת 2025</t>
  </si>
  <si>
    <t>האורקסטרה - תזמורת הג'אז הישראלית</t>
  </si>
  <si>
    <t>גופים כליים 2025- גליא</t>
  </si>
  <si>
    <t>אנסמבל סולני תל אביב תמיכה 2025</t>
  </si>
  <si>
    <t>תמיכת שנתית באנסמבל טרמולו 2025</t>
  </si>
  <si>
    <t>בקשת תמיכה לפעילות שוטפת</t>
  </si>
  <si>
    <t>בקשת תמיכה בפעילות מוזיקלית לשנת 2025</t>
  </si>
  <si>
    <t>בקשה לתמיכה לשנת 2025</t>
  </si>
  <si>
    <t>תזמורת אנדלוסלאם 2025</t>
  </si>
  <si>
    <t>אנדלוסית 2025 גופים כלים</t>
  </si>
  <si>
    <t>מקדמ</t>
  </si>
  <si>
    <t>תמיכה שוטפת במרכז מוסיקה התיבה</t>
  </si>
  <si>
    <t>מזקקה - בית לתרבות מקומית 2025</t>
  </si>
  <si>
    <t>קולות חבויים - אנסמבל נוריה</t>
  </si>
  <si>
    <t>וואקלקונטקט 2025</t>
  </si>
  <si>
    <t>פולקעס - 2025</t>
  </si>
  <si>
    <t>ליריק-אופרה סטודיו: כיתות אמן</t>
  </si>
  <si>
    <t>ליריק פרויקט אופראי 2025</t>
  </si>
  <si>
    <t>כנס תזמורות רחוב - הפיראטיות הפיראטיות</t>
  </si>
  <si>
    <t>אילומיניישן - אנסמבל נוריה</t>
  </si>
  <si>
    <t>תמיכה שוטפת מרכז מוסיקה</t>
  </si>
  <si>
    <t>מרכז מוסיקה- מרכז ענב 2025</t>
  </si>
  <si>
    <t>קבוצות ואנסמבלים</t>
  </si>
  <si>
    <t>כיתת אמן למנצחים</t>
  </si>
  <si>
    <t>בקשה לתקציב לתמיכה שנתית באנסמבל מיתר</t>
  </si>
  <si>
    <t>מיתר עמותה לקידום מוסיקה ישראלית וע</t>
  </si>
  <si>
    <t>תמיכה לפרויקט "אופרה זעירה"</t>
  </si>
  <si>
    <t>העלאת אופרה וטיפוח זמרים מקצועיים צעירים</t>
  </si>
  <si>
    <t>קורס קיץ במתכונת כיתות אמן</t>
  </si>
  <si>
    <t>סמינרים - כיתות אמן לנגני כלי קשת ישראלי</t>
  </si>
  <si>
    <t>פרויקט "שיר לשירה"</t>
  </si>
  <si>
    <t>מיוזיק פורט- פרויקט מוסיקה 2025</t>
  </si>
  <si>
    <t>ספקטרום-בית לתרבות ואמנות - מוסיקה 2025</t>
  </si>
  <si>
    <t>עמותת תקוע- קבוצת מוסיקה 2025</t>
  </si>
  <si>
    <t>מועדון הג׳אז מצפה רמון</t>
  </si>
  <si>
    <t>תזמורת TLV</t>
  </si>
  <si>
    <t>בקשה לתמיכה בסדרת העוגב</t>
  </si>
  <si>
    <t>אמנות רב תחומית- קבוצות מוסקה 2025</t>
  </si>
  <si>
    <t>העמותה לאמנות רב תחומית (ע"ר)</t>
  </si>
  <si>
    <t>פרוייקט מוסיקה 2025- אמנות רב תחומית</t>
  </si>
  <si>
    <t>אלשיך- מרכז מוסיקה 2025</t>
  </si>
  <si>
    <t>תו המשווה- פרוייקט מוסיקה 2025</t>
  </si>
  <si>
    <t>תו המשווה- אנסמבל 2025</t>
  </si>
  <si>
    <t>קולקטיב מחר</t>
  </si>
  <si>
    <t>חמישיית תל אביב</t>
  </si>
  <si>
    <t>אנסמבל מולטיפיאנו</t>
  </si>
  <si>
    <t>תאטרון הסמטה ג'אז 2025</t>
  </si>
  <si>
    <t>כתת אומן לניצוח</t>
  </si>
  <si>
    <t>כיתת אומן אינסטרומנטלית</t>
  </si>
  <si>
    <t>קונצרטים בפריפריה ולקהל עם צרכים מיוחדים</t>
  </si>
  <si>
    <t>המשך שנת לברי: ביצועים הקלטות הוצאה לאור</t>
  </si>
  <si>
    <t>צימבליסטה - קבוצת מוסיקה 2025</t>
  </si>
  <si>
    <t>תמיכה</t>
  </si>
  <si>
    <t>תמיכה בכיתות האמן תל חי לשנת 2025</t>
  </si>
  <si>
    <t>פרויקט ילדי המוסיקה</t>
  </si>
  <si>
    <t>מקור- העמותה לקידום יצירה מוזיקלית</t>
  </si>
  <si>
    <t>Soundpainting</t>
  </si>
  <si>
    <t>אל תוך האור</t>
  </si>
  <si>
    <t>כיתות אמן לכינור עם מרים פריד</t>
  </si>
  <si>
    <t>כיתות אמן לפסנתר עם מארי פרחיה</t>
  </si>
  <si>
    <t>מרכזי מוסיקה 2025</t>
  </si>
  <si>
    <t>עירית באר שבע</t>
  </si>
  <si>
    <t>תמיכה פרוייקט ברוב קולות 2025</t>
  </si>
  <si>
    <t>אנסמבל גליל תמיכה 2025</t>
  </si>
  <si>
    <t>מס' קול קורא</t>
  </si>
  <si>
    <t>בר קיימא ואקלקוטנטקט</t>
  </si>
  <si>
    <t>לבונטין 7</t>
  </si>
  <si>
    <t>מולטי פיאנו- פליציה בלומנטל</t>
  </si>
  <si>
    <t>עומד בתנאי סף האמנותי. לא עומד בהיקף מינמלי של תקציב 44,838 ₪ במקום  54,389 ₪. המדור המליץ על מתן הקלה לפי סעיף 9.(ב) הואיל ומדובר בהרכב ייחודי והתקציב של ההרכב עומד בשיעור ההקלה של 80%.</t>
  </si>
  <si>
    <t>ארמון בזמן - העמותה לתרבות רב תחומית</t>
  </si>
  <si>
    <t>בקשה כפולה. התזמורת הגישה בקשה תקינה כעמותה עצמאית: העמותה לתרבות רב תחומית</t>
  </si>
  <si>
    <t>עומד בתנאי סף האמנותי .לא עומד במספר ההרצות: 7 במקום 8. המדור המליץ על מתן הקלה לפי סעיף 9.(ב) הואיל ועומד בכל תנאי הסף האחרים</t>
  </si>
  <si>
    <t xml:space="preserve">עומד בתנאי סף האמנותי. לא עומד במספר ההרצות: 7 במקום 8. המדור המליץ על מתן הקלה לפי סעיף 9.(ב). </t>
  </si>
  <si>
    <t>עומד בתנאי סף האמנותי .לא עומד במספר ההרצות: 7 במקום 8. המדור המליץ על מתן הקלה לפי סעיף 9.(ב) הואיל ועומד בכל תנאי הסף האחרים.</t>
  </si>
  <si>
    <t>לא עומד בתנאי סף לפי סעיף 9.(א)(9) במבחן התמיכה לפחות 8 הרצות.4 הרצות בבדיקה של שנת הערכה רבעונית, ו 6 הרצות בבדיקת שנת הערכה קלנדרית</t>
  </si>
  <si>
    <t>חדש</t>
  </si>
  <si>
    <t>עליה בנתונים וברמה האמנותית</t>
  </si>
  <si>
    <t>עליה בנתונים</t>
  </si>
  <si>
    <t>עליה בנתונים בעיקר ביצוע יצירה ישראלית</t>
  </si>
  <si>
    <t>ירידה משמעותית בנתונים</t>
  </si>
  <si>
    <t>בשנה שעברה הוגבלה התמיכה לסכום המבוקש</t>
  </si>
  <si>
    <t>גוף חדש. עומד בתנאי סף האמנותי ובתנאי הסף הכמותיים כקבוצה מוסיקלית</t>
  </si>
  <si>
    <t>גוף חדש.עומד בתנאי סף האמנותי ובתנאי הסף הכמותיים כקבוצה מוסיקלית</t>
  </si>
  <si>
    <t>התקציב השנתי של הקבוצה בשנת התקציב המבוקר</t>
  </si>
  <si>
    <t>התקציב השנתי של הקבוצה בשנת תקציב מבוקר</t>
  </si>
  <si>
    <t>בקשה כפולה. בקשה זאת מבוטלת על ידי הגוף. התזמורת הגישה בקשה תקינה כעמותה עצמאית: העמותה לתרבות רב תחומית</t>
  </si>
  <si>
    <t xml:space="preserve">גוף ותיק שנתמך לראשונה תחת עמותה צמאית. עומד בתנאי סף האמנותי. לא עומד במספר ההרצות: 7 במקום 8. המדור המליץ על מתן הקלה לפי סעיף 9.(ב).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</si>
</sst>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164" formatCode="_ &quot;₪&quot;\ * #,##0_ ;_ &quot;₪&quot;\ * \-#,##0_ ;_ &quot;₪&quot;\ * &quot;-&quot;_ ;_ @_ "/>
    <numFmt numFmtId="165" formatCode="_ &quot;₪&quot;\ * #,##0.00_ ;_ &quot;₪&quot;\ * \-#,##0.00_ ;_ &quot;₪&quot;\ * &quot;-&quot;??_ ;_ @_ "/>
    <numFmt numFmtId="166" formatCode="_ * #,##0.00_ ;_ * \-#,##0.00_ ;_ * &quot;-&quot;??_ ;_ @_ "/>
    <numFmt numFmtId="167" formatCode="&quot;₪&quot;\ #,##0"/>
    <numFmt numFmtId="168" formatCode="#,##0_ ;\-#,##0\ "/>
    <numFmt numFmtId="169" formatCode="\ #,##0"/>
    <numFmt numFmtId="170" formatCode="_ &quot;₪&quot;\ * #,##0_ ;_ &quot;₪&quot;\ * \-#,##0_ ;_ &quot;₪&quot;\ * &quot;-&quot;??_ ;_ @_ "/>
    <numFmt numFmtId="171" formatCode="0.0%"/>
    <numFmt numFmtId="172" formatCode="#,##0.00_ ;\-#,##0.00\ "/>
    <numFmt numFmtId="173" formatCode="&quot;₪&quot;#,##0"/>
    <numFmt numFmtId="174" formatCode="[$₪-40D]\ #,##0"/>
    <numFmt numFmtId="175" formatCode="0.0"/>
    <numFmt numFmtId="176" formatCode="_ * #,##0_ ;_ * \-#,##0_ ;_ * &quot;-&quot;??_ ;_ @_ "/>
  </numFmts>
  <fonts count="88" x14ac:knownFonts="1">
    <font>
      <sz val="12"/>
      <color theme="1"/>
      <name val="David"/>
      <family val="2"/>
      <charset val="177"/>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2"/>
      <color theme="1"/>
      <name val="David"/>
      <family val="2"/>
      <charset val="177"/>
    </font>
    <font>
      <sz val="10"/>
      <name val="Arial"/>
      <family val="2"/>
    </font>
    <font>
      <sz val="10"/>
      <name val="Arial"/>
      <family val="2"/>
    </font>
    <font>
      <sz val="12"/>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1"/>
      <color theme="1"/>
      <name val="Calibri"/>
      <family val="2"/>
      <scheme val="minor"/>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b/>
      <sz val="9"/>
      <color indexed="81"/>
      <name val="Tahoma"/>
      <family val="2"/>
    </font>
    <font>
      <b/>
      <sz val="24"/>
      <color theme="1"/>
      <name val="Calibri"/>
      <family val="2"/>
      <scheme val="minor"/>
    </font>
    <font>
      <b/>
      <sz val="18"/>
      <color theme="1"/>
      <name val="Calibri"/>
      <family val="2"/>
      <scheme val="minor"/>
    </font>
    <font>
      <b/>
      <sz val="16"/>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b/>
      <sz val="14"/>
      <color theme="1"/>
      <name val="Calibri"/>
      <family val="2"/>
      <scheme val="minor"/>
    </font>
    <font>
      <b/>
      <sz val="18"/>
      <name val="Calibri"/>
      <family val="2"/>
      <scheme val="minor"/>
    </font>
    <font>
      <b/>
      <sz val="12"/>
      <name val="Calibri"/>
      <family val="2"/>
      <scheme val="minor"/>
    </font>
    <font>
      <b/>
      <sz val="10"/>
      <color theme="1"/>
      <name val="Calibri"/>
      <family val="2"/>
      <scheme val="minor"/>
    </font>
    <font>
      <sz val="12"/>
      <name val="Calibri"/>
      <family val="2"/>
      <scheme val="minor"/>
    </font>
    <font>
      <b/>
      <sz val="14"/>
      <color theme="0"/>
      <name val="Calibri"/>
      <family val="2"/>
      <scheme val="minor"/>
    </font>
    <font>
      <sz val="12"/>
      <color theme="0"/>
      <name val="Calibri"/>
      <family val="2"/>
      <scheme val="minor"/>
    </font>
    <font>
      <b/>
      <sz val="14"/>
      <name val="Calibri"/>
      <family val="2"/>
      <scheme val="minor"/>
    </font>
    <font>
      <sz val="10"/>
      <name val="Calibri"/>
      <family val="2"/>
      <scheme val="minor"/>
    </font>
    <font>
      <sz val="16"/>
      <color theme="1"/>
      <name val="Calibri"/>
      <family val="2"/>
      <scheme val="minor"/>
    </font>
    <font>
      <b/>
      <sz val="12"/>
      <color theme="0"/>
      <name val="Calibri"/>
      <family val="2"/>
      <scheme val="minor"/>
    </font>
    <font>
      <b/>
      <sz val="12"/>
      <color rgb="FFFF0000"/>
      <name val="Calibri"/>
      <family val="2"/>
      <scheme val="minor"/>
    </font>
    <font>
      <b/>
      <sz val="10"/>
      <name val="Calibri"/>
      <family val="2"/>
      <scheme val="minor"/>
    </font>
    <font>
      <b/>
      <sz val="16"/>
      <name val="Calibri"/>
      <family val="2"/>
      <scheme val="minor"/>
    </font>
    <font>
      <b/>
      <sz val="9"/>
      <color theme="1"/>
      <name val="Calibri"/>
      <family val="2"/>
      <scheme val="minor"/>
    </font>
    <font>
      <b/>
      <sz val="12"/>
      <name val="David"/>
      <family val="2"/>
      <charset val="177"/>
    </font>
    <font>
      <b/>
      <sz val="12"/>
      <color indexed="16"/>
      <name val="David"/>
      <family val="2"/>
      <charset val="177"/>
    </font>
    <font>
      <b/>
      <u/>
      <sz val="16"/>
      <color theme="1"/>
      <name val="Calibri"/>
      <family val="2"/>
      <scheme val="minor"/>
    </font>
    <font>
      <i/>
      <sz val="16"/>
      <color theme="1"/>
      <name val="Calibri"/>
      <family val="2"/>
      <scheme val="minor"/>
    </font>
    <font>
      <i/>
      <u/>
      <sz val="16"/>
      <color theme="1"/>
      <name val="Calibri"/>
      <family val="2"/>
      <scheme val="minor"/>
    </font>
    <font>
      <b/>
      <sz val="20"/>
      <color theme="1"/>
      <name val="Calibri"/>
      <family val="2"/>
      <scheme val="minor"/>
    </font>
    <font>
      <sz val="16"/>
      <color theme="1"/>
      <name val="David"/>
      <family val="2"/>
      <charset val="177"/>
    </font>
    <font>
      <b/>
      <sz val="16"/>
      <color theme="1"/>
      <name val="David"/>
      <family val="2"/>
      <charset val="177"/>
    </font>
    <font>
      <sz val="10"/>
      <name val="Arial"/>
      <family val="2"/>
      <charset val="177"/>
    </font>
    <font>
      <sz val="12"/>
      <color indexed="8"/>
      <name val="David"/>
      <family val="2"/>
      <charset val="177"/>
    </font>
    <font>
      <b/>
      <sz val="16"/>
      <color rgb="FFFF0000"/>
      <name val="Calibri"/>
      <family val="2"/>
      <scheme val="minor"/>
    </font>
    <font>
      <b/>
      <i/>
      <u/>
      <sz val="16"/>
      <color theme="1"/>
      <name val="Calibri"/>
      <family val="2"/>
      <scheme val="minor"/>
    </font>
    <font>
      <sz val="11"/>
      <color rgb="FFFF0000"/>
      <name val="Calibri"/>
      <family val="2"/>
      <charset val="177"/>
      <scheme val="minor"/>
    </font>
    <font>
      <sz val="12"/>
      <name val="Arial"/>
      <family val="2"/>
    </font>
    <font>
      <sz val="12"/>
      <color rgb="FFFF0000"/>
      <name val="Calibri"/>
      <family val="2"/>
      <scheme val="minor"/>
    </font>
    <font>
      <sz val="12"/>
      <color theme="4"/>
      <name val="Calibri"/>
      <family val="2"/>
      <scheme val="minor"/>
    </font>
    <font>
      <sz val="11"/>
      <color rgb="FF9C0006"/>
      <name val="Calibri"/>
      <family val="2"/>
      <charset val="177"/>
      <scheme val="minor"/>
    </font>
    <font>
      <sz val="11"/>
      <color theme="1"/>
      <name val="Arial"/>
      <family val="2"/>
    </font>
    <font>
      <sz val="12"/>
      <color theme="1"/>
      <name val="Calibri"/>
      <family val="2"/>
      <charset val="177"/>
      <scheme val="minor"/>
    </font>
    <font>
      <sz val="11"/>
      <color theme="0"/>
      <name val="Calibri"/>
      <family val="2"/>
      <charset val="177"/>
      <scheme val="minor"/>
    </font>
    <font>
      <sz val="11"/>
      <name val="Calibri"/>
      <family val="2"/>
      <scheme val="minor"/>
    </font>
    <font>
      <strike/>
      <sz val="12"/>
      <name val="Calibri"/>
      <family val="2"/>
      <scheme val="minor"/>
    </font>
    <font>
      <sz val="11"/>
      <color rgb="FF000000"/>
      <name val="Calibri"/>
      <family val="2"/>
      <scheme val="minor"/>
    </font>
    <font>
      <b/>
      <sz val="10"/>
      <name val="Arial"/>
      <family val="2"/>
    </font>
  </fonts>
  <fills count="46">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CC"/>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FFC7CE"/>
      </patternFill>
    </fill>
    <fill>
      <patternFill patternType="solid">
        <fgColor theme="6"/>
      </patternFill>
    </fill>
    <fill>
      <patternFill patternType="solid">
        <fgColor rgb="FFFFFFCC"/>
      </patternFill>
    </fill>
    <fill>
      <patternFill patternType="solid">
        <fgColor theme="0" tint="-0.499984740745262"/>
        <bgColor indexed="64"/>
      </patternFill>
    </fill>
    <fill>
      <patternFill patternType="solid">
        <fgColor rgb="FF00B0F0"/>
        <bgColor indexed="64"/>
      </patternFill>
    </fill>
    <fill>
      <patternFill patternType="solid">
        <fgColor theme="5" tint="0.39997558519241921"/>
        <bgColor indexed="64"/>
      </patternFill>
    </fill>
    <fill>
      <patternFill patternType="solid">
        <fgColor theme="0"/>
        <bgColor indexed="64"/>
      </patternFill>
    </fill>
  </fills>
  <borders count="110">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ck">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thick">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784">
    <xf numFmtId="174" fontId="0" fillId="0" borderId="0"/>
    <xf numFmtId="9" fontId="19" fillId="0" borderId="0" applyFont="0" applyFill="0" applyBorder="0" applyAlignment="0" applyProtection="0"/>
    <xf numFmtId="174" fontId="20" fillId="0" borderId="0"/>
    <xf numFmtId="174" fontId="21" fillId="0" borderId="0"/>
    <xf numFmtId="9" fontId="21" fillId="0" borderId="0" applyFont="0" applyFill="0" applyBorder="0" applyAlignment="0" applyProtection="0"/>
    <xf numFmtId="9" fontId="21" fillId="0" borderId="0" applyFont="0" applyFill="0" applyBorder="0" applyAlignment="0" applyProtection="0"/>
    <xf numFmtId="174" fontId="20" fillId="0" borderId="0"/>
    <xf numFmtId="166" fontId="19" fillId="0" borderId="0" applyFont="0" applyFill="0" applyBorder="0" applyAlignment="0" applyProtection="0"/>
    <xf numFmtId="174" fontId="19" fillId="0" borderId="0"/>
    <xf numFmtId="174" fontId="18" fillId="0" borderId="0"/>
    <xf numFmtId="9" fontId="20" fillId="0" borderId="0" applyFont="0" applyFill="0" applyBorder="0" applyAlignment="0" applyProtection="0"/>
    <xf numFmtId="9" fontId="20" fillId="0" borderId="0" applyFont="0" applyFill="0" applyBorder="0" applyAlignment="0" applyProtection="0"/>
    <xf numFmtId="9" fontId="19" fillId="0" borderId="0" applyFont="0" applyFill="0" applyBorder="0" applyAlignment="0" applyProtection="0"/>
    <xf numFmtId="174" fontId="20" fillId="0" borderId="0"/>
    <xf numFmtId="166" fontId="20" fillId="0" borderId="0" applyFont="0" applyFill="0" applyBorder="0" applyAlignment="0" applyProtection="0"/>
    <xf numFmtId="174" fontId="19" fillId="0" borderId="0"/>
    <xf numFmtId="166" fontId="19" fillId="0" borderId="0" applyFont="0" applyFill="0" applyBorder="0" applyAlignment="0" applyProtection="0"/>
    <xf numFmtId="174" fontId="20" fillId="0" borderId="0"/>
    <xf numFmtId="174" fontId="23" fillId="10" borderId="0" applyNumberFormat="0" applyBorder="0" applyAlignment="0" applyProtection="0"/>
    <xf numFmtId="174" fontId="23" fillId="11" borderId="0" applyNumberFormat="0" applyBorder="0" applyAlignment="0" applyProtection="0"/>
    <xf numFmtId="174" fontId="23" fillId="12" borderId="0" applyNumberFormat="0" applyBorder="0" applyAlignment="0" applyProtection="0"/>
    <xf numFmtId="174" fontId="23" fillId="13" borderId="0" applyNumberFormat="0" applyBorder="0" applyAlignment="0" applyProtection="0"/>
    <xf numFmtId="174" fontId="23" fillId="14" borderId="0" applyNumberFormat="0" applyBorder="0" applyAlignment="0" applyProtection="0"/>
    <xf numFmtId="174" fontId="23" fillId="15" borderId="0" applyNumberFormat="0" applyBorder="0" applyAlignment="0" applyProtection="0"/>
    <xf numFmtId="174" fontId="23" fillId="16" borderId="0" applyNumberFormat="0" applyBorder="0" applyAlignment="0" applyProtection="0"/>
    <xf numFmtId="174" fontId="23" fillId="17" borderId="0" applyNumberFormat="0" applyBorder="0" applyAlignment="0" applyProtection="0"/>
    <xf numFmtId="174" fontId="23" fillId="18" borderId="0" applyNumberFormat="0" applyBorder="0" applyAlignment="0" applyProtection="0"/>
    <xf numFmtId="174" fontId="23" fillId="13" borderId="0" applyNumberFormat="0" applyBorder="0" applyAlignment="0" applyProtection="0"/>
    <xf numFmtId="174" fontId="23" fillId="16" borderId="0" applyNumberFormat="0" applyBorder="0" applyAlignment="0" applyProtection="0"/>
    <xf numFmtId="174" fontId="23" fillId="19" borderId="0" applyNumberFormat="0" applyBorder="0" applyAlignment="0" applyProtection="0"/>
    <xf numFmtId="174" fontId="24" fillId="20" borderId="0" applyNumberFormat="0" applyBorder="0" applyAlignment="0" applyProtection="0"/>
    <xf numFmtId="174" fontId="24" fillId="17" borderId="0" applyNumberFormat="0" applyBorder="0" applyAlignment="0" applyProtection="0"/>
    <xf numFmtId="174" fontId="24" fillId="18" borderId="0" applyNumberFormat="0" applyBorder="0" applyAlignment="0" applyProtection="0"/>
    <xf numFmtId="174" fontId="24" fillId="21" borderId="0" applyNumberFormat="0" applyBorder="0" applyAlignment="0" applyProtection="0"/>
    <xf numFmtId="174" fontId="24" fillId="22" borderId="0" applyNumberFormat="0" applyBorder="0" applyAlignment="0" applyProtection="0"/>
    <xf numFmtId="174" fontId="24" fillId="23" borderId="0" applyNumberFormat="0" applyBorder="0" applyAlignment="0" applyProtection="0"/>
    <xf numFmtId="174" fontId="24" fillId="24" borderId="0" applyNumberFormat="0" applyBorder="0" applyAlignment="0" applyProtection="0"/>
    <xf numFmtId="174" fontId="24" fillId="25" borderId="0" applyNumberFormat="0" applyBorder="0" applyAlignment="0" applyProtection="0"/>
    <xf numFmtId="174" fontId="24" fillId="26" borderId="0" applyNumberFormat="0" applyBorder="0" applyAlignment="0" applyProtection="0"/>
    <xf numFmtId="174" fontId="24" fillId="21" borderId="0" applyNumberFormat="0" applyBorder="0" applyAlignment="0" applyProtection="0"/>
    <xf numFmtId="174" fontId="24" fillId="22" borderId="0" applyNumberFormat="0" applyBorder="0" applyAlignment="0" applyProtection="0"/>
    <xf numFmtId="174" fontId="24" fillId="27" borderId="0" applyNumberFormat="0" applyBorder="0" applyAlignment="0" applyProtection="0"/>
    <xf numFmtId="174" fontId="25" fillId="11" borderId="0" applyNumberFormat="0" applyBorder="0" applyAlignment="0" applyProtection="0"/>
    <xf numFmtId="174" fontId="26" fillId="28" borderId="30" applyNumberFormat="0" applyAlignment="0" applyProtection="0"/>
    <xf numFmtId="174" fontId="27" fillId="29" borderId="31" applyNumberFormat="0" applyAlignment="0" applyProtection="0"/>
    <xf numFmtId="166" fontId="19" fillId="0" borderId="0" applyFont="0" applyFill="0" applyBorder="0" applyAlignment="0" applyProtection="0"/>
    <xf numFmtId="174" fontId="28" fillId="0" borderId="0" applyNumberFormat="0" applyFill="0" applyBorder="0" applyAlignment="0" applyProtection="0"/>
    <xf numFmtId="174" fontId="29" fillId="12" borderId="0" applyNumberFormat="0" applyBorder="0" applyAlignment="0" applyProtection="0"/>
    <xf numFmtId="174" fontId="30" fillId="0" borderId="32" applyNumberFormat="0" applyFill="0" applyAlignment="0" applyProtection="0"/>
    <xf numFmtId="174" fontId="31" fillId="0" borderId="33" applyNumberFormat="0" applyFill="0" applyAlignment="0" applyProtection="0"/>
    <xf numFmtId="174" fontId="32" fillId="0" borderId="34" applyNumberFormat="0" applyFill="0" applyAlignment="0" applyProtection="0"/>
    <xf numFmtId="174" fontId="32" fillId="0" borderId="0" applyNumberFormat="0" applyFill="0" applyBorder="0" applyAlignment="0" applyProtection="0"/>
    <xf numFmtId="174" fontId="33" fillId="15" borderId="30" applyNumberFormat="0" applyAlignment="0" applyProtection="0"/>
    <xf numFmtId="174" fontId="34" fillId="0" borderId="35" applyNumberFormat="0" applyFill="0" applyAlignment="0" applyProtection="0"/>
    <xf numFmtId="174" fontId="35" fillId="30" borderId="0" applyNumberFormat="0" applyBorder="0" applyAlignment="0" applyProtection="0"/>
    <xf numFmtId="174" fontId="19" fillId="0" borderId="0"/>
    <xf numFmtId="174" fontId="17" fillId="0" borderId="0"/>
    <xf numFmtId="174" fontId="17" fillId="0" borderId="0"/>
    <xf numFmtId="174" fontId="19" fillId="0" borderId="0"/>
    <xf numFmtId="174" fontId="19" fillId="0" borderId="0"/>
    <xf numFmtId="174" fontId="19" fillId="0" borderId="0"/>
    <xf numFmtId="174" fontId="19" fillId="0" borderId="0"/>
    <xf numFmtId="174" fontId="20" fillId="0" borderId="0"/>
    <xf numFmtId="174" fontId="36" fillId="0" borderId="0"/>
    <xf numFmtId="174" fontId="20" fillId="31" borderId="36" applyNumberFormat="0" applyFont="0" applyAlignment="0" applyProtection="0"/>
    <xf numFmtId="174" fontId="37" fillId="28" borderId="3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74" fontId="38" fillId="0" borderId="0" applyNumberFormat="0" applyFill="0" applyBorder="0" applyAlignment="0" applyProtection="0"/>
    <xf numFmtId="174" fontId="39" fillId="0" borderId="38" applyNumberFormat="0" applyFill="0" applyAlignment="0" applyProtection="0"/>
    <xf numFmtId="174" fontId="40" fillId="0" borderId="0" applyNumberFormat="0" applyFill="0" applyBorder="0" applyAlignment="0" applyProtection="0"/>
    <xf numFmtId="174" fontId="19" fillId="0" borderId="0"/>
    <xf numFmtId="174" fontId="19" fillId="0" borderId="0"/>
    <xf numFmtId="174" fontId="20" fillId="0" borderId="0"/>
    <xf numFmtId="174" fontId="19" fillId="0" borderId="0"/>
    <xf numFmtId="174" fontId="19" fillId="0" borderId="0"/>
    <xf numFmtId="174" fontId="19" fillId="0" borderId="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174" fontId="20" fillId="0" borderId="0"/>
    <xf numFmtId="9" fontId="15" fillId="0" borderId="0" applyFont="0" applyFill="0" applyBorder="0" applyAlignment="0" applyProtection="0"/>
    <xf numFmtId="166" fontId="19" fillId="0" borderId="0" applyFont="0" applyFill="0" applyBorder="0" applyAlignment="0" applyProtection="0"/>
    <xf numFmtId="174" fontId="14" fillId="0" borderId="0"/>
    <xf numFmtId="9" fontId="14" fillId="0" borderId="0" applyFont="0" applyFill="0" applyBorder="0" applyAlignment="0" applyProtection="0"/>
    <xf numFmtId="166" fontId="20" fillId="0" borderId="0" applyFont="0" applyFill="0" applyBorder="0" applyAlignment="0" applyProtection="0"/>
    <xf numFmtId="174" fontId="19" fillId="0" borderId="0"/>
    <xf numFmtId="174" fontId="13" fillId="0" borderId="0"/>
    <xf numFmtId="174" fontId="13" fillId="0" borderId="0"/>
    <xf numFmtId="174" fontId="13" fillId="0" borderId="0"/>
    <xf numFmtId="174" fontId="19" fillId="0" borderId="0"/>
    <xf numFmtId="174" fontId="13" fillId="0" borderId="0"/>
    <xf numFmtId="174" fontId="13" fillId="0" borderId="0"/>
    <xf numFmtId="174" fontId="13" fillId="0" borderId="0"/>
    <xf numFmtId="174" fontId="13" fillId="0" borderId="0"/>
    <xf numFmtId="9" fontId="13" fillId="0" borderId="0" applyFont="0" applyFill="0" applyBorder="0" applyAlignment="0" applyProtection="0"/>
    <xf numFmtId="9" fontId="13" fillId="0" borderId="0" applyFont="0" applyFill="0" applyBorder="0" applyAlignment="0" applyProtection="0"/>
    <xf numFmtId="174" fontId="20"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2"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4" fontId="20" fillId="31" borderId="72" applyNumberFormat="0" applyFont="0" applyAlignment="0" applyProtection="0"/>
    <xf numFmtId="174" fontId="37" fillId="28" borderId="73" applyNumberFormat="0" applyAlignment="0" applyProtection="0"/>
    <xf numFmtId="174" fontId="26" fillId="28" borderId="67" applyNumberFormat="0" applyAlignment="0" applyProtection="0"/>
    <xf numFmtId="174" fontId="33" fillId="15" borderId="71" applyNumberFormat="0" applyAlignment="0" applyProtection="0"/>
    <xf numFmtId="174" fontId="33" fillId="15" borderId="67" applyNumberFormat="0" applyAlignment="0" applyProtection="0"/>
    <xf numFmtId="174" fontId="11" fillId="0" borderId="0"/>
    <xf numFmtId="174" fontId="20" fillId="31" borderId="68" applyNumberFormat="0" applyFont="0" applyAlignment="0" applyProtection="0"/>
    <xf numFmtId="174" fontId="37" fillId="28" borderId="69" applyNumberFormat="0" applyAlignment="0" applyProtection="0"/>
    <xf numFmtId="174" fontId="39" fillId="0" borderId="70" applyNumberFormat="0" applyFill="0" applyAlignment="0" applyProtection="0"/>
    <xf numFmtId="174" fontId="11" fillId="0" borderId="0"/>
    <xf numFmtId="174" fontId="13" fillId="0" borderId="0"/>
    <xf numFmtId="174" fontId="13" fillId="0" borderId="0"/>
    <xf numFmtId="174" fontId="13" fillId="0" borderId="0"/>
    <xf numFmtId="174" fontId="11" fillId="0" borderId="0"/>
    <xf numFmtId="9" fontId="13" fillId="0" borderId="0" applyFont="0" applyFill="0" applyBorder="0" applyAlignment="0" applyProtection="0"/>
    <xf numFmtId="9" fontId="13" fillId="0" borderId="0" applyFont="0" applyFill="0" applyBorder="0" applyAlignment="0" applyProtection="0"/>
    <xf numFmtId="174" fontId="13" fillId="0" borderId="0"/>
    <xf numFmtId="9" fontId="13" fillId="0" borderId="0" applyFont="0" applyFill="0" applyBorder="0" applyAlignment="0" applyProtection="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9" fontId="13" fillId="0" borderId="0" applyFont="0" applyFill="0" applyBorder="0" applyAlignment="0" applyProtection="0"/>
    <xf numFmtId="9" fontId="13" fillId="0" borderId="0" applyFont="0" applyFill="0" applyBorder="0" applyAlignment="0" applyProtection="0"/>
    <xf numFmtId="174" fontId="20"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1"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4" fontId="39" fillId="0" borderId="74" applyNumberFormat="0" applyFill="0" applyAlignment="0" applyProtection="0"/>
    <xf numFmtId="174" fontId="26" fillId="28" borderId="71" applyNumberFormat="0" applyAlignment="0" applyProtection="0"/>
    <xf numFmtId="174" fontId="20" fillId="0" borderId="0"/>
    <xf numFmtId="174" fontId="23" fillId="10" borderId="0" applyNumberFormat="0" applyBorder="0" applyAlignment="0" applyProtection="0"/>
    <xf numFmtId="174" fontId="23" fillId="11" borderId="0" applyNumberFormat="0" applyBorder="0" applyAlignment="0" applyProtection="0"/>
    <xf numFmtId="174" fontId="23" fillId="12" borderId="0" applyNumberFormat="0" applyBorder="0" applyAlignment="0" applyProtection="0"/>
    <xf numFmtId="174" fontId="23" fillId="13" borderId="0" applyNumberFormat="0" applyBorder="0" applyAlignment="0" applyProtection="0"/>
    <xf numFmtId="174" fontId="23" fillId="14" borderId="0" applyNumberFormat="0" applyBorder="0" applyAlignment="0" applyProtection="0"/>
    <xf numFmtId="174" fontId="23" fillId="15" borderId="0" applyNumberFormat="0" applyBorder="0" applyAlignment="0" applyProtection="0"/>
    <xf numFmtId="174" fontId="23" fillId="16" borderId="0" applyNumberFormat="0" applyBorder="0" applyAlignment="0" applyProtection="0"/>
    <xf numFmtId="174" fontId="23" fillId="17" borderId="0" applyNumberFormat="0" applyBorder="0" applyAlignment="0" applyProtection="0"/>
    <xf numFmtId="174" fontId="23" fillId="18" borderId="0" applyNumberFormat="0" applyBorder="0" applyAlignment="0" applyProtection="0"/>
    <xf numFmtId="174" fontId="23" fillId="13" borderId="0" applyNumberFormat="0" applyBorder="0" applyAlignment="0" applyProtection="0"/>
    <xf numFmtId="174" fontId="23" fillId="16" borderId="0" applyNumberFormat="0" applyBorder="0" applyAlignment="0" applyProtection="0"/>
    <xf numFmtId="174" fontId="23" fillId="19" borderId="0" applyNumberFormat="0" applyBorder="0" applyAlignment="0" applyProtection="0"/>
    <xf numFmtId="174" fontId="24" fillId="20" borderId="0" applyNumberFormat="0" applyBorder="0" applyAlignment="0" applyProtection="0"/>
    <xf numFmtId="174" fontId="24" fillId="17" borderId="0" applyNumberFormat="0" applyBorder="0" applyAlignment="0" applyProtection="0"/>
    <xf numFmtId="174" fontId="24" fillId="18" borderId="0" applyNumberFormat="0" applyBorder="0" applyAlignment="0" applyProtection="0"/>
    <xf numFmtId="174" fontId="24" fillId="21" borderId="0" applyNumberFormat="0" applyBorder="0" applyAlignment="0" applyProtection="0"/>
    <xf numFmtId="174" fontId="24" fillId="22" borderId="0" applyNumberFormat="0" applyBorder="0" applyAlignment="0" applyProtection="0"/>
    <xf numFmtId="174" fontId="24" fillId="23" borderId="0" applyNumberFormat="0" applyBorder="0" applyAlignment="0" applyProtection="0"/>
    <xf numFmtId="174" fontId="24" fillId="24" borderId="0" applyNumberFormat="0" applyBorder="0" applyAlignment="0" applyProtection="0"/>
    <xf numFmtId="174" fontId="24" fillId="25" borderId="0" applyNumberFormat="0" applyBorder="0" applyAlignment="0" applyProtection="0"/>
    <xf numFmtId="174" fontId="24" fillId="26" borderId="0" applyNumberFormat="0" applyBorder="0" applyAlignment="0" applyProtection="0"/>
    <xf numFmtId="174" fontId="24" fillId="21" borderId="0" applyNumberFormat="0" applyBorder="0" applyAlignment="0" applyProtection="0"/>
    <xf numFmtId="174" fontId="24" fillId="22" borderId="0" applyNumberFormat="0" applyBorder="0" applyAlignment="0" applyProtection="0"/>
    <xf numFmtId="174" fontId="24" fillId="27" borderId="0" applyNumberFormat="0" applyBorder="0" applyAlignment="0" applyProtection="0"/>
    <xf numFmtId="174" fontId="25" fillId="11" borderId="0" applyNumberFormat="0" applyBorder="0" applyAlignment="0" applyProtection="0"/>
    <xf numFmtId="174" fontId="27" fillId="29" borderId="31" applyNumberFormat="0" applyAlignment="0" applyProtection="0"/>
    <xf numFmtId="174" fontId="28" fillId="0" borderId="0" applyNumberFormat="0" applyFill="0" applyBorder="0" applyAlignment="0" applyProtection="0"/>
    <xf numFmtId="174" fontId="29" fillId="12" borderId="0" applyNumberFormat="0" applyBorder="0" applyAlignment="0" applyProtection="0"/>
    <xf numFmtId="174" fontId="30" fillId="0" borderId="32" applyNumberFormat="0" applyFill="0" applyAlignment="0" applyProtection="0"/>
    <xf numFmtId="174" fontId="31" fillId="0" borderId="33" applyNumberFormat="0" applyFill="0" applyAlignment="0" applyProtection="0"/>
    <xf numFmtId="174" fontId="32" fillId="0" borderId="34" applyNumberFormat="0" applyFill="0" applyAlignment="0" applyProtection="0"/>
    <xf numFmtId="174" fontId="32" fillId="0" borderId="0" applyNumberFormat="0" applyFill="0" applyBorder="0" applyAlignment="0" applyProtection="0"/>
    <xf numFmtId="174" fontId="34" fillId="0" borderId="35" applyNumberFormat="0" applyFill="0" applyAlignment="0" applyProtection="0"/>
    <xf numFmtId="174" fontId="35" fillId="30" borderId="0" applyNumberFormat="0" applyBorder="0" applyAlignment="0" applyProtection="0"/>
    <xf numFmtId="174" fontId="19" fillId="0" borderId="0"/>
    <xf numFmtId="174" fontId="20" fillId="0" borderId="0"/>
    <xf numFmtId="174" fontId="20" fillId="0" borderId="0"/>
    <xf numFmtId="174" fontId="19" fillId="0" borderId="0"/>
    <xf numFmtId="174" fontId="19" fillId="0" borderId="0"/>
    <xf numFmtId="174" fontId="20" fillId="0" borderId="0"/>
    <xf numFmtId="174" fontId="20" fillId="0" borderId="0"/>
    <xf numFmtId="174" fontId="19" fillId="0" borderId="0"/>
    <xf numFmtId="174" fontId="19" fillId="0" borderId="0"/>
    <xf numFmtId="174" fontId="19" fillId="0" borderId="0"/>
    <xf numFmtId="174" fontId="19" fillId="0" borderId="0"/>
    <xf numFmtId="174" fontId="20" fillId="0" borderId="0"/>
    <xf numFmtId="174" fontId="20" fillId="0" borderId="0"/>
    <xf numFmtId="174" fontId="19" fillId="0" borderId="0"/>
    <xf numFmtId="174" fontId="20" fillId="0" borderId="0"/>
    <xf numFmtId="174" fontId="19" fillId="0" borderId="0"/>
    <xf numFmtId="174" fontId="19" fillId="0" borderId="0"/>
    <xf numFmtId="174" fontId="19" fillId="0" borderId="0"/>
    <xf numFmtId="174" fontId="19" fillId="0" borderId="0"/>
    <xf numFmtId="174" fontId="19" fillId="0" borderId="0"/>
    <xf numFmtId="174" fontId="19" fillId="0" borderId="0"/>
    <xf numFmtId="174" fontId="20" fillId="0" borderId="0"/>
    <xf numFmtId="174" fontId="38" fillId="0" borderId="0" applyNumberFormat="0" applyFill="0" applyBorder="0" applyAlignment="0" applyProtection="0"/>
    <xf numFmtId="174" fontId="40" fillId="0" borderId="0" applyNumberFormat="0" applyFill="0" applyBorder="0" applyAlignment="0" applyProtection="0"/>
    <xf numFmtId="166" fontId="22" fillId="0" borderId="0" applyFont="0" applyFill="0" applyBorder="0" applyAlignment="0" applyProtection="0"/>
    <xf numFmtId="166" fontId="20" fillId="0" borderId="0" applyFont="0" applyFill="0" applyBorder="0" applyAlignment="0" applyProtection="0"/>
    <xf numFmtId="165" fontId="13" fillId="0" borderId="0" applyFont="0" applyFill="0" applyBorder="0" applyAlignment="0" applyProtection="0"/>
    <xf numFmtId="165" fontId="20" fillId="0" borderId="0" applyFont="0" applyFill="0" applyBorder="0" applyAlignment="0" applyProtection="0"/>
    <xf numFmtId="174" fontId="20" fillId="0" borderId="0"/>
    <xf numFmtId="174" fontId="20" fillId="0" borderId="0"/>
    <xf numFmtId="174" fontId="20" fillId="0" borderId="0"/>
    <xf numFmtId="174" fontId="13" fillId="0" borderId="0"/>
    <xf numFmtId="174" fontId="20" fillId="0" borderId="0"/>
    <xf numFmtId="174" fontId="57" fillId="0" borderId="0"/>
    <xf numFmtId="9" fontId="20" fillId="0" borderId="0" applyFont="0" applyFill="0" applyBorder="0" applyAlignment="0" applyProtection="0"/>
    <xf numFmtId="174" fontId="10" fillId="0" borderId="0"/>
    <xf numFmtId="174" fontId="20" fillId="0" borderId="0"/>
    <xf numFmtId="174" fontId="20" fillId="0" borderId="0"/>
    <xf numFmtId="9" fontId="20" fillId="0" borderId="0" applyFont="0" applyFill="0" applyBorder="0" applyAlignment="0" applyProtection="0"/>
    <xf numFmtId="174" fontId="10" fillId="0" borderId="0"/>
    <xf numFmtId="174" fontId="13" fillId="0" borderId="0"/>
    <xf numFmtId="174" fontId="20" fillId="0" borderId="0"/>
    <xf numFmtId="174" fontId="76" fillId="0" borderId="0" applyNumberFormat="0" applyFill="0" applyBorder="0" applyAlignment="0" applyProtection="0"/>
    <xf numFmtId="174" fontId="10" fillId="0" borderId="0"/>
    <xf numFmtId="174" fontId="26" fillId="28" borderId="75" applyNumberFormat="0" applyAlignment="0" applyProtection="0"/>
    <xf numFmtId="174" fontId="26" fillId="28" borderId="75" applyNumberFormat="0" applyAlignment="0" applyProtection="0"/>
    <xf numFmtId="174" fontId="33" fillId="15" borderId="75" applyNumberFormat="0" applyAlignment="0" applyProtection="0"/>
    <xf numFmtId="174" fontId="33" fillId="15" borderId="75" applyNumberFormat="0" applyAlignment="0" applyProtection="0"/>
    <xf numFmtId="174" fontId="13" fillId="0" borderId="0"/>
    <xf numFmtId="174" fontId="10" fillId="0" borderId="0"/>
    <xf numFmtId="174" fontId="10" fillId="0" borderId="0"/>
    <xf numFmtId="174" fontId="10" fillId="0" borderId="0"/>
    <xf numFmtId="174" fontId="20" fillId="31" borderId="36" applyNumberFormat="0" applyFont="0" applyAlignment="0" applyProtection="0"/>
    <xf numFmtId="174" fontId="20" fillId="31" borderId="36" applyNumberFormat="0" applyFont="0" applyAlignment="0" applyProtection="0"/>
    <xf numFmtId="174" fontId="37" fillId="28" borderId="37" applyNumberFormat="0" applyAlignment="0" applyProtection="0"/>
    <xf numFmtId="174" fontId="37" fillId="28" borderId="37" applyNumberFormat="0" applyAlignment="0" applyProtection="0"/>
    <xf numFmtId="174" fontId="39" fillId="0" borderId="38" applyNumberFormat="0" applyFill="0" applyAlignment="0" applyProtection="0"/>
    <xf numFmtId="174" fontId="39" fillId="0" borderId="38" applyNumberFormat="0" applyFill="0" applyAlignment="0" applyProtection="0"/>
    <xf numFmtId="174" fontId="26" fillId="28" borderId="75" applyNumberFormat="0" applyAlignment="0" applyProtection="0"/>
    <xf numFmtId="174" fontId="26" fillId="28" borderId="75" applyNumberFormat="0" applyAlignment="0" applyProtection="0"/>
    <xf numFmtId="174" fontId="26" fillId="28" borderId="75" applyNumberFormat="0" applyAlignment="0" applyProtection="0"/>
    <xf numFmtId="174" fontId="33" fillId="15" borderId="75" applyNumberFormat="0" applyAlignment="0" applyProtection="0"/>
    <xf numFmtId="174" fontId="33" fillId="15" borderId="75" applyNumberFormat="0" applyAlignment="0" applyProtection="0"/>
    <xf numFmtId="174" fontId="33" fillId="15" borderId="75" applyNumberFormat="0" applyAlignment="0" applyProtection="0"/>
    <xf numFmtId="174" fontId="72" fillId="0" borderId="0"/>
    <xf numFmtId="174" fontId="72" fillId="0" borderId="0"/>
    <xf numFmtId="174" fontId="72" fillId="0" borderId="0"/>
    <xf numFmtId="174" fontId="72" fillId="0" borderId="0"/>
    <xf numFmtId="174" fontId="72" fillId="0" borderId="0"/>
    <xf numFmtId="174" fontId="73" fillId="0" borderId="0"/>
    <xf numFmtId="174" fontId="73" fillId="0" borderId="0"/>
    <xf numFmtId="174" fontId="73" fillId="0" borderId="0"/>
    <xf numFmtId="174" fontId="23" fillId="0" borderId="0"/>
    <xf numFmtId="174" fontId="23" fillId="0" borderId="0"/>
    <xf numFmtId="174" fontId="7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73" fillId="0" borderId="0"/>
    <xf numFmtId="174" fontId="7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73" fillId="0" borderId="0"/>
    <xf numFmtId="174" fontId="23" fillId="0" borderId="0"/>
    <xf numFmtId="174" fontId="72" fillId="0" borderId="0"/>
    <xf numFmtId="174" fontId="73" fillId="0" borderId="0"/>
    <xf numFmtId="174" fontId="72" fillId="0" borderId="0"/>
    <xf numFmtId="174" fontId="73" fillId="0" borderId="0"/>
    <xf numFmtId="174" fontId="72" fillId="0" borderId="0"/>
    <xf numFmtId="174" fontId="73" fillId="0" borderId="0"/>
    <xf numFmtId="174" fontId="73" fillId="0" borderId="0"/>
    <xf numFmtId="174" fontId="73" fillId="0" borderId="0"/>
    <xf numFmtId="174" fontId="73" fillId="0" borderId="0"/>
    <xf numFmtId="174" fontId="73" fillId="0" borderId="0"/>
    <xf numFmtId="174" fontId="73" fillId="0" borderId="0"/>
    <xf numFmtId="174" fontId="23" fillId="0" borderId="0"/>
    <xf numFmtId="174" fontId="72"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72" fillId="31" borderId="82" applyNumberFormat="0" applyFont="0" applyAlignment="0" applyProtection="0"/>
    <xf numFmtId="174" fontId="72" fillId="31" borderId="82" applyNumberFormat="0" applyFont="0" applyAlignment="0" applyProtection="0"/>
    <xf numFmtId="174" fontId="72" fillId="31" borderId="82" applyNumberFormat="0" applyFont="0" applyAlignment="0" applyProtection="0"/>
    <xf numFmtId="174" fontId="37" fillId="28" borderId="83" applyNumberFormat="0" applyAlignment="0" applyProtection="0"/>
    <xf numFmtId="174" fontId="37" fillId="28" borderId="83" applyNumberFormat="0" applyAlignment="0" applyProtection="0"/>
    <xf numFmtId="174" fontId="37" fillId="28" borderId="83" applyNumberFormat="0" applyAlignment="0" applyProtection="0"/>
    <xf numFmtId="174" fontId="39" fillId="0" borderId="84" applyNumberFormat="0" applyFill="0" applyAlignment="0" applyProtection="0"/>
    <xf numFmtId="174" fontId="39" fillId="0" borderId="84" applyNumberFormat="0" applyFill="0" applyAlignment="0" applyProtection="0"/>
    <xf numFmtId="174" fontId="39" fillId="0" borderId="84" applyNumberFormat="0" applyFill="0" applyAlignment="0" applyProtection="0"/>
    <xf numFmtId="0" fontId="19" fillId="0" borderId="0"/>
    <xf numFmtId="0" fontId="20" fillId="31" borderId="82" applyNumberFormat="0" applyFont="0" applyAlignment="0" applyProtection="0"/>
    <xf numFmtId="0" fontId="20" fillId="0" borderId="0"/>
    <xf numFmtId="0" fontId="20" fillId="0" borderId="0"/>
    <xf numFmtId="174" fontId="20" fillId="31" borderId="94" applyNumberFormat="0" applyFont="0" applyAlignment="0" applyProtection="0"/>
    <xf numFmtId="0" fontId="20" fillId="0" borderId="0"/>
    <xf numFmtId="0" fontId="19" fillId="0" borderId="0"/>
    <xf numFmtId="0" fontId="13" fillId="0" borderId="0"/>
    <xf numFmtId="0" fontId="20" fillId="0" borderId="0"/>
    <xf numFmtId="0" fontId="19" fillId="0" borderId="0"/>
    <xf numFmtId="0" fontId="20" fillId="0" borderId="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7" borderId="0" applyNumberFormat="0" applyBorder="0" applyAlignment="0" applyProtection="0"/>
    <xf numFmtId="0" fontId="25" fillId="11" borderId="0" applyNumberFormat="0" applyBorder="0" applyAlignment="0" applyProtection="0"/>
    <xf numFmtId="0" fontId="26" fillId="28" borderId="85" applyNumberFormat="0" applyAlignment="0" applyProtection="0"/>
    <xf numFmtId="0" fontId="27" fillId="29" borderId="31" applyNumberFormat="0" applyAlignment="0" applyProtection="0"/>
    <xf numFmtId="0" fontId="28" fillId="0" borderId="0" applyNumberFormat="0" applyFill="0" applyBorder="0" applyAlignment="0" applyProtection="0"/>
    <xf numFmtId="0" fontId="29" fillId="12" borderId="0" applyNumberFormat="0" applyBorder="0" applyAlignment="0" applyProtection="0"/>
    <xf numFmtId="0" fontId="30" fillId="0" borderId="32" applyNumberFormat="0" applyFill="0" applyAlignment="0" applyProtection="0"/>
    <xf numFmtId="0" fontId="31" fillId="0" borderId="33" applyNumberFormat="0" applyFill="0" applyAlignment="0" applyProtection="0"/>
    <xf numFmtId="0" fontId="32" fillId="0" borderId="34" applyNumberFormat="0" applyFill="0" applyAlignment="0" applyProtection="0"/>
    <xf numFmtId="0" fontId="32" fillId="0" borderId="0" applyNumberFormat="0" applyFill="0" applyBorder="0" applyAlignment="0" applyProtection="0"/>
    <xf numFmtId="0" fontId="33" fillId="15" borderId="85" applyNumberFormat="0" applyAlignment="0" applyProtection="0"/>
    <xf numFmtId="0" fontId="34" fillId="0" borderId="35" applyNumberFormat="0" applyFill="0" applyAlignment="0" applyProtection="0"/>
    <xf numFmtId="0" fontId="35" fillId="30" borderId="0" applyNumberFormat="0" applyBorder="0" applyAlignment="0" applyProtection="0"/>
    <xf numFmtId="0" fontId="19" fillId="0" borderId="0"/>
    <xf numFmtId="0" fontId="13" fillId="0" borderId="0"/>
    <xf numFmtId="0" fontId="13" fillId="0" borderId="0"/>
    <xf numFmtId="0" fontId="19" fillId="0" borderId="0"/>
    <xf numFmtId="0" fontId="19" fillId="0" borderId="0"/>
    <xf numFmtId="0" fontId="19" fillId="0" borderId="0"/>
    <xf numFmtId="0" fontId="19" fillId="0" borderId="0"/>
    <xf numFmtId="0" fontId="20" fillId="0" borderId="0"/>
    <xf numFmtId="0" fontId="9" fillId="0" borderId="0"/>
    <xf numFmtId="0" fontId="20" fillId="31" borderId="86" applyNumberFormat="0" applyFont="0" applyAlignment="0" applyProtection="0"/>
    <xf numFmtId="0" fontId="37" fillId="28" borderId="87" applyNumberFormat="0" applyAlignment="0" applyProtection="0"/>
    <xf numFmtId="0" fontId="38" fillId="0" borderId="0" applyNumberFormat="0" applyFill="0" applyBorder="0" applyAlignment="0" applyProtection="0"/>
    <xf numFmtId="0" fontId="39" fillId="0" borderId="88" applyNumberFormat="0" applyFill="0" applyAlignment="0" applyProtection="0"/>
    <xf numFmtId="0" fontId="40" fillId="0" borderId="0" applyNumberFormat="0" applyFill="0" applyBorder="0" applyAlignment="0" applyProtection="0"/>
    <xf numFmtId="0" fontId="19" fillId="0" borderId="0"/>
    <xf numFmtId="0" fontId="19" fillId="0" borderId="0"/>
    <xf numFmtId="0" fontId="20" fillId="0" borderId="0"/>
    <xf numFmtId="0" fontId="19" fillId="0" borderId="0"/>
    <xf numFmtId="0" fontId="19" fillId="0" borderId="0"/>
    <xf numFmtId="0" fontId="19" fillId="0" borderId="0"/>
    <xf numFmtId="174" fontId="26" fillId="28" borderId="97" applyNumberFormat="0" applyAlignment="0" applyProtection="0"/>
    <xf numFmtId="0" fontId="20" fillId="0" borderId="0"/>
    <xf numFmtId="0" fontId="13" fillId="0" borderId="0"/>
    <xf numFmtId="0" fontId="19" fillId="0" borderId="0"/>
    <xf numFmtId="0" fontId="13" fillId="0" borderId="0"/>
    <xf numFmtId="0" fontId="13" fillId="0" borderId="0"/>
    <xf numFmtId="0" fontId="13" fillId="0" borderId="0"/>
    <xf numFmtId="0" fontId="19" fillId="0" borderId="0"/>
    <xf numFmtId="0" fontId="13" fillId="0" borderId="0"/>
    <xf numFmtId="0" fontId="13" fillId="0" borderId="0"/>
    <xf numFmtId="0" fontId="13" fillId="0" borderId="0"/>
    <xf numFmtId="0" fontId="13"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20" fillId="31" borderId="86" applyNumberFormat="0" applyFont="0" applyAlignment="0" applyProtection="0"/>
    <xf numFmtId="0" fontId="37" fillId="28" borderId="87" applyNumberFormat="0" applyAlignment="0" applyProtection="0"/>
    <xf numFmtId="0" fontId="26" fillId="28" borderId="85" applyNumberFormat="0" applyAlignment="0" applyProtection="0"/>
    <xf numFmtId="0" fontId="33" fillId="15" borderId="85" applyNumberFormat="0" applyAlignment="0" applyProtection="0"/>
    <xf numFmtId="0" fontId="33" fillId="15" borderId="85" applyNumberFormat="0" applyAlignment="0" applyProtection="0"/>
    <xf numFmtId="0" fontId="9" fillId="0" borderId="0"/>
    <xf numFmtId="0" fontId="20" fillId="31" borderId="86" applyNumberFormat="0" applyFont="0" applyAlignment="0" applyProtection="0"/>
    <xf numFmtId="0" fontId="37" fillId="28" borderId="87" applyNumberFormat="0" applyAlignment="0" applyProtection="0"/>
    <xf numFmtId="0" fontId="39" fillId="0" borderId="88" applyNumberFormat="0" applyFill="0" applyAlignment="0" applyProtection="0"/>
    <xf numFmtId="0" fontId="9"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39" fillId="0" borderId="88" applyNumberFormat="0" applyFill="0" applyAlignment="0" applyProtection="0"/>
    <xf numFmtId="0" fontId="26" fillId="28" borderId="85" applyNumberFormat="0" applyAlignment="0" applyProtection="0"/>
    <xf numFmtId="0" fontId="20" fillId="0" borderId="0"/>
    <xf numFmtId="174" fontId="39" fillId="0" borderId="92" applyNumberFormat="0" applyFill="0" applyAlignment="0" applyProtection="0"/>
    <xf numFmtId="174" fontId="37" fillId="28" borderId="91" applyNumberFormat="0" applyAlignment="0" applyProtection="0"/>
    <xf numFmtId="174" fontId="20" fillId="31" borderId="90" applyNumberFormat="0" applyFont="0" applyAlignment="0" applyProtection="0"/>
    <xf numFmtId="174" fontId="9" fillId="0" borderId="0"/>
    <xf numFmtId="174" fontId="26" fillId="28" borderId="89" applyNumberFormat="0" applyAlignment="0" applyProtection="0"/>
    <xf numFmtId="0" fontId="20" fillId="31" borderId="82" applyNumberFormat="0" applyFont="0" applyAlignment="0" applyProtection="0"/>
    <xf numFmtId="0" fontId="33" fillId="15" borderId="75" applyNumberFormat="0" applyAlignment="0" applyProtection="0"/>
    <xf numFmtId="174" fontId="39" fillId="0" borderId="96" applyNumberFormat="0" applyFill="0" applyAlignment="0" applyProtection="0"/>
    <xf numFmtId="174" fontId="33" fillId="15" borderId="89" applyNumberFormat="0" applyAlignment="0" applyProtection="0"/>
    <xf numFmtId="0" fontId="20" fillId="0" borderId="0"/>
    <xf numFmtId="0" fontId="20" fillId="0" borderId="0"/>
    <xf numFmtId="0" fontId="20" fillId="0" borderId="0"/>
    <xf numFmtId="0" fontId="13" fillId="0" borderId="0"/>
    <xf numFmtId="0" fontId="20" fillId="0" borderId="0"/>
    <xf numFmtId="0" fontId="57" fillId="0" borderId="0"/>
    <xf numFmtId="174" fontId="13" fillId="0" borderId="0"/>
    <xf numFmtId="0" fontId="26" fillId="28" borderId="85" applyNumberFormat="0" applyAlignment="0" applyProtection="0"/>
    <xf numFmtId="0" fontId="26" fillId="28" borderId="85" applyNumberFormat="0" applyAlignment="0" applyProtection="0"/>
    <xf numFmtId="0" fontId="33" fillId="15" borderId="85" applyNumberFormat="0" applyAlignment="0" applyProtection="0"/>
    <xf numFmtId="0" fontId="33" fillId="15" borderId="85" applyNumberFormat="0" applyAlignment="0" applyProtection="0"/>
    <xf numFmtId="0" fontId="20" fillId="0" borderId="0"/>
    <xf numFmtId="0" fontId="13" fillId="0" borderId="0"/>
    <xf numFmtId="0" fontId="20" fillId="0" borderId="0"/>
    <xf numFmtId="0" fontId="13" fillId="0" borderId="0"/>
    <xf numFmtId="0" fontId="20" fillId="0" borderId="0"/>
    <xf numFmtId="0" fontId="9" fillId="0" borderId="0"/>
    <xf numFmtId="0" fontId="9" fillId="0" borderId="0"/>
    <xf numFmtId="0" fontId="9" fillId="0" borderId="0"/>
    <xf numFmtId="0" fontId="9" fillId="0" borderId="0"/>
    <xf numFmtId="0" fontId="9" fillId="0" borderId="0"/>
    <xf numFmtId="0" fontId="9" fillId="0" borderId="0"/>
    <xf numFmtId="0" fontId="20" fillId="31" borderId="86" applyNumberFormat="0" applyFont="0" applyAlignment="0" applyProtection="0"/>
    <xf numFmtId="0" fontId="20" fillId="31" borderId="86" applyNumberFormat="0" applyFont="0" applyAlignment="0" applyProtection="0"/>
    <xf numFmtId="0" fontId="37" fillId="28" borderId="87" applyNumberFormat="0" applyAlignment="0" applyProtection="0"/>
    <xf numFmtId="0" fontId="37" fillId="28" borderId="87" applyNumberFormat="0" applyAlignment="0" applyProtection="0"/>
    <xf numFmtId="0" fontId="39" fillId="0" borderId="88" applyNumberFormat="0" applyFill="0" applyAlignment="0" applyProtection="0"/>
    <xf numFmtId="0" fontId="39" fillId="0" borderId="88" applyNumberFormat="0" applyFill="0" applyAlignment="0" applyProtection="0"/>
    <xf numFmtId="0" fontId="76" fillId="0" borderId="0" applyNumberFormat="0" applyFill="0" applyBorder="0" applyAlignment="0" applyProtection="0"/>
    <xf numFmtId="174" fontId="39" fillId="0" borderId="96" applyNumberFormat="0" applyFill="0" applyAlignment="0" applyProtection="0"/>
    <xf numFmtId="174" fontId="9" fillId="0" borderId="0"/>
    <xf numFmtId="174" fontId="20" fillId="31" borderId="90" applyNumberFormat="0" applyFont="0" applyAlignment="0" applyProtection="0"/>
    <xf numFmtId="174" fontId="37" fillId="28" borderId="91" applyNumberFormat="0" applyAlignment="0" applyProtection="0"/>
    <xf numFmtId="174" fontId="26" fillId="28" borderId="89" applyNumberFormat="0" applyAlignment="0" applyProtection="0"/>
    <xf numFmtId="174" fontId="33" fillId="15" borderId="89" applyNumberFormat="0" applyAlignment="0" applyProtection="0"/>
    <xf numFmtId="174" fontId="33" fillId="15" borderId="89" applyNumberFormat="0" applyAlignment="0" applyProtection="0"/>
    <xf numFmtId="174" fontId="9" fillId="0" borderId="0"/>
    <xf numFmtId="174" fontId="20" fillId="31" borderId="90" applyNumberFormat="0" applyFont="0" applyAlignment="0" applyProtection="0"/>
    <xf numFmtId="174" fontId="37" fillId="28" borderId="91" applyNumberFormat="0" applyAlignment="0" applyProtection="0"/>
    <xf numFmtId="174" fontId="39" fillId="0" borderId="92" applyNumberFormat="0" applyFill="0" applyAlignment="0" applyProtection="0"/>
    <xf numFmtId="174" fontId="9" fillId="0" borderId="0"/>
    <xf numFmtId="174" fontId="9" fillId="0" borderId="0"/>
    <xf numFmtId="174" fontId="37" fillId="28" borderId="95" applyNumberFormat="0" applyAlignment="0" applyProtection="0"/>
    <xf numFmtId="174" fontId="9" fillId="0" borderId="0"/>
    <xf numFmtId="174" fontId="39" fillId="0" borderId="92" applyNumberFormat="0" applyFill="0" applyAlignment="0" applyProtection="0"/>
    <xf numFmtId="174" fontId="26" fillId="28" borderId="89" applyNumberFormat="0" applyAlignment="0" applyProtection="0"/>
    <xf numFmtId="0" fontId="39" fillId="0" borderId="84" applyNumberFormat="0" applyFill="0" applyAlignment="0" applyProtection="0"/>
    <xf numFmtId="0" fontId="26" fillId="28" borderId="75" applyNumberFormat="0" applyAlignment="0" applyProtection="0"/>
    <xf numFmtId="0" fontId="37" fillId="28" borderId="73" applyNumberFormat="0" applyAlignment="0" applyProtection="0"/>
    <xf numFmtId="0" fontId="26" fillId="28" borderId="75" applyNumberFormat="0" applyAlignment="0" applyProtection="0"/>
    <xf numFmtId="174" fontId="33" fillId="15" borderId="97" applyNumberFormat="0" applyAlignment="0" applyProtection="0"/>
    <xf numFmtId="174" fontId="37" fillId="28" borderId="95" applyNumberFormat="0" applyAlignment="0" applyProtection="0"/>
    <xf numFmtId="174" fontId="9" fillId="0" borderId="0"/>
    <xf numFmtId="174" fontId="9" fillId="0" borderId="0"/>
    <xf numFmtId="174" fontId="9" fillId="0" borderId="0"/>
    <xf numFmtId="174" fontId="26" fillId="28" borderId="93" applyNumberFormat="0" applyAlignment="0" applyProtection="0"/>
    <xf numFmtId="174" fontId="26" fillId="28" borderId="93" applyNumberFormat="0" applyAlignment="0" applyProtection="0"/>
    <xf numFmtId="174" fontId="33" fillId="15" borderId="93" applyNumberFormat="0" applyAlignment="0" applyProtection="0"/>
    <xf numFmtId="174" fontId="33" fillId="15" borderId="93" applyNumberFormat="0" applyAlignment="0" applyProtection="0"/>
    <xf numFmtId="174" fontId="9" fillId="0" borderId="0"/>
    <xf numFmtId="174" fontId="9" fillId="0" borderId="0"/>
    <xf numFmtId="174" fontId="9" fillId="0" borderId="0"/>
    <xf numFmtId="174" fontId="20" fillId="31" borderId="90" applyNumberFormat="0" applyFont="0" applyAlignment="0" applyProtection="0"/>
    <xf numFmtId="174" fontId="20" fillId="31" borderId="90" applyNumberFormat="0" applyFont="0" applyAlignment="0" applyProtection="0"/>
    <xf numFmtId="174" fontId="37" fillId="28" borderId="91" applyNumberFormat="0" applyAlignment="0" applyProtection="0"/>
    <xf numFmtId="174" fontId="37" fillId="28" borderId="91" applyNumberFormat="0" applyAlignment="0" applyProtection="0"/>
    <xf numFmtId="174" fontId="39" fillId="0" borderId="92" applyNumberFormat="0" applyFill="0" applyAlignment="0" applyProtection="0"/>
    <xf numFmtId="174" fontId="39" fillId="0" borderId="92" applyNumberFormat="0" applyFill="0" applyAlignment="0" applyProtection="0"/>
    <xf numFmtId="174" fontId="26" fillId="28" borderId="97" applyNumberFormat="0" applyAlignment="0" applyProtection="0"/>
    <xf numFmtId="174" fontId="20" fillId="31" borderId="94" applyNumberFormat="0" applyFont="0" applyAlignment="0" applyProtection="0"/>
    <xf numFmtId="174" fontId="39" fillId="0" borderId="96" applyNumberFormat="0" applyFill="0" applyAlignment="0" applyProtection="0"/>
    <xf numFmtId="174" fontId="37" fillId="28" borderId="95" applyNumberFormat="0" applyAlignment="0" applyProtection="0"/>
    <xf numFmtId="174" fontId="33" fillId="15" borderId="97" applyNumberFormat="0" applyAlignment="0" applyProtection="0"/>
    <xf numFmtId="0" fontId="37" fillId="28" borderId="73" applyNumberFormat="0" applyAlignment="0" applyProtection="0"/>
    <xf numFmtId="0" fontId="33" fillId="15" borderId="75" applyNumberFormat="0" applyAlignment="0" applyProtection="0"/>
    <xf numFmtId="0" fontId="37" fillId="28" borderId="73" applyNumberFormat="0" applyAlignment="0" applyProtection="0"/>
    <xf numFmtId="0" fontId="39" fillId="0" borderId="84" applyNumberFormat="0" applyFill="0" applyAlignment="0" applyProtection="0"/>
    <xf numFmtId="0" fontId="20" fillId="31" borderId="82" applyNumberFormat="0" applyFont="0" applyAlignment="0" applyProtection="0"/>
    <xf numFmtId="0" fontId="33" fillId="15" borderId="75" applyNumberFormat="0" applyAlignment="0" applyProtection="0"/>
    <xf numFmtId="174" fontId="20" fillId="31" borderId="94" applyNumberFormat="0" applyFont="0" applyAlignment="0" applyProtection="0"/>
    <xf numFmtId="174" fontId="20" fillId="31" borderId="94" applyNumberFormat="0" applyFont="0" applyAlignment="0" applyProtection="0"/>
    <xf numFmtId="174" fontId="20" fillId="31" borderId="94" applyNumberFormat="0" applyFont="0" applyAlignment="0" applyProtection="0"/>
    <xf numFmtId="174" fontId="37" fillId="28" borderId="95" applyNumberFormat="0" applyAlignment="0" applyProtection="0"/>
    <xf numFmtId="174" fontId="39" fillId="0" borderId="96" applyNumberFormat="0" applyFill="0" applyAlignment="0" applyProtection="0"/>
    <xf numFmtId="174" fontId="39" fillId="0" borderId="96" applyNumberFormat="0" applyFill="0" applyAlignment="0" applyProtection="0"/>
    <xf numFmtId="174" fontId="37" fillId="28" borderId="95" applyNumberFormat="0" applyAlignment="0" applyProtection="0"/>
    <xf numFmtId="0" fontId="39" fillId="0" borderId="84" applyNumberFormat="0" applyFill="0" applyAlignment="0" applyProtection="0"/>
    <xf numFmtId="0" fontId="26" fillId="28" borderId="75" applyNumberFormat="0" applyAlignment="0" applyProtection="0"/>
    <xf numFmtId="0" fontId="26" fillId="28" borderId="75" applyNumberFormat="0" applyAlignment="0" applyProtection="0"/>
    <xf numFmtId="0" fontId="26" fillId="28" borderId="75" applyNumberFormat="0" applyAlignment="0" applyProtection="0"/>
    <xf numFmtId="0" fontId="33" fillId="15" borderId="75" applyNumberFormat="0" applyAlignment="0" applyProtection="0"/>
    <xf numFmtId="0" fontId="33" fillId="15" borderId="75" applyNumberFormat="0" applyAlignment="0" applyProtection="0"/>
    <xf numFmtId="0" fontId="20" fillId="31" borderId="82" applyNumberFormat="0" applyFont="0" applyAlignment="0" applyProtection="0"/>
    <xf numFmtId="0" fontId="20" fillId="31" borderId="82" applyNumberFormat="0" applyFont="0" applyAlignment="0" applyProtection="0"/>
    <xf numFmtId="0" fontId="37" fillId="28" borderId="73" applyNumberFormat="0" applyAlignment="0" applyProtection="0"/>
    <xf numFmtId="0" fontId="37" fillId="28" borderId="73" applyNumberFormat="0" applyAlignment="0" applyProtection="0"/>
    <xf numFmtId="0" fontId="39" fillId="0" borderId="84" applyNumberFormat="0" applyFill="0" applyAlignment="0" applyProtection="0"/>
    <xf numFmtId="0" fontId="39" fillId="0" borderId="84" applyNumberFormat="0" applyFill="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19" fillId="0" borderId="0" applyFont="0" applyFill="0" applyBorder="0" applyAlignment="0" applyProtection="0"/>
    <xf numFmtId="174" fontId="7" fillId="0" borderId="0"/>
    <xf numFmtId="166" fontId="20"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166" fontId="19" fillId="0" borderId="0" applyFont="0" applyFill="0" applyBorder="0" applyAlignment="0" applyProtection="0"/>
    <xf numFmtId="174" fontId="7" fillId="0" borderId="0"/>
    <xf numFmtId="9" fontId="7" fillId="0" borderId="0" applyFont="0" applyFill="0" applyBorder="0" applyAlignment="0" applyProtection="0"/>
    <xf numFmtId="166" fontId="20" fillId="0" borderId="0" applyFont="0" applyFill="0" applyBorder="0" applyAlignment="0" applyProtection="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174" fontId="7" fillId="0" borderId="0"/>
    <xf numFmtId="9" fontId="7" fillId="0" borderId="0" applyFont="0" applyFill="0" applyBorder="0" applyAlignment="0" applyProtection="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6" fontId="22" fillId="0" borderId="0" applyFont="0" applyFill="0" applyBorder="0" applyAlignment="0" applyProtection="0"/>
    <xf numFmtId="166" fontId="20" fillId="0" borderId="0" applyFont="0" applyFill="0" applyBorder="0" applyAlignment="0" applyProtection="0"/>
    <xf numFmtId="165" fontId="7" fillId="0" borderId="0" applyFont="0" applyFill="0" applyBorder="0" applyAlignment="0" applyProtection="0"/>
    <xf numFmtId="165" fontId="20" fillId="0" borderId="0" applyFont="0" applyFill="0" applyBorder="0" applyAlignment="0" applyProtection="0"/>
    <xf numFmtId="174" fontId="7" fillId="0" borderId="0"/>
    <xf numFmtId="174" fontId="7" fillId="0" borderId="0"/>
    <xf numFmtId="174" fontId="7" fillId="0" borderId="0"/>
    <xf numFmtId="0" fontId="20" fillId="31" borderId="94" applyNumberFormat="0" applyFont="0" applyAlignment="0" applyProtection="0"/>
    <xf numFmtId="0" fontId="7" fillId="0" borderId="0"/>
    <xf numFmtId="0" fontId="26" fillId="28" borderId="97" applyNumberFormat="0" applyAlignment="0" applyProtection="0"/>
    <xf numFmtId="0" fontId="33" fillId="15" borderId="97" applyNumberFormat="0" applyAlignment="0" applyProtection="0"/>
    <xf numFmtId="0" fontId="7" fillId="0" borderId="0"/>
    <xf numFmtId="0" fontId="7" fillId="0" borderId="0"/>
    <xf numFmtId="0" fontId="20" fillId="31" borderId="94" applyNumberFormat="0" applyFont="0" applyAlignment="0" applyProtection="0"/>
    <xf numFmtId="0" fontId="37" fillId="28" borderId="95" applyNumberFormat="0" applyAlignment="0" applyProtection="0"/>
    <xf numFmtId="0" fontId="39" fillId="0" borderId="96"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31" borderId="94" applyNumberFormat="0" applyFont="0" applyAlignment="0" applyProtection="0"/>
    <xf numFmtId="0" fontId="37" fillId="28" borderId="95" applyNumberFormat="0" applyAlignment="0" applyProtection="0"/>
    <xf numFmtId="0" fontId="26" fillId="28" borderId="97" applyNumberFormat="0" applyAlignment="0" applyProtection="0"/>
    <xf numFmtId="0" fontId="33" fillId="15" borderId="97" applyNumberFormat="0" applyAlignment="0" applyProtection="0"/>
    <xf numFmtId="0" fontId="33" fillId="15" borderId="97" applyNumberFormat="0" applyAlignment="0" applyProtection="0"/>
    <xf numFmtId="0" fontId="20" fillId="31" borderId="94" applyNumberFormat="0" applyFont="0" applyAlignment="0" applyProtection="0"/>
    <xf numFmtId="0" fontId="37" fillId="28" borderId="95" applyNumberFormat="0" applyAlignment="0" applyProtection="0"/>
    <xf numFmtId="0" fontId="39" fillId="0" borderId="96"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9" fillId="0" borderId="96" applyNumberFormat="0" applyFill="0" applyAlignment="0" applyProtection="0"/>
    <xf numFmtId="0" fontId="26" fillId="28" borderId="97" applyNumberFormat="0" applyAlignment="0" applyProtection="0"/>
    <xf numFmtId="174" fontId="39" fillId="0" borderId="96" applyNumberFormat="0" applyFill="0" applyAlignment="0" applyProtection="0"/>
    <xf numFmtId="174" fontId="37" fillId="28" borderId="95" applyNumberFormat="0" applyAlignment="0" applyProtection="0"/>
    <xf numFmtId="174" fontId="20" fillId="31" borderId="94" applyNumberFormat="0" applyFont="0" applyAlignment="0" applyProtection="0"/>
    <xf numFmtId="174" fontId="26" fillId="28" borderId="97" applyNumberFormat="0" applyAlignment="0" applyProtection="0"/>
    <xf numFmtId="0" fontId="20" fillId="31" borderId="94" applyNumberFormat="0" applyFont="0" applyAlignment="0" applyProtection="0"/>
    <xf numFmtId="0" fontId="33" fillId="15" borderId="97" applyNumberFormat="0" applyAlignment="0" applyProtection="0"/>
    <xf numFmtId="174" fontId="33" fillId="15" borderId="97" applyNumberFormat="0" applyAlignment="0" applyProtection="0"/>
    <xf numFmtId="0" fontId="7" fillId="0" borderId="0"/>
    <xf numFmtId="174" fontId="7" fillId="0" borderId="0"/>
    <xf numFmtId="0" fontId="26" fillId="28" borderId="97" applyNumberFormat="0" applyAlignment="0" applyProtection="0"/>
    <xf numFmtId="0" fontId="26" fillId="28" borderId="97" applyNumberFormat="0" applyAlignment="0" applyProtection="0"/>
    <xf numFmtId="0" fontId="33" fillId="15" borderId="97" applyNumberFormat="0" applyAlignment="0" applyProtection="0"/>
    <xf numFmtId="0" fontId="33" fillId="15" borderId="97" applyNumberFormat="0" applyAlignment="0" applyProtection="0"/>
    <xf numFmtId="0" fontId="7" fillId="0" borderId="0"/>
    <xf numFmtId="0" fontId="7" fillId="0" borderId="0"/>
    <xf numFmtId="0" fontId="20" fillId="31" borderId="94" applyNumberFormat="0" applyFont="0" applyAlignment="0" applyProtection="0"/>
    <xf numFmtId="0" fontId="20" fillId="31" borderId="94" applyNumberFormat="0" applyFont="0" applyAlignment="0" applyProtection="0"/>
    <xf numFmtId="0" fontId="37" fillId="28" borderId="95" applyNumberFormat="0" applyAlignment="0" applyProtection="0"/>
    <xf numFmtId="0" fontId="37" fillId="28" borderId="95" applyNumberFormat="0" applyAlignment="0" applyProtection="0"/>
    <xf numFmtId="0" fontId="39" fillId="0" borderId="96" applyNumberFormat="0" applyFill="0" applyAlignment="0" applyProtection="0"/>
    <xf numFmtId="0" fontId="39" fillId="0" borderId="96" applyNumberFormat="0" applyFill="0" applyAlignment="0" applyProtection="0"/>
    <xf numFmtId="174" fontId="20" fillId="31" borderId="94" applyNumberFormat="0" applyFont="0" applyAlignment="0" applyProtection="0"/>
    <xf numFmtId="174" fontId="37" fillId="28" borderId="95" applyNumberFormat="0" applyAlignment="0" applyProtection="0"/>
    <xf numFmtId="174" fontId="26" fillId="28" borderId="97" applyNumberFormat="0" applyAlignment="0" applyProtection="0"/>
    <xf numFmtId="174" fontId="33" fillId="15" borderId="97" applyNumberFormat="0" applyAlignment="0" applyProtection="0"/>
    <xf numFmtId="174" fontId="33" fillId="15" borderId="97" applyNumberFormat="0" applyAlignment="0" applyProtection="0"/>
    <xf numFmtId="174" fontId="20" fillId="31" borderId="94" applyNumberFormat="0" applyFont="0" applyAlignment="0" applyProtection="0"/>
    <xf numFmtId="174" fontId="37" fillId="28" borderId="95" applyNumberFormat="0" applyAlignment="0" applyProtection="0"/>
    <xf numFmtId="174" fontId="39" fillId="0" borderId="96" applyNumberFormat="0" applyFill="0" applyAlignment="0" applyProtection="0"/>
    <xf numFmtId="174" fontId="39" fillId="0" borderId="96" applyNumberFormat="0" applyFill="0" applyAlignment="0" applyProtection="0"/>
    <xf numFmtId="174" fontId="26" fillId="28" borderId="97" applyNumberFormat="0" applyAlignment="0" applyProtection="0"/>
    <xf numFmtId="0" fontId="39" fillId="0" borderId="96" applyNumberFormat="0" applyFill="0" applyAlignment="0" applyProtection="0"/>
    <xf numFmtId="0" fontId="26" fillId="28" borderId="97" applyNumberFormat="0" applyAlignment="0" applyProtection="0"/>
    <xf numFmtId="0" fontId="37" fillId="28" borderId="95" applyNumberFormat="0" applyAlignment="0" applyProtection="0"/>
    <xf numFmtId="0" fontId="26" fillId="28" borderId="97" applyNumberFormat="0" applyAlignment="0" applyProtection="0"/>
    <xf numFmtId="174" fontId="26" fillId="28" borderId="97" applyNumberFormat="0" applyAlignment="0" applyProtection="0"/>
    <xf numFmtId="174" fontId="26" fillId="28" borderId="97" applyNumberFormat="0" applyAlignment="0" applyProtection="0"/>
    <xf numFmtId="174" fontId="33" fillId="15" borderId="97" applyNumberFormat="0" applyAlignment="0" applyProtection="0"/>
    <xf numFmtId="174" fontId="33" fillId="15" borderId="97" applyNumberFormat="0" applyAlignment="0" applyProtection="0"/>
    <xf numFmtId="174" fontId="20" fillId="31" borderId="94" applyNumberFormat="0" applyFont="0" applyAlignment="0" applyProtection="0"/>
    <xf numFmtId="174" fontId="20" fillId="31" borderId="94" applyNumberFormat="0" applyFont="0" applyAlignment="0" applyProtection="0"/>
    <xf numFmtId="174" fontId="37" fillId="28" borderId="95" applyNumberFormat="0" applyAlignment="0" applyProtection="0"/>
    <xf numFmtId="174" fontId="37" fillId="28" borderId="95" applyNumberFormat="0" applyAlignment="0" applyProtection="0"/>
    <xf numFmtId="174" fontId="39" fillId="0" borderId="96" applyNumberFormat="0" applyFill="0" applyAlignment="0" applyProtection="0"/>
    <xf numFmtId="174" fontId="39" fillId="0" borderId="96" applyNumberFormat="0" applyFill="0" applyAlignment="0" applyProtection="0"/>
    <xf numFmtId="0" fontId="37" fillId="28" borderId="95" applyNumberFormat="0" applyAlignment="0" applyProtection="0"/>
    <xf numFmtId="0" fontId="33" fillId="15" borderId="97" applyNumberFormat="0" applyAlignment="0" applyProtection="0"/>
    <xf numFmtId="0" fontId="37" fillId="28" borderId="95" applyNumberFormat="0" applyAlignment="0" applyProtection="0"/>
    <xf numFmtId="0" fontId="39" fillId="0" borderId="96" applyNumberFormat="0" applyFill="0" applyAlignment="0" applyProtection="0"/>
    <xf numFmtId="0" fontId="20" fillId="31" borderId="94" applyNumberFormat="0" applyFont="0" applyAlignment="0" applyProtection="0"/>
    <xf numFmtId="0" fontId="33" fillId="15" borderId="97" applyNumberFormat="0" applyAlignment="0" applyProtection="0"/>
    <xf numFmtId="0" fontId="39" fillId="0" borderId="96" applyNumberFormat="0" applyFill="0" applyAlignment="0" applyProtection="0"/>
    <xf numFmtId="0" fontId="26" fillId="28" borderId="97" applyNumberFormat="0" applyAlignment="0" applyProtection="0"/>
    <xf numFmtId="0" fontId="26" fillId="28" borderId="97" applyNumberFormat="0" applyAlignment="0" applyProtection="0"/>
    <xf numFmtId="0" fontId="26" fillId="28" borderId="97" applyNumberFormat="0" applyAlignment="0" applyProtection="0"/>
    <xf numFmtId="0" fontId="33" fillId="15" borderId="97" applyNumberFormat="0" applyAlignment="0" applyProtection="0"/>
    <xf numFmtId="0" fontId="33" fillId="15" borderId="97" applyNumberFormat="0" applyAlignment="0" applyProtection="0"/>
    <xf numFmtId="0" fontId="20" fillId="31" borderId="94" applyNumberFormat="0" applyFont="0" applyAlignment="0" applyProtection="0"/>
    <xf numFmtId="0" fontId="20" fillId="31" borderId="94" applyNumberFormat="0" applyFont="0" applyAlignment="0" applyProtection="0"/>
    <xf numFmtId="0" fontId="37" fillId="28" borderId="95" applyNumberFormat="0" applyAlignment="0" applyProtection="0"/>
    <xf numFmtId="0" fontId="37" fillId="28" borderId="95" applyNumberFormat="0" applyAlignment="0" applyProtection="0"/>
    <xf numFmtId="0" fontId="39" fillId="0" borderId="96" applyNumberFormat="0" applyFill="0" applyAlignment="0" applyProtection="0"/>
    <xf numFmtId="0" fontId="39" fillId="0" borderId="96" applyNumberFormat="0" applyFill="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80" fillId="39" borderId="0" applyNumberFormat="0" applyBorder="0" applyAlignment="0" applyProtection="0"/>
    <xf numFmtId="0" fontId="83" fillId="40" borderId="0" applyNumberFormat="0" applyBorder="0" applyAlignment="0" applyProtection="0"/>
    <xf numFmtId="0" fontId="19" fillId="41" borderId="109" applyNumberFormat="0" applyFont="0" applyAlignment="0" applyProtection="0"/>
    <xf numFmtId="0" fontId="6" fillId="0" borderId="0"/>
    <xf numFmtId="166" fontId="23" fillId="0" borderId="0" applyFont="0" applyFill="0" applyBorder="0" applyAlignment="0" applyProtection="0"/>
    <xf numFmtId="0" fontId="5" fillId="0" borderId="0"/>
    <xf numFmtId="166" fontId="23" fillId="0" borderId="0" applyFont="0" applyFill="0" applyBorder="0" applyAlignment="0" applyProtection="0"/>
    <xf numFmtId="0" fontId="5" fillId="0" borderId="0"/>
    <xf numFmtId="0" fontId="4" fillId="0" borderId="0"/>
    <xf numFmtId="166" fontId="23" fillId="0" borderId="0" applyFont="0" applyFill="0" applyBorder="0" applyAlignment="0" applyProtection="0"/>
    <xf numFmtId="166" fontId="3" fillId="0" borderId="0" applyFont="0" applyFill="0" applyBorder="0" applyAlignment="0" applyProtection="0"/>
    <xf numFmtId="0" fontId="20" fillId="0" borderId="0"/>
    <xf numFmtId="0" fontId="3" fillId="0" borderId="0"/>
    <xf numFmtId="174" fontId="19" fillId="0" borderId="0"/>
    <xf numFmtId="0" fontId="2" fillId="0" borderId="0"/>
    <xf numFmtId="0" fontId="2" fillId="0" borderId="0"/>
    <xf numFmtId="166" fontId="2" fillId="0" borderId="0" applyFont="0" applyFill="0" applyBorder="0" applyAlignment="0" applyProtection="0"/>
  </cellStyleXfs>
  <cellXfs count="675">
    <xf numFmtId="174" fontId="0" fillId="0" borderId="0" xfId="0"/>
    <xf numFmtId="1" fontId="51" fillId="3" borderId="8" xfId="6" applyNumberFormat="1" applyFont="1" applyFill="1" applyBorder="1" applyAlignment="1">
      <alignment horizontal="center" vertical="center"/>
    </xf>
    <xf numFmtId="167" fontId="51" fillId="3" borderId="16" xfId="6" applyNumberFormat="1" applyFont="1" applyFill="1" applyBorder="1" applyAlignment="1">
      <alignment horizontal="center" vertical="center"/>
    </xf>
    <xf numFmtId="169" fontId="48" fillId="0" borderId="0" xfId="0" applyNumberFormat="1" applyFont="1"/>
    <xf numFmtId="49" fontId="53" fillId="4" borderId="43" xfId="83" applyNumberFormat="1" applyFont="1" applyFill="1" applyBorder="1" applyAlignment="1" applyProtection="1">
      <alignment horizontal="right" vertical="center" readingOrder="2"/>
    </xf>
    <xf numFmtId="4" fontId="53" fillId="4" borderId="43" xfId="83" applyNumberFormat="1" applyFont="1" applyFill="1" applyBorder="1" applyAlignment="1" applyProtection="1">
      <alignment horizontal="center" vertical="center" readingOrder="2"/>
      <protection locked="0"/>
    </xf>
    <xf numFmtId="3" fontId="53" fillId="4" borderId="43" xfId="83" applyNumberFormat="1" applyFont="1" applyFill="1" applyBorder="1" applyAlignment="1" applyProtection="1">
      <alignment horizontal="center" vertical="center" readingOrder="2"/>
      <protection locked="0"/>
    </xf>
    <xf numFmtId="3" fontId="53" fillId="4" borderId="43" xfId="83" applyNumberFormat="1" applyFont="1" applyFill="1" applyBorder="1" applyAlignment="1" applyProtection="1">
      <alignment horizontal="center" vertical="center" readingOrder="2"/>
    </xf>
    <xf numFmtId="4" fontId="53" fillId="4" borderId="43" xfId="83" applyNumberFormat="1" applyFont="1" applyFill="1" applyBorder="1" applyAlignment="1" applyProtection="1">
      <alignment horizontal="center" vertical="center" readingOrder="2"/>
    </xf>
    <xf numFmtId="3" fontId="51" fillId="7" borderId="26" xfId="10" applyNumberFormat="1" applyFont="1" applyFill="1" applyBorder="1" applyAlignment="1" applyProtection="1">
      <alignment horizontal="center" vertical="center"/>
    </xf>
    <xf numFmtId="167" fontId="51" fillId="3" borderId="0" xfId="6" applyNumberFormat="1" applyFont="1" applyFill="1" applyAlignment="1">
      <alignment horizontal="center" vertical="center"/>
    </xf>
    <xf numFmtId="3" fontId="53" fillId="0" borderId="0" xfId="6" applyNumberFormat="1" applyFont="1"/>
    <xf numFmtId="9" fontId="53" fillId="0" borderId="0" xfId="6" applyNumberFormat="1" applyFont="1"/>
    <xf numFmtId="1" fontId="51" fillId="4" borderId="20" xfId="6" applyNumberFormat="1" applyFont="1" applyFill="1" applyBorder="1" applyAlignment="1">
      <alignment horizontal="center" vertical="center"/>
    </xf>
    <xf numFmtId="1" fontId="51" fillId="4" borderId="21" xfId="6" applyNumberFormat="1" applyFont="1" applyFill="1" applyBorder="1" applyAlignment="1">
      <alignment horizontal="right" vertical="center"/>
    </xf>
    <xf numFmtId="168" fontId="51" fillId="4" borderId="21" xfId="14" applyNumberFormat="1" applyFont="1" applyFill="1" applyBorder="1" applyAlignment="1" applyProtection="1">
      <alignment horizontal="center" vertical="center"/>
    </xf>
    <xf numFmtId="9" fontId="51" fillId="4" borderId="21" xfId="6" applyNumberFormat="1" applyFont="1" applyFill="1" applyBorder="1" applyAlignment="1">
      <alignment horizontal="center" vertical="center"/>
    </xf>
    <xf numFmtId="3" fontId="51" fillId="4" borderId="21" xfId="6" applyNumberFormat="1" applyFont="1" applyFill="1" applyBorder="1" applyAlignment="1">
      <alignment horizontal="center" vertical="center"/>
    </xf>
    <xf numFmtId="168" fontId="53" fillId="0" borderId="0" xfId="6" applyNumberFormat="1" applyFont="1" applyAlignment="1">
      <alignment vertical="center"/>
    </xf>
    <xf numFmtId="10" fontId="53" fillId="0" borderId="0" xfId="1" applyNumberFormat="1" applyFont="1" applyAlignment="1" applyProtection="1">
      <alignment vertical="center"/>
    </xf>
    <xf numFmtId="9" fontId="53" fillId="0" borderId="0" xfId="1" applyFont="1" applyAlignment="1" applyProtection="1">
      <alignment vertical="center"/>
    </xf>
    <xf numFmtId="3" fontId="53" fillId="0" borderId="0" xfId="6" applyNumberFormat="1" applyFont="1" applyAlignment="1">
      <alignment vertical="center"/>
    </xf>
    <xf numFmtId="167" fontId="53" fillId="0" borderId="0" xfId="6" applyNumberFormat="1" applyFont="1" applyAlignment="1">
      <alignment vertical="center"/>
    </xf>
    <xf numFmtId="1" fontId="51" fillId="4" borderId="9" xfId="6" applyNumberFormat="1" applyFont="1" applyFill="1" applyBorder="1" applyAlignment="1">
      <alignment horizontal="center" vertical="center"/>
    </xf>
    <xf numFmtId="1" fontId="51" fillId="4" borderId="12" xfId="6" applyNumberFormat="1" applyFont="1" applyFill="1" applyBorder="1" applyAlignment="1">
      <alignment horizontal="center" vertical="center"/>
    </xf>
    <xf numFmtId="1" fontId="51" fillId="4" borderId="13" xfId="6" applyNumberFormat="1" applyFont="1" applyFill="1" applyBorder="1" applyAlignment="1">
      <alignment horizontal="right" vertical="center"/>
    </xf>
    <xf numFmtId="168" fontId="51" fillId="4" borderId="13" xfId="14" applyNumberFormat="1" applyFont="1" applyFill="1" applyBorder="1" applyAlignment="1" applyProtection="1">
      <alignment horizontal="center" vertical="center"/>
    </xf>
    <xf numFmtId="9" fontId="51" fillId="4" borderId="13" xfId="6" applyNumberFormat="1" applyFont="1" applyFill="1" applyBorder="1" applyAlignment="1">
      <alignment horizontal="center" vertical="center"/>
    </xf>
    <xf numFmtId="3" fontId="51" fillId="4" borderId="13" xfId="6" applyNumberFormat="1" applyFont="1" applyFill="1" applyBorder="1" applyAlignment="1">
      <alignment horizontal="center" vertical="center"/>
    </xf>
    <xf numFmtId="167" fontId="56" fillId="9" borderId="26" xfId="10" applyNumberFormat="1" applyFont="1" applyFill="1" applyBorder="1" applyAlignment="1" applyProtection="1">
      <alignment horizontal="center" vertical="center"/>
    </xf>
    <xf numFmtId="9" fontId="56" fillId="9" borderId="26" xfId="1" applyFont="1" applyFill="1" applyBorder="1" applyAlignment="1" applyProtection="1">
      <alignment horizontal="center" vertical="center"/>
    </xf>
    <xf numFmtId="1" fontId="51" fillId="4" borderId="44" xfId="6" applyNumberFormat="1" applyFont="1" applyFill="1" applyBorder="1" applyAlignment="1">
      <alignment horizontal="center" vertical="center"/>
    </xf>
    <xf numFmtId="1" fontId="51" fillId="4" borderId="1" xfId="6" applyNumberFormat="1" applyFont="1" applyFill="1" applyBorder="1" applyAlignment="1">
      <alignment horizontal="right" vertical="center"/>
    </xf>
    <xf numFmtId="167" fontId="51" fillId="4" borderId="1" xfId="10" applyNumberFormat="1" applyFont="1" applyFill="1" applyBorder="1" applyAlignment="1" applyProtection="1">
      <alignment horizontal="center" vertical="center"/>
    </xf>
    <xf numFmtId="167" fontId="51" fillId="3" borderId="1" xfId="10" applyNumberFormat="1" applyFont="1" applyFill="1" applyBorder="1" applyAlignment="1" applyProtection="1">
      <alignment horizontal="center" vertical="center"/>
    </xf>
    <xf numFmtId="167" fontId="56" fillId="9" borderId="52" xfId="10" applyNumberFormat="1" applyFont="1" applyFill="1" applyBorder="1" applyAlignment="1">
      <alignment horizontal="center" vertical="center"/>
    </xf>
    <xf numFmtId="167" fontId="56" fillId="9" borderId="51" xfId="10" applyNumberFormat="1" applyFont="1" applyFill="1" applyBorder="1" applyAlignment="1">
      <alignment horizontal="center" vertical="center"/>
    </xf>
    <xf numFmtId="1" fontId="51" fillId="3" borderId="0" xfId="6" applyNumberFormat="1" applyFont="1" applyFill="1" applyAlignment="1">
      <alignment horizontal="center" vertical="center"/>
    </xf>
    <xf numFmtId="1" fontId="51" fillId="4" borderId="44" xfId="6" applyNumberFormat="1" applyFont="1" applyFill="1" applyBorder="1" applyAlignment="1">
      <alignment horizontal="center"/>
    </xf>
    <xf numFmtId="167" fontId="53" fillId="37" borderId="1" xfId="10" applyNumberFormat="1" applyFont="1" applyFill="1" applyBorder="1" applyAlignment="1" applyProtection="1">
      <alignment horizontal="center"/>
    </xf>
    <xf numFmtId="1" fontId="53" fillId="37" borderId="1" xfId="10" applyNumberFormat="1" applyFont="1" applyFill="1" applyBorder="1" applyAlignment="1" applyProtection="1">
      <alignment horizontal="center"/>
    </xf>
    <xf numFmtId="167" fontId="51" fillId="4" borderId="1" xfId="66" applyNumberFormat="1" applyFont="1" applyFill="1" applyBorder="1" applyAlignment="1" applyProtection="1">
      <alignment horizontal="center"/>
    </xf>
    <xf numFmtId="3" fontId="56" fillId="9" borderId="26" xfId="6" applyNumberFormat="1" applyFont="1" applyFill="1" applyBorder="1" applyAlignment="1">
      <alignment horizontal="center" vertical="center"/>
    </xf>
    <xf numFmtId="9" fontId="56" fillId="9" borderId="26" xfId="96" applyFont="1" applyFill="1" applyBorder="1" applyAlignment="1">
      <alignment horizontal="center" vertical="center"/>
    </xf>
    <xf numFmtId="1" fontId="51" fillId="4" borderId="9" xfId="6" applyNumberFormat="1" applyFont="1" applyFill="1" applyBorder="1" applyAlignment="1">
      <alignment horizontal="center"/>
    </xf>
    <xf numFmtId="3" fontId="53" fillId="0" borderId="1" xfId="16" applyNumberFormat="1" applyFont="1" applyFill="1" applyBorder="1" applyAlignment="1" applyProtection="1">
      <alignment horizontal="center" vertical="center" readingOrder="1"/>
      <protection locked="0"/>
    </xf>
    <xf numFmtId="1" fontId="51" fillId="4" borderId="40" xfId="6" applyNumberFormat="1" applyFont="1" applyFill="1" applyBorder="1" applyAlignment="1">
      <alignment horizontal="center"/>
    </xf>
    <xf numFmtId="167" fontId="51" fillId="4" borderId="1" xfId="78" applyNumberFormat="1" applyFont="1" applyFill="1" applyBorder="1" applyAlignment="1" applyProtection="1">
      <alignment horizontal="center"/>
    </xf>
    <xf numFmtId="167" fontId="51" fillId="3" borderId="1" xfId="6" applyNumberFormat="1" applyFont="1" applyFill="1" applyBorder="1" applyAlignment="1">
      <alignment horizontal="center"/>
    </xf>
    <xf numFmtId="10" fontId="51" fillId="3" borderId="1" xfId="10" applyNumberFormat="1" applyFont="1" applyFill="1" applyBorder="1" applyAlignment="1" applyProtection="1">
      <alignment horizontal="center"/>
    </xf>
    <xf numFmtId="9" fontId="56" fillId="9" borderId="26" xfId="66" applyFont="1" applyFill="1" applyBorder="1" applyAlignment="1">
      <alignment horizontal="center" vertical="center"/>
    </xf>
    <xf numFmtId="1" fontId="53" fillId="4" borderId="11" xfId="6" applyNumberFormat="1" applyFont="1" applyFill="1" applyBorder="1" applyAlignment="1">
      <alignment horizontal="center"/>
    </xf>
    <xf numFmtId="167" fontId="51" fillId="3" borderId="1" xfId="10" applyNumberFormat="1" applyFont="1" applyFill="1" applyBorder="1" applyAlignment="1" applyProtection="1">
      <alignment horizontal="center"/>
    </xf>
    <xf numFmtId="167" fontId="51" fillId="3" borderId="50" xfId="10" applyNumberFormat="1" applyFont="1" applyFill="1" applyBorder="1" applyAlignment="1" applyProtection="1">
      <alignment horizontal="center"/>
    </xf>
    <xf numFmtId="164" fontId="51" fillId="3" borderId="11" xfId="16" applyNumberFormat="1" applyFont="1" applyFill="1" applyBorder="1" applyAlignment="1" applyProtection="1">
      <alignment horizontal="center"/>
    </xf>
    <xf numFmtId="164" fontId="51" fillId="3" borderId="1" xfId="16" applyNumberFormat="1" applyFont="1" applyFill="1" applyBorder="1" applyAlignment="1" applyProtection="1">
      <alignment horizontal="center"/>
    </xf>
    <xf numFmtId="9" fontId="51" fillId="3" borderId="17" xfId="96" applyFont="1" applyFill="1" applyBorder="1" applyAlignment="1" applyProtection="1">
      <alignment horizontal="center"/>
    </xf>
    <xf numFmtId="1" fontId="53" fillId="4" borderId="9" xfId="6" applyNumberFormat="1" applyFont="1" applyFill="1" applyBorder="1" applyAlignment="1">
      <alignment horizontal="center"/>
    </xf>
    <xf numFmtId="164" fontId="51" fillId="3" borderId="9" xfId="16" applyNumberFormat="1" applyFont="1" applyFill="1" applyBorder="1" applyAlignment="1" applyProtection="1">
      <alignment horizontal="center"/>
    </xf>
    <xf numFmtId="1" fontId="53" fillId="4" borderId="12" xfId="6" applyNumberFormat="1" applyFont="1" applyFill="1" applyBorder="1" applyAlignment="1">
      <alignment horizontal="center"/>
    </xf>
    <xf numFmtId="167" fontId="51" fillId="3" borderId="15" xfId="10" applyNumberFormat="1" applyFont="1" applyFill="1" applyBorder="1" applyAlignment="1" applyProtection="1">
      <alignment horizontal="center"/>
    </xf>
    <xf numFmtId="164" fontId="51" fillId="3" borderId="12" xfId="16" applyNumberFormat="1" applyFont="1" applyFill="1" applyBorder="1" applyAlignment="1" applyProtection="1">
      <alignment horizontal="center"/>
    </xf>
    <xf numFmtId="167" fontId="51" fillId="3" borderId="13" xfId="10" applyNumberFormat="1" applyFont="1" applyFill="1" applyBorder="1" applyAlignment="1" applyProtection="1">
      <alignment horizontal="center"/>
    </xf>
    <xf numFmtId="9" fontId="56" fillId="9" borderId="14" xfId="6" applyNumberFormat="1" applyFont="1" applyFill="1" applyBorder="1" applyAlignment="1">
      <alignment horizontal="center" vertical="center"/>
    </xf>
    <xf numFmtId="167" fontId="56" fillId="9" borderId="14" xfId="6" applyNumberFormat="1" applyFont="1" applyFill="1" applyBorder="1" applyAlignment="1">
      <alignment horizontal="center" vertical="center"/>
    </xf>
    <xf numFmtId="167" fontId="56" fillId="9" borderId="14" xfId="10" applyNumberFormat="1" applyFont="1" applyFill="1" applyBorder="1" applyAlignment="1">
      <alignment horizontal="center" vertical="center"/>
    </xf>
    <xf numFmtId="167" fontId="56" fillId="9" borderId="54" xfId="10" applyNumberFormat="1" applyFont="1" applyFill="1" applyBorder="1" applyAlignment="1">
      <alignment horizontal="center" vertical="center"/>
    </xf>
    <xf numFmtId="9" fontId="56" fillId="9" borderId="18" xfId="10" applyFont="1" applyFill="1" applyBorder="1" applyAlignment="1">
      <alignment horizontal="center" vertical="center"/>
    </xf>
    <xf numFmtId="167" fontId="48" fillId="0" borderId="0" xfId="61" applyNumberFormat="1" applyFont="1"/>
    <xf numFmtId="3" fontId="48" fillId="0" borderId="0" xfId="61" applyNumberFormat="1" applyFont="1"/>
    <xf numFmtId="167" fontId="51" fillId="4" borderId="19" xfId="6" applyNumberFormat="1" applyFont="1" applyFill="1" applyBorder="1" applyAlignment="1">
      <alignment horizontal="center" vertical="center"/>
    </xf>
    <xf numFmtId="9" fontId="46" fillId="0" borderId="0" xfId="10" applyFont="1"/>
    <xf numFmtId="167" fontId="46" fillId="0" borderId="10" xfId="61" applyNumberFormat="1" applyFont="1" applyBorder="1"/>
    <xf numFmtId="167" fontId="46" fillId="0" borderId="0" xfId="61" applyNumberFormat="1" applyFont="1"/>
    <xf numFmtId="167" fontId="51" fillId="3" borderId="10" xfId="16" applyNumberFormat="1" applyFont="1" applyFill="1" applyBorder="1" applyAlignment="1" applyProtection="1">
      <alignment horizontal="center"/>
    </xf>
    <xf numFmtId="167" fontId="51" fillId="7" borderId="46" xfId="10" applyNumberFormat="1" applyFont="1" applyFill="1" applyBorder="1" applyAlignment="1" applyProtection="1">
      <alignment horizontal="center" vertical="center"/>
    </xf>
    <xf numFmtId="167" fontId="51" fillId="7" borderId="26" xfId="10" applyNumberFormat="1" applyFont="1" applyFill="1" applyBorder="1" applyAlignment="1" applyProtection="1">
      <alignment horizontal="center" vertical="center"/>
    </xf>
    <xf numFmtId="10" fontId="51" fillId="7" borderId="26" xfId="68" applyNumberFormat="1" applyFont="1" applyFill="1" applyBorder="1" applyAlignment="1" applyProtection="1">
      <alignment horizontal="center" vertical="center"/>
    </xf>
    <xf numFmtId="10" fontId="51" fillId="7" borderId="45" xfId="68" applyNumberFormat="1" applyFont="1" applyFill="1" applyBorder="1" applyAlignment="1" applyProtection="1">
      <alignment horizontal="center" vertical="center"/>
    </xf>
    <xf numFmtId="167" fontId="51" fillId="7" borderId="19" xfId="14" applyNumberFormat="1" applyFont="1" applyFill="1" applyBorder="1" applyAlignment="1">
      <alignment horizontal="center" vertical="center"/>
    </xf>
    <xf numFmtId="1" fontId="53" fillId="4" borderId="44" xfId="6" applyNumberFormat="1" applyFont="1" applyFill="1" applyBorder="1" applyAlignment="1">
      <alignment horizontal="center"/>
    </xf>
    <xf numFmtId="10" fontId="53" fillId="3" borderId="1" xfId="10" applyNumberFormat="1" applyFont="1" applyFill="1" applyBorder="1" applyAlignment="1" applyProtection="1">
      <alignment horizontal="center"/>
    </xf>
    <xf numFmtId="10" fontId="53" fillId="4" borderId="1" xfId="68" applyNumberFormat="1" applyFont="1" applyFill="1" applyBorder="1" applyAlignment="1" applyProtection="1">
      <alignment horizontal="center"/>
    </xf>
    <xf numFmtId="10" fontId="51" fillId="3" borderId="50" xfId="10" applyNumberFormat="1" applyFont="1" applyFill="1" applyBorder="1" applyAlignment="1" applyProtection="1">
      <alignment horizontal="center"/>
    </xf>
    <xf numFmtId="164" fontId="51" fillId="3" borderId="17" xfId="16" applyNumberFormat="1" applyFont="1" applyFill="1" applyBorder="1" applyAlignment="1" applyProtection="1">
      <alignment horizontal="center"/>
    </xf>
    <xf numFmtId="9" fontId="51" fillId="7" borderId="46" xfId="96" applyFont="1" applyFill="1" applyBorder="1" applyAlignment="1" applyProtection="1">
      <alignment horizontal="center" vertical="center"/>
    </xf>
    <xf numFmtId="9" fontId="51" fillId="7" borderId="26" xfId="96" applyFont="1" applyFill="1" applyBorder="1" applyAlignment="1" applyProtection="1">
      <alignment horizontal="center" vertical="center"/>
    </xf>
    <xf numFmtId="9" fontId="51" fillId="7" borderId="26" xfId="10" applyFont="1" applyFill="1" applyBorder="1" applyAlignment="1">
      <alignment horizontal="center" vertical="center"/>
    </xf>
    <xf numFmtId="9" fontId="51" fillId="7" borderId="45" xfId="10" applyFont="1" applyFill="1" applyBorder="1" applyAlignment="1">
      <alignment horizontal="center" vertical="center"/>
    </xf>
    <xf numFmtId="9" fontId="51" fillId="4" borderId="8" xfId="10" applyFont="1" applyFill="1" applyBorder="1" applyAlignment="1" applyProtection="1">
      <alignment horizontal="center" vertical="center" wrapText="1"/>
    </xf>
    <xf numFmtId="9" fontId="51" fillId="4" borderId="16" xfId="10" applyFont="1" applyFill="1" applyBorder="1" applyAlignment="1" applyProtection="1">
      <alignment horizontal="center" vertical="center" wrapText="1"/>
    </xf>
    <xf numFmtId="10" fontId="53" fillId="4" borderId="1" xfId="10" applyNumberFormat="1" applyFont="1" applyFill="1" applyBorder="1" applyAlignment="1" applyProtection="1">
      <alignment horizontal="center"/>
    </xf>
    <xf numFmtId="164" fontId="51" fillId="3" borderId="10" xfId="16" applyNumberFormat="1" applyFont="1" applyFill="1" applyBorder="1" applyAlignment="1" applyProtection="1">
      <alignment horizontal="center"/>
    </xf>
    <xf numFmtId="9" fontId="51" fillId="7" borderId="46" xfId="10" applyFont="1" applyFill="1" applyBorder="1" applyAlignment="1" applyProtection="1">
      <alignment horizontal="center" vertical="center"/>
    </xf>
    <xf numFmtId="9" fontId="51" fillId="7" borderId="26" xfId="10" applyFont="1" applyFill="1" applyBorder="1" applyAlignment="1" applyProtection="1">
      <alignment horizontal="center" vertical="center"/>
    </xf>
    <xf numFmtId="9" fontId="51" fillId="7" borderId="26" xfId="68" applyFont="1" applyFill="1" applyBorder="1" applyAlignment="1" applyProtection="1">
      <alignment horizontal="center" vertical="center"/>
    </xf>
    <xf numFmtId="170" fontId="51" fillId="7" borderId="19" xfId="14" applyNumberFormat="1" applyFont="1" applyFill="1" applyBorder="1" applyAlignment="1">
      <alignment horizontal="center" vertical="center"/>
    </xf>
    <xf numFmtId="1" fontId="51" fillId="4" borderId="0" xfId="6" applyNumberFormat="1" applyFont="1" applyFill="1" applyAlignment="1">
      <alignment horizontal="center" vertical="center" wrapText="1"/>
    </xf>
    <xf numFmtId="1" fontId="53" fillId="4" borderId="43" xfId="6" applyNumberFormat="1" applyFont="1" applyFill="1" applyBorder="1" applyAlignment="1">
      <alignment horizontal="center"/>
    </xf>
    <xf numFmtId="1" fontId="53" fillId="4" borderId="1" xfId="6" applyNumberFormat="1" applyFont="1" applyFill="1" applyBorder="1" applyAlignment="1">
      <alignment horizontal="right"/>
    </xf>
    <xf numFmtId="1" fontId="53" fillId="4" borderId="61" xfId="6" applyNumberFormat="1" applyFont="1" applyFill="1" applyBorder="1" applyAlignment="1">
      <alignment horizontal="center"/>
    </xf>
    <xf numFmtId="1" fontId="46" fillId="7" borderId="5" xfId="6" applyNumberFormat="1" applyFont="1" applyFill="1" applyBorder="1" applyAlignment="1">
      <alignment horizontal="center" vertical="center" wrapText="1"/>
    </xf>
    <xf numFmtId="1" fontId="46" fillId="7" borderId="25" xfId="6" applyNumberFormat="1" applyFont="1" applyFill="1" applyBorder="1" applyAlignment="1">
      <alignment horizontal="center" vertical="center" wrapText="1"/>
    </xf>
    <xf numFmtId="1" fontId="46" fillId="7" borderId="27" xfId="6" applyNumberFormat="1" applyFont="1" applyFill="1" applyBorder="1" applyAlignment="1">
      <alignment horizontal="center" vertical="center" wrapText="1"/>
    </xf>
    <xf numFmtId="1" fontId="51" fillId="4" borderId="20" xfId="6" applyNumberFormat="1" applyFont="1" applyFill="1" applyBorder="1" applyAlignment="1">
      <alignment horizontal="center" vertical="center" wrapText="1"/>
    </xf>
    <xf numFmtId="9" fontId="51" fillId="4" borderId="21" xfId="10" applyFont="1" applyFill="1" applyBorder="1" applyAlignment="1" applyProtection="1">
      <alignment horizontal="center" vertical="center" wrapText="1"/>
    </xf>
    <xf numFmtId="1" fontId="51" fillId="4" borderId="8" xfId="6" applyNumberFormat="1" applyFont="1" applyFill="1" applyBorder="1" applyAlignment="1">
      <alignment horizontal="center" vertical="center" wrapText="1"/>
    </xf>
    <xf numFmtId="1" fontId="51" fillId="4" borderId="25" xfId="6" applyNumberFormat="1" applyFont="1" applyFill="1" applyBorder="1" applyAlignment="1">
      <alignment horizontal="center" vertical="center" wrapText="1"/>
    </xf>
    <xf numFmtId="1" fontId="51" fillId="4" borderId="19" xfId="6" applyNumberFormat="1" applyFont="1" applyFill="1" applyBorder="1" applyAlignment="1">
      <alignment horizontal="center" vertical="center" wrapText="1"/>
    </xf>
    <xf numFmtId="1" fontId="51" fillId="4" borderId="12" xfId="6" applyNumberFormat="1" applyFont="1" applyFill="1" applyBorder="1" applyAlignment="1">
      <alignment horizontal="center" vertical="center" wrapText="1"/>
    </xf>
    <xf numFmtId="9" fontId="51" fillId="4" borderId="13" xfId="10" applyFont="1" applyFill="1" applyBorder="1" applyAlignment="1" applyProtection="1">
      <alignment horizontal="center" vertical="center" wrapText="1"/>
    </xf>
    <xf numFmtId="1" fontId="51" fillId="4" borderId="16" xfId="6" applyNumberFormat="1" applyFont="1" applyFill="1" applyBorder="1" applyAlignment="1">
      <alignment horizontal="center" vertical="center" wrapText="1"/>
    </xf>
    <xf numFmtId="1" fontId="51" fillId="9" borderId="25" xfId="74" applyNumberFormat="1" applyFont="1" applyFill="1" applyBorder="1" applyAlignment="1">
      <alignment horizontal="center" vertical="center"/>
    </xf>
    <xf numFmtId="1" fontId="51" fillId="9" borderId="19" xfId="74" applyNumberFormat="1" applyFont="1" applyFill="1" applyBorder="1" applyAlignment="1">
      <alignment horizontal="center" vertical="center"/>
    </xf>
    <xf numFmtId="1" fontId="51" fillId="4" borderId="11" xfId="6" applyNumberFormat="1" applyFont="1" applyFill="1" applyBorder="1" applyAlignment="1">
      <alignment horizontal="center" vertical="center" wrapText="1"/>
    </xf>
    <xf numFmtId="9" fontId="51" fillId="4" borderId="17" xfId="10" applyFont="1" applyFill="1" applyBorder="1" applyAlignment="1" applyProtection="1">
      <alignment horizontal="center" vertical="center" wrapText="1"/>
    </xf>
    <xf numFmtId="1" fontId="51" fillId="9" borderId="5" xfId="74" applyNumberFormat="1" applyFont="1" applyFill="1" applyBorder="1" applyAlignment="1">
      <alignment horizontal="center" vertical="center"/>
    </xf>
    <xf numFmtId="1" fontId="51" fillId="4" borderId="9" xfId="6" applyNumberFormat="1" applyFont="1" applyFill="1" applyBorder="1" applyAlignment="1">
      <alignment horizontal="center" vertical="center" wrapText="1"/>
    </xf>
    <xf numFmtId="9" fontId="46" fillId="4" borderId="20" xfId="75" applyNumberFormat="1" applyFont="1" applyFill="1" applyBorder="1" applyAlignment="1">
      <alignment horizontal="center" vertical="center" wrapText="1"/>
    </xf>
    <xf numFmtId="9" fontId="46" fillId="4" borderId="12" xfId="75" applyNumberFormat="1" applyFont="1" applyFill="1" applyBorder="1" applyAlignment="1">
      <alignment horizontal="center" vertical="center" wrapText="1"/>
    </xf>
    <xf numFmtId="9" fontId="57" fillId="0" borderId="0" xfId="10" applyFont="1"/>
    <xf numFmtId="174" fontId="46" fillId="6" borderId="21" xfId="13" applyFont="1" applyFill="1" applyBorder="1" applyAlignment="1">
      <alignment horizontal="center" vertical="center" wrapText="1"/>
    </xf>
    <xf numFmtId="3" fontId="53" fillId="3" borderId="1" xfId="10" applyNumberFormat="1" applyFont="1" applyFill="1" applyBorder="1" applyAlignment="1" applyProtection="1">
      <alignment horizontal="center"/>
    </xf>
    <xf numFmtId="9" fontId="53" fillId="4" borderId="43" xfId="83" applyNumberFormat="1" applyFont="1" applyFill="1" applyBorder="1" applyAlignment="1" applyProtection="1">
      <alignment horizontal="center" vertical="center" readingOrder="2"/>
    </xf>
    <xf numFmtId="9" fontId="51" fillId="7" borderId="26" xfId="1" applyFont="1" applyFill="1" applyBorder="1" applyAlignment="1" applyProtection="1">
      <alignment horizontal="center" vertical="center"/>
    </xf>
    <xf numFmtId="9" fontId="51" fillId="7" borderId="19" xfId="1" applyFont="1" applyFill="1" applyBorder="1" applyAlignment="1" applyProtection="1">
      <alignment horizontal="center" vertical="center"/>
    </xf>
    <xf numFmtId="1" fontId="51" fillId="9" borderId="5" xfId="13" applyNumberFormat="1" applyFont="1" applyFill="1" applyBorder="1" applyAlignment="1">
      <alignment horizontal="center" vertical="center" wrapText="1"/>
    </xf>
    <xf numFmtId="1" fontId="51" fillId="9" borderId="6" xfId="13" applyNumberFormat="1" applyFont="1" applyFill="1" applyBorder="1" applyAlignment="1">
      <alignment horizontal="center" vertical="center" wrapText="1"/>
    </xf>
    <xf numFmtId="9" fontId="48" fillId="4" borderId="20" xfId="1" applyFont="1" applyFill="1" applyBorder="1" applyAlignment="1" applyProtection="1">
      <alignment horizontal="center" vertical="center" wrapText="1" readingOrder="2"/>
    </xf>
    <xf numFmtId="3" fontId="53" fillId="3" borderId="6" xfId="2" applyNumberFormat="1" applyFont="1" applyFill="1" applyBorder="1" applyAlignment="1">
      <alignment horizontal="center" vertical="center"/>
    </xf>
    <xf numFmtId="1" fontId="53" fillId="3" borderId="21" xfId="2" applyNumberFormat="1" applyFont="1" applyFill="1" applyBorder="1" applyAlignment="1">
      <alignment horizontal="center" vertical="center" readingOrder="2"/>
    </xf>
    <xf numFmtId="1" fontId="53" fillId="3" borderId="21" xfId="2" applyNumberFormat="1" applyFont="1" applyFill="1" applyBorder="1" applyAlignment="1">
      <alignment horizontal="center" vertical="center"/>
    </xf>
    <xf numFmtId="172" fontId="53" fillId="3" borderId="8" xfId="83" applyNumberFormat="1" applyFont="1" applyFill="1" applyBorder="1" applyAlignment="1" applyProtection="1">
      <alignment horizontal="center" vertical="center"/>
    </xf>
    <xf numFmtId="9" fontId="48" fillId="4" borderId="9" xfId="1" applyFont="1" applyFill="1" applyBorder="1" applyAlignment="1" applyProtection="1">
      <alignment horizontal="center" vertical="center" wrapText="1" readingOrder="2"/>
    </xf>
    <xf numFmtId="172" fontId="53" fillId="3" borderId="10" xfId="83" applyNumberFormat="1" applyFont="1" applyFill="1" applyBorder="1" applyAlignment="1" applyProtection="1">
      <alignment horizontal="center" vertical="center"/>
    </xf>
    <xf numFmtId="9" fontId="48" fillId="4" borderId="12" xfId="1" applyFont="1" applyFill="1" applyBorder="1" applyAlignment="1" applyProtection="1">
      <alignment horizontal="center" vertical="center" wrapText="1" readingOrder="2"/>
    </xf>
    <xf numFmtId="3" fontId="53" fillId="3" borderId="14" xfId="2" applyNumberFormat="1" applyFont="1" applyFill="1" applyBorder="1" applyAlignment="1">
      <alignment horizontal="center" vertical="center"/>
    </xf>
    <xf numFmtId="1" fontId="53" fillId="3" borderId="13" xfId="2" applyNumberFormat="1" applyFont="1" applyFill="1" applyBorder="1" applyAlignment="1">
      <alignment horizontal="center" vertical="center" readingOrder="2"/>
    </xf>
    <xf numFmtId="1" fontId="53" fillId="3" borderId="13" xfId="2" applyNumberFormat="1" applyFont="1" applyFill="1" applyBorder="1" applyAlignment="1">
      <alignment horizontal="center" vertical="center"/>
    </xf>
    <xf numFmtId="172" fontId="53" fillId="3" borderId="16" xfId="83" applyNumberFormat="1" applyFont="1" applyFill="1" applyBorder="1" applyAlignment="1" applyProtection="1">
      <alignment horizontal="center" vertical="center"/>
    </xf>
    <xf numFmtId="2" fontId="53" fillId="4" borderId="43" xfId="83" applyNumberFormat="1" applyFont="1" applyFill="1" applyBorder="1" applyAlignment="1" applyProtection="1">
      <alignment horizontal="center" vertical="center" readingOrder="2"/>
    </xf>
    <xf numFmtId="1" fontId="56" fillId="5" borderId="8" xfId="0" applyNumberFormat="1" applyFont="1" applyFill="1" applyBorder="1" applyAlignment="1" applyProtection="1">
      <alignment horizontal="center" vertical="center"/>
      <protection locked="0"/>
    </xf>
    <xf numFmtId="1" fontId="51" fillId="9" borderId="5" xfId="13" applyNumberFormat="1" applyFont="1" applyFill="1" applyBorder="1" applyAlignment="1">
      <alignment horizontal="center" vertical="center"/>
    </xf>
    <xf numFmtId="1" fontId="51" fillId="9" borderId="24" xfId="13" applyNumberFormat="1" applyFont="1" applyFill="1" applyBorder="1" applyAlignment="1">
      <alignment horizontal="center" vertical="center"/>
    </xf>
    <xf numFmtId="1" fontId="51" fillId="9" borderId="63" xfId="13" applyNumberFormat="1" applyFont="1" applyFill="1" applyBorder="1" applyAlignment="1">
      <alignment horizontal="center" vertical="center" wrapText="1"/>
    </xf>
    <xf numFmtId="9" fontId="48" fillId="3" borderId="8" xfId="1" applyFont="1" applyFill="1" applyBorder="1" applyAlignment="1" applyProtection="1">
      <alignment horizontal="center" vertical="center" wrapText="1"/>
    </xf>
    <xf numFmtId="9" fontId="48" fillId="3" borderId="10" xfId="1" applyFont="1" applyFill="1" applyBorder="1" applyAlignment="1" applyProtection="1">
      <alignment horizontal="center" vertical="center" wrapText="1"/>
    </xf>
    <xf numFmtId="9" fontId="48" fillId="3" borderId="16" xfId="1" applyFont="1" applyFill="1" applyBorder="1" applyAlignment="1" applyProtection="1">
      <alignment horizontal="center" vertical="center" wrapText="1"/>
    </xf>
    <xf numFmtId="9" fontId="46" fillId="3" borderId="19" xfId="1" applyFont="1" applyFill="1" applyBorder="1" applyAlignment="1" applyProtection="1">
      <alignment horizontal="center" vertical="center" wrapText="1"/>
    </xf>
    <xf numFmtId="1" fontId="51" fillId="9" borderId="24" xfId="13" applyNumberFormat="1" applyFont="1" applyFill="1" applyBorder="1" applyAlignment="1">
      <alignment horizontal="center" vertical="center" wrapText="1"/>
    </xf>
    <xf numFmtId="1" fontId="51" fillId="9" borderId="25" xfId="13" applyNumberFormat="1" applyFont="1" applyFill="1" applyBorder="1" applyAlignment="1">
      <alignment horizontal="center" vertical="center"/>
    </xf>
    <xf numFmtId="1" fontId="51" fillId="9" borderId="19" xfId="13" applyNumberFormat="1" applyFont="1" applyFill="1" applyBorder="1" applyAlignment="1">
      <alignment horizontal="center" vertical="center"/>
    </xf>
    <xf numFmtId="14" fontId="48" fillId="3" borderId="1" xfId="0" applyNumberFormat="1" applyFont="1" applyFill="1" applyBorder="1" applyAlignment="1">
      <alignment horizontal="center"/>
    </xf>
    <xf numFmtId="14" fontId="48" fillId="3" borderId="17" xfId="0" applyNumberFormat="1" applyFont="1" applyFill="1" applyBorder="1" applyAlignment="1">
      <alignment horizontal="center"/>
    </xf>
    <xf numFmtId="14" fontId="48" fillId="3" borderId="10" xfId="0" applyNumberFormat="1" applyFont="1" applyFill="1" applyBorder="1" applyAlignment="1">
      <alignment horizontal="center"/>
    </xf>
    <xf numFmtId="14" fontId="48" fillId="3" borderId="13" xfId="0" applyNumberFormat="1" applyFont="1" applyFill="1" applyBorder="1" applyAlignment="1">
      <alignment horizontal="center"/>
    </xf>
    <xf numFmtId="14" fontId="48" fillId="3" borderId="16" xfId="0" applyNumberFormat="1" applyFont="1" applyFill="1" applyBorder="1" applyAlignment="1">
      <alignment horizontal="center"/>
    </xf>
    <xf numFmtId="49" fontId="53" fillId="4" borderId="1" xfId="83" applyNumberFormat="1" applyFont="1" applyFill="1" applyBorder="1" applyAlignment="1" applyProtection="1">
      <alignment horizontal="right" vertical="center" readingOrder="2"/>
    </xf>
    <xf numFmtId="3" fontId="53" fillId="4" borderId="1" xfId="83" applyNumberFormat="1" applyFont="1" applyFill="1" applyBorder="1" applyAlignment="1" applyProtection="1">
      <alignment horizontal="center" vertical="center" readingOrder="2"/>
      <protection locked="0"/>
    </xf>
    <xf numFmtId="4" fontId="53" fillId="4" borderId="1" xfId="83" applyNumberFormat="1" applyFont="1" applyFill="1" applyBorder="1" applyAlignment="1" applyProtection="1">
      <alignment horizontal="center" vertical="center" readingOrder="2"/>
    </xf>
    <xf numFmtId="3" fontId="53" fillId="4" borderId="1" xfId="83" applyNumberFormat="1" applyFont="1" applyFill="1" applyBorder="1" applyAlignment="1" applyProtection="1">
      <alignment horizontal="center" vertical="center" readingOrder="2"/>
    </xf>
    <xf numFmtId="1" fontId="65" fillId="33" borderId="25" xfId="6" applyNumberFormat="1" applyFont="1" applyFill="1" applyBorder="1" applyAlignment="1">
      <alignment horizontal="center" vertical="center"/>
    </xf>
    <xf numFmtId="1" fontId="65" fillId="33" borderId="26" xfId="6" applyNumberFormat="1" applyFont="1" applyFill="1" applyBorder="1" applyAlignment="1">
      <alignment horizontal="center" vertical="center"/>
    </xf>
    <xf numFmtId="9" fontId="51" fillId="4" borderId="19" xfId="10" applyFont="1" applyFill="1" applyBorder="1" applyAlignment="1" applyProtection="1">
      <alignment horizontal="center" vertical="center" wrapText="1"/>
    </xf>
    <xf numFmtId="10" fontId="51" fillId="7" borderId="26" xfId="10" applyNumberFormat="1" applyFont="1" applyFill="1" applyBorder="1" applyAlignment="1" applyProtection="1">
      <alignment horizontal="center" vertical="center"/>
    </xf>
    <xf numFmtId="3" fontId="53" fillId="0" borderId="1" xfId="78" applyNumberFormat="1" applyFont="1" applyFill="1" applyBorder="1" applyAlignment="1" applyProtection="1">
      <alignment horizontal="center" vertical="center" readingOrder="1"/>
      <protection locked="0"/>
    </xf>
    <xf numFmtId="173" fontId="51" fillId="4" borderId="19" xfId="10" applyNumberFormat="1" applyFont="1" applyFill="1" applyBorder="1" applyAlignment="1" applyProtection="1">
      <alignment horizontal="center" vertical="center" wrapText="1"/>
    </xf>
    <xf numFmtId="169" fontId="48" fillId="0" borderId="0" xfId="0" applyNumberFormat="1" applyFont="1" applyAlignment="1">
      <alignment horizontal="center" vertical="center"/>
    </xf>
    <xf numFmtId="3" fontId="61" fillId="5" borderId="81" xfId="6" applyNumberFormat="1" applyFont="1" applyFill="1" applyBorder="1" applyAlignment="1" applyProtection="1">
      <alignment horizontal="center"/>
      <protection locked="0"/>
    </xf>
    <xf numFmtId="1" fontId="48" fillId="4" borderId="20" xfId="1" applyNumberFormat="1" applyFont="1" applyFill="1" applyBorder="1" applyAlignment="1" applyProtection="1">
      <alignment horizontal="center" vertical="center" wrapText="1" readingOrder="2"/>
    </xf>
    <xf numFmtId="1" fontId="48" fillId="4" borderId="9" xfId="1" applyNumberFormat="1" applyFont="1" applyFill="1" applyBorder="1" applyAlignment="1" applyProtection="1">
      <alignment horizontal="center" vertical="center" wrapText="1" readingOrder="2"/>
    </xf>
    <xf numFmtId="1" fontId="48" fillId="4" borderId="22" xfId="1" applyNumberFormat="1" applyFont="1" applyFill="1" applyBorder="1" applyAlignment="1" applyProtection="1">
      <alignment horizontal="center" vertical="center" wrapText="1" readingOrder="2"/>
    </xf>
    <xf numFmtId="4" fontId="48" fillId="3" borderId="8" xfId="1" applyNumberFormat="1" applyFont="1" applyFill="1" applyBorder="1" applyAlignment="1" applyProtection="1">
      <alignment horizontal="center" vertical="center" wrapText="1"/>
    </xf>
    <xf numFmtId="4" fontId="48" fillId="3" borderId="10" xfId="1" applyNumberFormat="1" applyFont="1" applyFill="1" applyBorder="1" applyAlignment="1" applyProtection="1">
      <alignment horizontal="center" vertical="center" wrapText="1"/>
    </xf>
    <xf numFmtId="4" fontId="48" fillId="3" borderId="18" xfId="1" applyNumberFormat="1" applyFont="1" applyFill="1" applyBorder="1" applyAlignment="1" applyProtection="1">
      <alignment horizontal="center" vertical="center" wrapText="1"/>
    </xf>
    <xf numFmtId="174" fontId="49" fillId="6" borderId="4" xfId="13" applyFont="1" applyFill="1" applyBorder="1" applyAlignment="1">
      <alignment horizontal="centerContinuous" vertical="center" wrapText="1"/>
    </xf>
    <xf numFmtId="4" fontId="53" fillId="4" borderId="1" xfId="83" applyNumberFormat="1" applyFont="1" applyFill="1" applyBorder="1" applyAlignment="1" applyProtection="1">
      <alignment horizontal="center" vertical="center" readingOrder="2"/>
      <protection locked="0"/>
    </xf>
    <xf numFmtId="1" fontId="53" fillId="4" borderId="1" xfId="83" applyNumberFormat="1" applyFont="1" applyFill="1" applyBorder="1" applyAlignment="1" applyProtection="1">
      <alignment horizontal="center" vertical="center" readingOrder="2"/>
      <protection locked="0"/>
    </xf>
    <xf numFmtId="164" fontId="53" fillId="3" borderId="1" xfId="16" applyNumberFormat="1" applyFont="1" applyFill="1" applyBorder="1" applyAlignment="1" applyProtection="1">
      <alignment horizontal="center" vertical="center"/>
    </xf>
    <xf numFmtId="9" fontId="53" fillId="3" borderId="50" xfId="10" applyFont="1" applyFill="1" applyBorder="1" applyAlignment="1" applyProtection="1">
      <alignment horizontal="center" vertical="center"/>
    </xf>
    <xf numFmtId="164" fontId="51" fillId="3" borderId="17" xfId="16" applyNumberFormat="1" applyFont="1" applyFill="1" applyBorder="1" applyAlignment="1" applyProtection="1">
      <alignment horizontal="center" vertical="center"/>
    </xf>
    <xf numFmtId="164" fontId="51" fillId="3" borderId="10" xfId="16" applyNumberFormat="1" applyFont="1" applyFill="1" applyBorder="1" applyAlignment="1" applyProtection="1">
      <alignment horizontal="center" vertical="center"/>
    </xf>
    <xf numFmtId="9" fontId="53" fillId="3" borderId="53" xfId="10" applyFont="1" applyFill="1" applyBorder="1" applyAlignment="1" applyProtection="1">
      <alignment horizontal="center" vertical="center"/>
    </xf>
    <xf numFmtId="10" fontId="53" fillId="4" borderId="1" xfId="1" applyNumberFormat="1" applyFont="1" applyFill="1" applyBorder="1" applyAlignment="1" applyProtection="1">
      <alignment horizontal="center" vertical="center" readingOrder="1"/>
    </xf>
    <xf numFmtId="10" fontId="53" fillId="4" borderId="1" xfId="1" applyNumberFormat="1" applyFont="1" applyFill="1" applyBorder="1" applyAlignment="1" applyProtection="1">
      <alignment horizontal="center" vertical="center"/>
    </xf>
    <xf numFmtId="10" fontId="53" fillId="4" borderId="48" xfId="1" applyNumberFormat="1" applyFont="1" applyFill="1" applyBorder="1" applyAlignment="1" applyProtection="1">
      <alignment horizontal="center" vertical="center"/>
    </xf>
    <xf numFmtId="3" fontId="57" fillId="0" borderId="0" xfId="6" applyNumberFormat="1" applyFont="1"/>
    <xf numFmtId="3" fontId="61" fillId="0" borderId="0" xfId="6" applyNumberFormat="1" applyFont="1"/>
    <xf numFmtId="3" fontId="46" fillId="0" borderId="0" xfId="61" applyNumberFormat="1" applyFont="1"/>
    <xf numFmtId="3" fontId="46" fillId="0" borderId="0" xfId="75" applyNumberFormat="1" applyFont="1"/>
    <xf numFmtId="3" fontId="61" fillId="0" borderId="0" xfId="6" applyNumberFormat="1" applyFont="1" applyAlignment="1">
      <alignment horizontal="center" wrapText="1"/>
    </xf>
    <xf numFmtId="3" fontId="48" fillId="0" borderId="0" xfId="76" applyNumberFormat="1" applyFont="1"/>
    <xf numFmtId="3" fontId="48" fillId="0" borderId="0" xfId="0" applyNumberFormat="1" applyFont="1" applyAlignment="1">
      <alignment horizontal="center" vertical="center"/>
    </xf>
    <xf numFmtId="3" fontId="48" fillId="0" borderId="0" xfId="0" applyNumberFormat="1" applyFont="1"/>
    <xf numFmtId="3" fontId="49" fillId="0" borderId="0" xfId="0" applyNumberFormat="1" applyFont="1"/>
    <xf numFmtId="3" fontId="43" fillId="0" borderId="0" xfId="0" applyNumberFormat="1" applyFont="1" applyAlignment="1">
      <alignment vertical="center" wrapText="1"/>
    </xf>
    <xf numFmtId="3" fontId="43" fillId="0" borderId="0" xfId="0" applyNumberFormat="1" applyFont="1" applyAlignment="1">
      <alignment horizontal="center" vertical="center" wrapText="1"/>
    </xf>
    <xf numFmtId="3" fontId="48" fillId="2" borderId="0" xfId="0" applyNumberFormat="1" applyFont="1" applyFill="1"/>
    <xf numFmtId="3" fontId="49" fillId="6" borderId="20" xfId="13" applyNumberFormat="1" applyFont="1" applyFill="1" applyBorder="1" applyAlignment="1">
      <alignment horizontal="center" vertical="center" wrapText="1"/>
    </xf>
    <xf numFmtId="3" fontId="49" fillId="6" borderId="12" xfId="13" applyNumberFormat="1" applyFont="1" applyFill="1" applyBorder="1" applyAlignment="1">
      <alignment horizontal="center" vertical="center" wrapText="1"/>
    </xf>
    <xf numFmtId="3" fontId="48" fillId="4" borderId="11" xfId="0" applyNumberFormat="1" applyFont="1" applyFill="1" applyBorder="1" applyAlignment="1">
      <alignment horizontal="center" vertical="center" wrapText="1"/>
    </xf>
    <xf numFmtId="3" fontId="48" fillId="4" borderId="9" xfId="0" applyNumberFormat="1" applyFont="1" applyFill="1" applyBorder="1" applyAlignment="1">
      <alignment horizontal="center" vertical="center" wrapText="1"/>
    </xf>
    <xf numFmtId="3" fontId="48" fillId="4" borderId="12" xfId="0" applyNumberFormat="1" applyFont="1" applyFill="1" applyBorder="1" applyAlignment="1">
      <alignment horizontal="center" vertical="center" wrapText="1"/>
    </xf>
    <xf numFmtId="3" fontId="48" fillId="4" borderId="20" xfId="0" applyNumberFormat="1" applyFont="1" applyFill="1" applyBorder="1" applyAlignment="1">
      <alignment horizontal="center" vertical="center" wrapText="1"/>
    </xf>
    <xf numFmtId="3" fontId="48" fillId="3" borderId="66" xfId="1" applyNumberFormat="1" applyFont="1" applyFill="1" applyBorder="1" applyAlignment="1" applyProtection="1">
      <alignment horizontal="center" vertical="center" wrapText="1"/>
    </xf>
    <xf numFmtId="3" fontId="48" fillId="3" borderId="59" xfId="1" applyNumberFormat="1" applyFont="1" applyFill="1" applyBorder="1" applyAlignment="1" applyProtection="1">
      <alignment horizontal="center" vertical="center" wrapText="1"/>
    </xf>
    <xf numFmtId="3" fontId="48" fillId="3" borderId="81" xfId="1" applyNumberFormat="1" applyFont="1" applyFill="1" applyBorder="1" applyAlignment="1" applyProtection="1">
      <alignment horizontal="center" vertical="center" wrapText="1"/>
    </xf>
    <xf numFmtId="3" fontId="46" fillId="4" borderId="25" xfId="0" applyNumberFormat="1" applyFont="1" applyFill="1" applyBorder="1" applyAlignment="1">
      <alignment horizontal="center" vertical="center" wrapText="1"/>
    </xf>
    <xf numFmtId="3" fontId="48" fillId="0" borderId="0" xfId="0" applyNumberFormat="1" applyFont="1" applyAlignment="1">
      <alignment horizontal="center" vertical="center" wrapText="1"/>
    </xf>
    <xf numFmtId="3" fontId="48" fillId="0" borderId="0" xfId="0" applyNumberFormat="1" applyFont="1" applyAlignment="1">
      <alignment wrapText="1"/>
    </xf>
    <xf numFmtId="3" fontId="48" fillId="0" borderId="2" xfId="0" applyNumberFormat="1" applyFont="1" applyBorder="1"/>
    <xf numFmtId="3" fontId="48" fillId="0" borderId="3" xfId="0" applyNumberFormat="1" applyFont="1" applyBorder="1"/>
    <xf numFmtId="3" fontId="48" fillId="0" borderId="4" xfId="0" applyNumberFormat="1" applyFont="1" applyBorder="1"/>
    <xf numFmtId="3" fontId="48" fillId="0" borderId="0" xfId="0" applyNumberFormat="1" applyFont="1" applyAlignment="1">
      <alignment horizontal="center" wrapText="1"/>
    </xf>
    <xf numFmtId="3" fontId="48" fillId="0" borderId="0" xfId="0" applyNumberFormat="1" applyFont="1" applyAlignment="1">
      <alignment horizontal="center"/>
    </xf>
    <xf numFmtId="3" fontId="63" fillId="0" borderId="20" xfId="0" applyNumberFormat="1" applyFont="1" applyBorder="1" applyAlignment="1">
      <alignment horizontal="center" wrapText="1"/>
    </xf>
    <xf numFmtId="3" fontId="46" fillId="0" borderId="21" xfId="0" applyNumberFormat="1" applyFont="1" applyBorder="1" applyAlignment="1">
      <alignment horizontal="center"/>
    </xf>
    <xf numFmtId="3" fontId="46" fillId="0" borderId="8" xfId="0" applyNumberFormat="1" applyFont="1" applyBorder="1" applyAlignment="1">
      <alignment horizontal="center"/>
    </xf>
    <xf numFmtId="3" fontId="48" fillId="0" borderId="12" xfId="0" applyNumberFormat="1" applyFont="1" applyBorder="1"/>
    <xf numFmtId="3" fontId="48" fillId="0" borderId="13" xfId="0" applyNumberFormat="1" applyFont="1" applyBorder="1" applyAlignment="1">
      <alignment horizontal="center"/>
    </xf>
    <xf numFmtId="3" fontId="48" fillId="0" borderId="16" xfId="0" applyNumberFormat="1" applyFont="1" applyBorder="1" applyAlignment="1">
      <alignment horizontal="center"/>
    </xf>
    <xf numFmtId="3" fontId="48" fillId="0" borderId="28" xfId="0" applyNumberFormat="1" applyFont="1" applyBorder="1"/>
    <xf numFmtId="3" fontId="46" fillId="6" borderId="6" xfId="13" applyNumberFormat="1" applyFont="1" applyFill="1" applyBorder="1" applyAlignment="1">
      <alignment horizontal="center" vertical="center" wrapText="1"/>
    </xf>
    <xf numFmtId="3" fontId="46" fillId="6" borderId="8" xfId="13" applyNumberFormat="1" applyFont="1" applyFill="1" applyBorder="1" applyAlignment="1">
      <alignment horizontal="center" vertical="center" wrapText="1"/>
    </xf>
    <xf numFmtId="3" fontId="46" fillId="6" borderId="0" xfId="13" applyNumberFormat="1" applyFont="1" applyFill="1" applyAlignment="1">
      <alignment horizontal="center" vertical="center" wrapText="1"/>
    </xf>
    <xf numFmtId="3" fontId="48" fillId="0" borderId="29" xfId="0" applyNumberFormat="1" applyFont="1" applyBorder="1"/>
    <xf numFmtId="3" fontId="52" fillId="6" borderId="13" xfId="13" applyNumberFormat="1" applyFont="1" applyFill="1" applyBorder="1" applyAlignment="1">
      <alignment horizontal="center" vertical="center" wrapText="1"/>
    </xf>
    <xf numFmtId="3" fontId="52" fillId="2" borderId="13" xfId="13" applyNumberFormat="1" applyFont="1" applyFill="1" applyBorder="1" applyAlignment="1">
      <alignment horizontal="center" vertical="center" wrapText="1"/>
    </xf>
    <xf numFmtId="3" fontId="46" fillId="6" borderId="16" xfId="13" applyNumberFormat="1" applyFont="1" applyFill="1" applyBorder="1" applyAlignment="1">
      <alignment horizontal="center" vertical="center" wrapText="1"/>
    </xf>
    <xf numFmtId="3" fontId="22" fillId="4" borderId="43" xfId="83" applyNumberFormat="1" applyFont="1" applyFill="1" applyBorder="1" applyAlignment="1" applyProtection="1">
      <alignment horizontal="center" vertical="center" readingOrder="2"/>
    </xf>
    <xf numFmtId="3" fontId="53" fillId="4" borderId="43" xfId="83" applyNumberFormat="1" applyFont="1" applyFill="1" applyBorder="1" applyAlignment="1" applyProtection="1">
      <alignment horizontal="right" vertical="center" readingOrder="2"/>
    </xf>
    <xf numFmtId="3" fontId="48" fillId="0" borderId="0" xfId="0" quotePrefix="1" applyNumberFormat="1" applyFont="1"/>
    <xf numFmtId="3" fontId="46" fillId="2" borderId="26" xfId="13" applyNumberFormat="1" applyFont="1" applyFill="1" applyBorder="1" applyAlignment="1">
      <alignment horizontal="center" vertical="center" wrapText="1"/>
    </xf>
    <xf numFmtId="3" fontId="52" fillId="2" borderId="14" xfId="13" applyNumberFormat="1" applyFont="1" applyFill="1" applyBorder="1" applyAlignment="1">
      <alignment horizontal="center" vertical="center" wrapText="1"/>
    </xf>
    <xf numFmtId="3" fontId="48" fillId="0" borderId="2" xfId="0" applyNumberFormat="1" applyFont="1" applyBorder="1" applyAlignment="1">
      <alignment horizontal="center" vertical="center"/>
    </xf>
    <xf numFmtId="3" fontId="48" fillId="0" borderId="3" xfId="0" applyNumberFormat="1" applyFont="1" applyBorder="1" applyAlignment="1">
      <alignment horizontal="center" vertical="center"/>
    </xf>
    <xf numFmtId="3" fontId="48" fillId="0" borderId="4" xfId="0" applyNumberFormat="1" applyFont="1" applyBorder="1" applyAlignment="1">
      <alignment horizontal="center" vertical="center"/>
    </xf>
    <xf numFmtId="3" fontId="48" fillId="0" borderId="41" xfId="0" applyNumberFormat="1" applyFont="1" applyBorder="1"/>
    <xf numFmtId="3" fontId="48" fillId="0" borderId="39" xfId="0" applyNumberFormat="1" applyFont="1" applyBorder="1"/>
    <xf numFmtId="3" fontId="46" fillId="6" borderId="26" xfId="13" applyNumberFormat="1" applyFont="1" applyFill="1" applyBorder="1" applyAlignment="1">
      <alignment horizontal="center" vertical="center" wrapText="1"/>
    </xf>
    <xf numFmtId="3" fontId="52" fillId="6" borderId="14" xfId="13" applyNumberFormat="1" applyFont="1" applyFill="1" applyBorder="1" applyAlignment="1">
      <alignment horizontal="center" vertical="center" wrapText="1"/>
    </xf>
    <xf numFmtId="3" fontId="53" fillId="4" borderId="1" xfId="83" applyNumberFormat="1" applyFont="1" applyFill="1" applyBorder="1" applyAlignment="1" applyProtection="1">
      <alignment horizontal="right" vertical="center" readingOrder="2"/>
    </xf>
    <xf numFmtId="3" fontId="53" fillId="4" borderId="11" xfId="83" applyNumberFormat="1" applyFont="1" applyFill="1" applyBorder="1" applyAlignment="1" applyProtection="1">
      <alignment horizontal="center" vertical="center" readingOrder="2"/>
    </xf>
    <xf numFmtId="3" fontId="53" fillId="4" borderId="9" xfId="83" applyNumberFormat="1" applyFont="1" applyFill="1" applyBorder="1" applyAlignment="1" applyProtection="1">
      <alignment horizontal="center" vertical="center" readingOrder="2"/>
    </xf>
    <xf numFmtId="3" fontId="57" fillId="0" borderId="0" xfId="13" applyNumberFormat="1" applyFont="1"/>
    <xf numFmtId="3" fontId="57" fillId="0" borderId="20" xfId="13" applyNumberFormat="1" applyFont="1" applyBorder="1"/>
    <xf numFmtId="3" fontId="46" fillId="6" borderId="21" xfId="13" applyNumberFormat="1" applyFont="1" applyFill="1" applyBorder="1" applyAlignment="1">
      <alignment horizontal="center" vertical="center" wrapText="1"/>
    </xf>
    <xf numFmtId="3" fontId="57" fillId="0" borderId="22" xfId="13" applyNumberFormat="1" applyFont="1" applyBorder="1"/>
    <xf numFmtId="3" fontId="57" fillId="0" borderId="0" xfId="74" applyNumberFormat="1" applyFont="1"/>
    <xf numFmtId="3" fontId="49" fillId="6" borderId="20" xfId="74" applyNumberFormat="1" applyFont="1" applyFill="1" applyBorder="1" applyAlignment="1">
      <alignment horizontal="center" vertical="center" wrapText="1"/>
    </xf>
    <xf numFmtId="3" fontId="49" fillId="6" borderId="9" xfId="74" applyNumberFormat="1" applyFont="1" applyFill="1" applyBorder="1" applyAlignment="1">
      <alignment horizontal="center" vertical="center" wrapText="1"/>
    </xf>
    <xf numFmtId="3" fontId="61" fillId="0" borderId="0" xfId="74" applyNumberFormat="1" applyFont="1"/>
    <xf numFmtId="3" fontId="46" fillId="6" borderId="2" xfId="60" applyNumberFormat="1" applyFont="1" applyFill="1" applyBorder="1" applyAlignment="1">
      <alignment horizontal="center" vertical="center" wrapText="1"/>
    </xf>
    <xf numFmtId="3" fontId="46" fillId="6" borderId="21" xfId="74" applyNumberFormat="1" applyFont="1" applyFill="1" applyBorder="1" applyAlignment="1">
      <alignment horizontal="center" vertical="center" wrapText="1"/>
    </xf>
    <xf numFmtId="3" fontId="46" fillId="2" borderId="21" xfId="74" applyNumberFormat="1" applyFont="1" applyFill="1" applyBorder="1" applyAlignment="1">
      <alignment horizontal="center" vertical="center" wrapText="1"/>
    </xf>
    <xf numFmtId="3" fontId="46" fillId="6" borderId="13" xfId="74" applyNumberFormat="1" applyFont="1" applyFill="1" applyBorder="1" applyAlignment="1">
      <alignment horizontal="center" vertical="center" wrapText="1"/>
    </xf>
    <xf numFmtId="3" fontId="49" fillId="6" borderId="12" xfId="74" applyNumberFormat="1" applyFont="1" applyFill="1" applyBorder="1" applyAlignment="1">
      <alignment horizontal="center" vertical="center" wrapText="1"/>
    </xf>
    <xf numFmtId="3" fontId="46" fillId="2" borderId="7" xfId="74" applyNumberFormat="1" applyFont="1" applyFill="1" applyBorder="1" applyAlignment="1">
      <alignment horizontal="center" vertical="center" wrapText="1"/>
    </xf>
    <xf numFmtId="3" fontId="46" fillId="2" borderId="15" xfId="74" applyNumberFormat="1" applyFont="1" applyFill="1" applyBorder="1" applyAlignment="1">
      <alignment horizontal="center" vertical="center" wrapText="1"/>
    </xf>
    <xf numFmtId="3" fontId="46" fillId="2" borderId="66" xfId="74" applyNumberFormat="1" applyFont="1" applyFill="1" applyBorder="1" applyAlignment="1">
      <alignment horizontal="center" vertical="center" wrapText="1"/>
    </xf>
    <xf numFmtId="3" fontId="46" fillId="6" borderId="81" xfId="74" applyNumberFormat="1" applyFont="1" applyFill="1" applyBorder="1" applyAlignment="1">
      <alignment horizontal="center" vertical="center" wrapText="1"/>
    </xf>
    <xf numFmtId="3" fontId="54" fillId="8" borderId="2" xfId="61" applyNumberFormat="1" applyFont="1" applyFill="1" applyBorder="1" applyAlignment="1">
      <alignment horizontal="centerContinuous" vertical="center" wrapText="1"/>
    </xf>
    <xf numFmtId="3" fontId="54" fillId="8" borderId="3" xfId="61" applyNumberFormat="1" applyFont="1" applyFill="1" applyBorder="1" applyAlignment="1">
      <alignment horizontal="centerContinuous" vertical="center" wrapText="1"/>
    </xf>
    <xf numFmtId="3" fontId="54" fillId="8" borderId="4" xfId="61" applyNumberFormat="1" applyFont="1" applyFill="1" applyBorder="1" applyAlignment="1">
      <alignment horizontal="centerContinuous" vertical="center" wrapText="1"/>
    </xf>
    <xf numFmtId="3" fontId="46" fillId="6" borderId="21" xfId="61" applyNumberFormat="1" applyFont="1" applyFill="1" applyBorder="1" applyAlignment="1">
      <alignment horizontal="center" vertical="center" wrapText="1"/>
    </xf>
    <xf numFmtId="3" fontId="46" fillId="6" borderId="13" xfId="61" applyNumberFormat="1" applyFont="1" applyFill="1" applyBorder="1" applyAlignment="1">
      <alignment horizontal="center" vertical="center" wrapText="1"/>
    </xf>
    <xf numFmtId="3" fontId="53" fillId="0" borderId="1" xfId="68" applyNumberFormat="1" applyFont="1" applyFill="1" applyBorder="1" applyAlignment="1" applyProtection="1">
      <alignment horizontal="center" vertical="center" readingOrder="1"/>
      <protection locked="0"/>
    </xf>
    <xf numFmtId="3" fontId="51" fillId="3" borderId="1" xfId="16" applyNumberFormat="1" applyFont="1" applyFill="1" applyBorder="1" applyAlignment="1" applyProtection="1">
      <alignment horizontal="center"/>
    </xf>
    <xf numFmtId="3" fontId="51" fillId="3" borderId="48" xfId="16" applyNumberFormat="1" applyFont="1" applyFill="1" applyBorder="1" applyAlignment="1" applyProtection="1">
      <alignment horizontal="center"/>
    </xf>
    <xf numFmtId="3" fontId="48" fillId="0" borderId="9" xfId="61" applyNumberFormat="1" applyFont="1" applyBorder="1"/>
    <xf numFmtId="3" fontId="48" fillId="0" borderId="10" xfId="61" applyNumberFormat="1" applyFont="1" applyBorder="1"/>
    <xf numFmtId="3" fontId="46" fillId="0" borderId="9" xfId="61" applyNumberFormat="1" applyFont="1" applyBorder="1"/>
    <xf numFmtId="3" fontId="46" fillId="0" borderId="10" xfId="61" applyNumberFormat="1" applyFont="1" applyBorder="1"/>
    <xf numFmtId="3" fontId="46" fillId="0" borderId="9" xfId="61" applyNumberFormat="1" applyFont="1" applyBorder="1" applyAlignment="1">
      <alignment horizontal="center" wrapText="1"/>
    </xf>
    <xf numFmtId="3" fontId="46" fillId="6" borderId="21" xfId="75" applyNumberFormat="1" applyFont="1" applyFill="1" applyBorder="1" applyAlignment="1">
      <alignment horizontal="center" vertical="center" wrapText="1"/>
    </xf>
    <xf numFmtId="3" fontId="46" fillId="6" borderId="6" xfId="75" applyNumberFormat="1" applyFont="1" applyFill="1" applyBorder="1" applyAlignment="1">
      <alignment horizontal="center" vertical="center" wrapText="1"/>
    </xf>
    <xf numFmtId="3" fontId="46" fillId="2" borderId="7" xfId="75" applyNumberFormat="1" applyFont="1" applyFill="1" applyBorder="1" applyAlignment="1">
      <alignment horizontal="center" vertical="center" wrapText="1"/>
    </xf>
    <xf numFmtId="3" fontId="46" fillId="6" borderId="13" xfId="75" applyNumberFormat="1" applyFont="1" applyFill="1" applyBorder="1" applyAlignment="1">
      <alignment horizontal="center" vertical="center" wrapText="1"/>
    </xf>
    <xf numFmtId="3" fontId="46" fillId="2" borderId="15" xfId="75" applyNumberFormat="1" applyFont="1" applyFill="1" applyBorder="1" applyAlignment="1">
      <alignment horizontal="center" vertical="center" wrapText="1"/>
    </xf>
    <xf numFmtId="3" fontId="53" fillId="4" borderId="1" xfId="68" applyNumberFormat="1" applyFont="1" applyFill="1" applyBorder="1" applyAlignment="1" applyProtection="1">
      <alignment horizontal="center"/>
    </xf>
    <xf numFmtId="3" fontId="46" fillId="2" borderId="21" xfId="61" applyNumberFormat="1" applyFont="1" applyFill="1" applyBorder="1" applyAlignment="1">
      <alignment horizontal="center" vertical="center" wrapText="1"/>
    </xf>
    <xf numFmtId="3" fontId="46" fillId="2" borderId="7" xfId="61" applyNumberFormat="1" applyFont="1" applyFill="1" applyBorder="1" applyAlignment="1">
      <alignment horizontal="center" vertical="center" wrapText="1"/>
    </xf>
    <xf numFmtId="3" fontId="46" fillId="2" borderId="45" xfId="61" applyNumberFormat="1" applyFont="1" applyFill="1" applyBorder="1" applyAlignment="1">
      <alignment horizontal="center" vertical="center" wrapText="1"/>
    </xf>
    <xf numFmtId="3" fontId="46" fillId="2" borderId="13" xfId="61" applyNumberFormat="1" applyFont="1" applyFill="1" applyBorder="1" applyAlignment="1">
      <alignment horizontal="center" vertical="center" wrapText="1"/>
    </xf>
    <xf numFmtId="3" fontId="46" fillId="2" borderId="15" xfId="61" applyNumberFormat="1" applyFont="1" applyFill="1" applyBorder="1" applyAlignment="1">
      <alignment horizontal="center" vertical="center" wrapText="1"/>
    </xf>
    <xf numFmtId="3" fontId="46" fillId="6" borderId="7" xfId="77" applyNumberFormat="1" applyFont="1" applyFill="1" applyBorder="1" applyAlignment="1">
      <alignment horizontal="center" vertical="center" wrapText="1"/>
    </xf>
    <xf numFmtId="3" fontId="46" fillId="0" borderId="0" xfId="76" applyNumberFormat="1" applyFont="1"/>
    <xf numFmtId="3" fontId="46" fillId="2" borderId="13" xfId="76" applyNumberFormat="1" applyFont="1" applyFill="1" applyBorder="1" applyAlignment="1">
      <alignment horizontal="center" vertical="center" wrapText="1"/>
    </xf>
    <xf numFmtId="3" fontId="46" fillId="6" borderId="15" xfId="77" applyNumberFormat="1" applyFont="1" applyFill="1" applyBorder="1" applyAlignment="1">
      <alignment horizontal="center" vertical="center" wrapText="1"/>
    </xf>
    <xf numFmtId="3" fontId="53" fillId="4" borderId="1" xfId="10" applyNumberFormat="1" applyFont="1" applyFill="1" applyBorder="1" applyAlignment="1" applyProtection="1">
      <alignment horizontal="center"/>
    </xf>
    <xf numFmtId="3" fontId="51" fillId="4" borderId="1" xfId="78" applyNumberFormat="1" applyFont="1" applyFill="1" applyBorder="1" applyAlignment="1" applyProtection="1">
      <alignment horizontal="center"/>
    </xf>
    <xf numFmtId="3" fontId="57" fillId="0" borderId="20" xfId="6" applyNumberFormat="1" applyFont="1" applyBorder="1"/>
    <xf numFmtId="3" fontId="57" fillId="0" borderId="12" xfId="6" applyNumberFormat="1" applyFont="1" applyBorder="1"/>
    <xf numFmtId="3" fontId="57" fillId="2" borderId="0" xfId="6" applyNumberFormat="1" applyFont="1" applyFill="1"/>
    <xf numFmtId="3" fontId="46" fillId="6" borderId="21" xfId="77" applyNumberFormat="1" applyFont="1" applyFill="1" applyBorder="1" applyAlignment="1">
      <alignment horizontal="center" vertical="center" wrapText="1"/>
    </xf>
    <xf numFmtId="3" fontId="54" fillId="8" borderId="21" xfId="76" applyNumberFormat="1" applyFont="1" applyFill="1" applyBorder="1" applyAlignment="1">
      <alignment horizontal="center" vertical="center" wrapText="1"/>
    </xf>
    <xf numFmtId="3" fontId="46" fillId="6" borderId="13" xfId="77" applyNumberFormat="1" applyFont="1" applyFill="1" applyBorder="1" applyAlignment="1">
      <alignment horizontal="center" vertical="center" wrapText="1"/>
    </xf>
    <xf numFmtId="3" fontId="74" fillId="0" borderId="0" xfId="76" applyNumberFormat="1" applyFont="1" applyAlignment="1">
      <alignment horizontal="right" vertical="center"/>
    </xf>
    <xf numFmtId="3" fontId="48" fillId="0" borderId="0" xfId="76" applyNumberFormat="1" applyFont="1" applyAlignment="1">
      <alignment horizontal="center" vertical="center"/>
    </xf>
    <xf numFmtId="3" fontId="48" fillId="0" borderId="48" xfId="76" applyNumberFormat="1" applyFont="1" applyBorder="1" applyAlignment="1">
      <alignment horizontal="center" vertical="center"/>
    </xf>
    <xf numFmtId="3" fontId="46" fillId="6" borderId="14" xfId="77" applyNumberFormat="1" applyFont="1" applyFill="1" applyBorder="1" applyAlignment="1">
      <alignment horizontal="center" vertical="center" wrapText="1"/>
    </xf>
    <xf numFmtId="3" fontId="58" fillId="0" borderId="0" xfId="76" applyNumberFormat="1" applyFont="1"/>
    <xf numFmtId="3" fontId="58" fillId="0" borderId="1" xfId="76" applyNumberFormat="1" applyFont="1" applyBorder="1"/>
    <xf numFmtId="3" fontId="48" fillId="0" borderId="0" xfId="55" applyNumberFormat="1" applyFont="1"/>
    <xf numFmtId="3" fontId="54" fillId="8" borderId="21" xfId="55" applyNumberFormat="1" applyFont="1" applyFill="1" applyBorder="1" applyAlignment="1">
      <alignment horizontal="center" vertical="center" wrapText="1"/>
    </xf>
    <xf numFmtId="3" fontId="46" fillId="0" borderId="0" xfId="55" applyNumberFormat="1" applyFont="1"/>
    <xf numFmtId="3" fontId="46" fillId="2" borderId="13" xfId="55" applyNumberFormat="1" applyFont="1" applyFill="1" applyBorder="1" applyAlignment="1">
      <alignment horizontal="center" vertical="center" wrapText="1"/>
    </xf>
    <xf numFmtId="3" fontId="51" fillId="4" borderId="1" xfId="66" applyNumberFormat="1" applyFont="1" applyFill="1" applyBorder="1" applyAlignment="1" applyProtection="1">
      <alignment horizontal="center"/>
    </xf>
    <xf numFmtId="3" fontId="46" fillId="2" borderId="13" xfId="77" applyNumberFormat="1" applyFont="1" applyFill="1" applyBorder="1" applyAlignment="1">
      <alignment horizontal="center" vertical="center" wrapText="1"/>
    </xf>
    <xf numFmtId="3" fontId="53" fillId="0" borderId="43" xfId="16" applyNumberFormat="1" applyFont="1" applyFill="1" applyBorder="1" applyAlignment="1" applyProtection="1">
      <alignment horizontal="center" vertical="center" wrapText="1" readingOrder="1"/>
      <protection locked="0"/>
    </xf>
    <xf numFmtId="3" fontId="53" fillId="0" borderId="43" xfId="16" applyNumberFormat="1" applyFont="1" applyFill="1" applyBorder="1" applyAlignment="1" applyProtection="1">
      <alignment horizontal="center" vertical="center" readingOrder="1"/>
      <protection locked="0"/>
    </xf>
    <xf numFmtId="3" fontId="46" fillId="6" borderId="28" xfId="77" applyNumberFormat="1" applyFont="1" applyFill="1" applyBorder="1" applyAlignment="1">
      <alignment horizontal="center" vertical="center" wrapText="1"/>
    </xf>
    <xf numFmtId="3" fontId="46" fillId="6" borderId="49" xfId="74" applyNumberFormat="1" applyFont="1" applyFill="1" applyBorder="1" applyAlignment="1">
      <alignment horizontal="center" vertical="center" wrapText="1"/>
    </xf>
    <xf numFmtId="3" fontId="46" fillId="6" borderId="49" xfId="77" applyNumberFormat="1" applyFont="1" applyFill="1" applyBorder="1" applyAlignment="1">
      <alignment horizontal="center" vertical="center" wrapText="1"/>
    </xf>
    <xf numFmtId="3" fontId="49" fillId="6" borderId="3" xfId="13" applyNumberFormat="1" applyFont="1" applyFill="1" applyBorder="1" applyAlignment="1">
      <alignment horizontal="centerContinuous" vertical="center" wrapText="1"/>
    </xf>
    <xf numFmtId="3" fontId="49" fillId="6" borderId="4" xfId="13" applyNumberFormat="1" applyFont="1" applyFill="1" applyBorder="1" applyAlignment="1">
      <alignment horizontal="centerContinuous" vertical="center" wrapText="1"/>
    </xf>
    <xf numFmtId="3" fontId="53" fillId="5" borderId="43" xfId="83" applyNumberFormat="1" applyFont="1" applyFill="1" applyBorder="1" applyAlignment="1" applyProtection="1">
      <alignment horizontal="right" vertical="center" readingOrder="2"/>
      <protection locked="0"/>
    </xf>
    <xf numFmtId="9" fontId="48" fillId="0" borderId="0" xfId="0" applyNumberFormat="1" applyFont="1"/>
    <xf numFmtId="164" fontId="53" fillId="3" borderId="14" xfId="16" applyNumberFormat="1" applyFont="1" applyFill="1" applyBorder="1" applyAlignment="1" applyProtection="1">
      <alignment horizontal="center"/>
    </xf>
    <xf numFmtId="3" fontId="46" fillId="2" borderId="24" xfId="13" applyNumberFormat="1" applyFont="1" applyFill="1" applyBorder="1" applyAlignment="1">
      <alignment horizontal="center" vertical="center" wrapText="1"/>
    </xf>
    <xf numFmtId="3" fontId="48" fillId="3" borderId="79" xfId="1" applyNumberFormat="1" applyFont="1" applyFill="1" applyBorder="1" applyAlignment="1" applyProtection="1">
      <alignment horizontal="center" vertical="center" wrapText="1"/>
    </xf>
    <xf numFmtId="164" fontId="53" fillId="3" borderId="21" xfId="16" applyNumberFormat="1" applyFont="1" applyFill="1" applyBorder="1" applyAlignment="1" applyProtection="1">
      <alignment horizontal="center"/>
    </xf>
    <xf numFmtId="167" fontId="53" fillId="0" borderId="43" xfId="7" applyNumberFormat="1" applyFont="1" applyFill="1" applyBorder="1" applyAlignment="1" applyProtection="1">
      <alignment horizontal="center" vertical="center" readingOrder="1"/>
      <protection locked="0"/>
    </xf>
    <xf numFmtId="0" fontId="19" fillId="0" borderId="0" xfId="322"/>
    <xf numFmtId="0" fontId="48" fillId="0" borderId="0" xfId="322" applyFont="1"/>
    <xf numFmtId="164" fontId="53" fillId="3" borderId="1" xfId="16" applyNumberFormat="1" applyFont="1" applyFill="1" applyBorder="1" applyAlignment="1" applyProtection="1">
      <alignment horizontal="center"/>
    </xf>
    <xf numFmtId="0" fontId="48" fillId="0" borderId="0" xfId="322" applyFont="1" applyAlignment="1">
      <alignment horizontal="center" vertical="center" wrapText="1"/>
    </xf>
    <xf numFmtId="1" fontId="51" fillId="9" borderId="25" xfId="13" applyNumberFormat="1" applyFont="1" applyFill="1" applyBorder="1" applyAlignment="1">
      <alignment horizontal="center" vertical="center" wrapText="1"/>
    </xf>
    <xf numFmtId="174" fontId="46" fillId="2" borderId="14" xfId="13" applyFont="1" applyFill="1" applyBorder="1" applyAlignment="1">
      <alignment vertical="center" wrapText="1"/>
    </xf>
    <xf numFmtId="9" fontId="48" fillId="3" borderId="18" xfId="1" applyFont="1" applyFill="1" applyBorder="1" applyAlignment="1" applyProtection="1">
      <alignment horizontal="center" vertical="center" wrapText="1"/>
    </xf>
    <xf numFmtId="3" fontId="46" fillId="2" borderId="6" xfId="13" applyNumberFormat="1" applyFont="1" applyFill="1" applyBorder="1" applyAlignment="1">
      <alignment vertical="center" wrapText="1"/>
    </xf>
    <xf numFmtId="1" fontId="51" fillId="9" borderId="19" xfId="13" applyNumberFormat="1" applyFont="1" applyFill="1" applyBorder="1" applyAlignment="1">
      <alignment horizontal="center" vertical="center" wrapText="1"/>
    </xf>
    <xf numFmtId="9" fontId="48" fillId="4" borderId="22" xfId="1" applyFont="1" applyFill="1" applyBorder="1" applyAlignment="1" applyProtection="1">
      <alignment horizontal="center" vertical="center" wrapText="1" readingOrder="2"/>
    </xf>
    <xf numFmtId="3" fontId="49" fillId="6" borderId="2" xfId="13" applyNumberFormat="1" applyFont="1" applyFill="1" applyBorder="1" applyAlignment="1">
      <alignment horizontal="centerContinuous" vertical="center" wrapText="1"/>
    </xf>
    <xf numFmtId="2" fontId="48" fillId="0" borderId="0" xfId="0" applyNumberFormat="1" applyFont="1" applyAlignment="1">
      <alignment horizontal="center" vertical="center"/>
    </xf>
    <xf numFmtId="2" fontId="48" fillId="0" borderId="0" xfId="0" applyNumberFormat="1" applyFont="1"/>
    <xf numFmtId="4" fontId="48" fillId="0" borderId="0" xfId="0" applyNumberFormat="1" applyFont="1"/>
    <xf numFmtId="3" fontId="46" fillId="2" borderId="46" xfId="13" applyNumberFormat="1" applyFont="1" applyFill="1" applyBorder="1" applyAlignment="1">
      <alignment horizontal="center" vertical="center" wrapText="1"/>
    </xf>
    <xf numFmtId="3" fontId="52" fillId="2" borderId="42" xfId="13" applyNumberFormat="1" applyFont="1" applyFill="1" applyBorder="1" applyAlignment="1">
      <alignment horizontal="center" vertical="center" wrapText="1"/>
    </xf>
    <xf numFmtId="3" fontId="49" fillId="6" borderId="27" xfId="13" applyNumberFormat="1" applyFont="1" applyFill="1" applyBorder="1" applyAlignment="1">
      <alignment horizontal="centerContinuous" vertical="center" wrapText="1"/>
    </xf>
    <xf numFmtId="3" fontId="49" fillId="6" borderId="46" xfId="13" applyNumberFormat="1" applyFont="1" applyFill="1" applyBorder="1" applyAlignment="1">
      <alignment horizontal="centerContinuous" vertical="center" wrapText="1"/>
    </xf>
    <xf numFmtId="3" fontId="49" fillId="6" borderId="19" xfId="13" applyNumberFormat="1" applyFont="1" applyFill="1" applyBorder="1" applyAlignment="1">
      <alignment horizontal="centerContinuous" vertical="center" wrapText="1"/>
    </xf>
    <xf numFmtId="3" fontId="48" fillId="0" borderId="3" xfId="0" applyNumberFormat="1" applyFont="1" applyBorder="1" applyAlignment="1">
      <alignment horizontal="center" vertical="center" wrapText="1"/>
    </xf>
    <xf numFmtId="10" fontId="53" fillId="4" borderId="1" xfId="83" applyNumberFormat="1" applyFont="1" applyFill="1" applyBorder="1" applyAlignment="1" applyProtection="1">
      <alignment horizontal="center" vertical="center" readingOrder="2"/>
    </xf>
    <xf numFmtId="10" fontId="53" fillId="4" borderId="1" xfId="14" applyNumberFormat="1" applyFont="1" applyFill="1" applyBorder="1" applyAlignment="1" applyProtection="1">
      <alignment horizontal="center" vertical="center"/>
    </xf>
    <xf numFmtId="10" fontId="51" fillId="3" borderId="50" xfId="10" applyNumberFormat="1" applyFont="1" applyFill="1" applyBorder="1" applyAlignment="1" applyProtection="1">
      <alignment horizontal="center" vertical="center"/>
    </xf>
    <xf numFmtId="1" fontId="53" fillId="0" borderId="43" xfId="16" applyNumberFormat="1" applyFont="1" applyFill="1" applyBorder="1" applyAlignment="1" applyProtection="1">
      <alignment horizontal="center" vertical="center" wrapText="1" readingOrder="1"/>
      <protection locked="0"/>
    </xf>
    <xf numFmtId="1" fontId="51" fillId="4" borderId="21" xfId="6" applyNumberFormat="1" applyFont="1" applyFill="1" applyBorder="1" applyAlignment="1">
      <alignment horizontal="right" vertical="center" wrapText="1"/>
    </xf>
    <xf numFmtId="1" fontId="51" fillId="4" borderId="13" xfId="6" applyNumberFormat="1" applyFont="1" applyFill="1" applyBorder="1" applyAlignment="1">
      <alignment horizontal="right" vertical="center" wrapText="1"/>
    </xf>
    <xf numFmtId="3" fontId="53" fillId="4" borderId="1" xfId="83" applyNumberFormat="1" applyFont="1" applyFill="1" applyBorder="1" applyAlignment="1" applyProtection="1">
      <alignment horizontal="right" vertical="center" wrapText="1" readingOrder="2"/>
    </xf>
    <xf numFmtId="3" fontId="53" fillId="4" borderId="43" xfId="83" applyNumberFormat="1" applyFont="1" applyFill="1" applyBorder="1" applyAlignment="1" applyProtection="1">
      <alignment horizontal="right" vertical="center" wrapText="1" readingOrder="2"/>
    </xf>
    <xf numFmtId="10" fontId="53" fillId="4" borderId="55" xfId="83" applyNumberFormat="1" applyFont="1" applyFill="1" applyBorder="1" applyAlignment="1" applyProtection="1">
      <alignment horizontal="center" vertical="center" readingOrder="2"/>
    </xf>
    <xf numFmtId="10" fontId="53" fillId="4" borderId="43" xfId="83" applyNumberFormat="1" applyFont="1" applyFill="1" applyBorder="1" applyAlignment="1" applyProtection="1">
      <alignment horizontal="center" vertical="center" readingOrder="2"/>
    </xf>
    <xf numFmtId="3" fontId="46" fillId="6" borderId="14" xfId="13" applyNumberFormat="1" applyFont="1" applyFill="1" applyBorder="1" applyAlignment="1">
      <alignment horizontal="center" vertical="center" wrapText="1"/>
    </xf>
    <xf numFmtId="3" fontId="0" fillId="0" borderId="0" xfId="0" applyNumberFormat="1"/>
    <xf numFmtId="10" fontId="53" fillId="37" borderId="1" xfId="96" applyNumberFormat="1" applyFont="1" applyFill="1" applyBorder="1" applyAlignment="1" applyProtection="1">
      <alignment horizontal="center"/>
    </xf>
    <xf numFmtId="10" fontId="46" fillId="0" borderId="0" xfId="55" applyNumberFormat="1" applyFont="1"/>
    <xf numFmtId="3" fontId="53" fillId="4" borderId="43" xfId="83" applyNumberFormat="1" applyFont="1" applyFill="1" applyBorder="1" applyAlignment="1" applyProtection="1">
      <alignment horizontal="right" vertical="center" wrapText="1" readingOrder="2"/>
      <protection locked="0"/>
    </xf>
    <xf numFmtId="3" fontId="48" fillId="0" borderId="0" xfId="0" quotePrefix="1" applyNumberFormat="1" applyFont="1" applyAlignment="1">
      <alignment wrapText="1"/>
    </xf>
    <xf numFmtId="3" fontId="53" fillId="0" borderId="0" xfId="6" applyNumberFormat="1" applyFont="1" applyAlignment="1">
      <alignment wrapText="1"/>
    </xf>
    <xf numFmtId="3" fontId="53" fillId="4" borderId="1" xfId="14" applyNumberFormat="1" applyFont="1" applyFill="1" applyBorder="1" applyAlignment="1" applyProtection="1">
      <alignment horizontal="center" vertical="center"/>
      <protection locked="0"/>
    </xf>
    <xf numFmtId="3" fontId="48" fillId="0" borderId="0" xfId="76" applyNumberFormat="1" applyFont="1" applyAlignment="1">
      <alignment horizontal="center"/>
    </xf>
    <xf numFmtId="3" fontId="48" fillId="0" borderId="102" xfId="0" applyNumberFormat="1" applyFont="1" applyBorder="1" applyAlignment="1">
      <alignment horizontal="center"/>
    </xf>
    <xf numFmtId="3" fontId="48" fillId="0" borderId="102" xfId="0" applyNumberFormat="1" applyFont="1" applyBorder="1" applyAlignment="1">
      <alignment horizontal="right"/>
    </xf>
    <xf numFmtId="3" fontId="43" fillId="0" borderId="102" xfId="0" applyNumberFormat="1" applyFont="1" applyBorder="1" applyAlignment="1">
      <alignment horizontal="centerContinuous" vertical="center" wrapText="1"/>
    </xf>
    <xf numFmtId="49" fontId="53" fillId="4" borderId="101" xfId="83" applyNumberFormat="1" applyFont="1" applyFill="1" applyBorder="1" applyAlignment="1" applyProtection="1">
      <alignment horizontal="right" vertical="center" readingOrder="2"/>
    </xf>
    <xf numFmtId="3" fontId="53" fillId="4" borderId="101" xfId="83" applyNumberFormat="1" applyFont="1" applyFill="1" applyBorder="1" applyAlignment="1" applyProtection="1">
      <alignment horizontal="right" vertical="center" wrapText="1" readingOrder="2"/>
    </xf>
    <xf numFmtId="3" fontId="53" fillId="4" borderId="101" xfId="83" applyNumberFormat="1" applyFont="1" applyFill="1" applyBorder="1" applyAlignment="1" applyProtection="1">
      <alignment horizontal="center" vertical="center" readingOrder="2"/>
      <protection locked="0"/>
    </xf>
    <xf numFmtId="4" fontId="53" fillId="4" borderId="101" xfId="83" applyNumberFormat="1" applyFont="1" applyFill="1" applyBorder="1" applyAlignment="1" applyProtection="1">
      <alignment horizontal="center" vertical="center" readingOrder="2"/>
      <protection locked="0"/>
    </xf>
    <xf numFmtId="4" fontId="53" fillId="4" borderId="101" xfId="83" applyNumberFormat="1" applyFont="1" applyFill="1" applyBorder="1" applyAlignment="1" applyProtection="1">
      <alignment horizontal="center" vertical="center" readingOrder="2"/>
    </xf>
    <xf numFmtId="10" fontId="53" fillId="4" borderId="104" xfId="83" applyNumberFormat="1" applyFont="1" applyFill="1" applyBorder="1" applyAlignment="1" applyProtection="1">
      <alignment horizontal="center" vertical="center" readingOrder="2"/>
    </xf>
    <xf numFmtId="3" fontId="53" fillId="4" borderId="101" xfId="83" applyNumberFormat="1" applyFont="1" applyFill="1" applyBorder="1" applyAlignment="1" applyProtection="1">
      <alignment horizontal="right" vertical="center" readingOrder="2"/>
    </xf>
    <xf numFmtId="3" fontId="57" fillId="0" borderId="105" xfId="13" applyNumberFormat="1" applyFont="1" applyBorder="1"/>
    <xf numFmtId="9" fontId="46" fillId="6" borderId="106" xfId="10" applyFont="1" applyFill="1" applyBorder="1" applyAlignment="1" applyProtection="1">
      <alignment horizontal="center" vertical="center" wrapText="1"/>
    </xf>
    <xf numFmtId="167" fontId="46" fillId="6" borderId="107" xfId="10" applyNumberFormat="1" applyFont="1" applyFill="1" applyBorder="1" applyAlignment="1" applyProtection="1">
      <alignment horizontal="center" vertical="center" wrapText="1"/>
    </xf>
    <xf numFmtId="164" fontId="53" fillId="3" borderId="106" xfId="16" applyNumberFormat="1" applyFont="1" applyFill="1" applyBorder="1" applyAlignment="1" applyProtection="1">
      <alignment horizontal="center" vertical="center"/>
    </xf>
    <xf numFmtId="1" fontId="53" fillId="4" borderId="105" xfId="6" applyNumberFormat="1" applyFont="1" applyFill="1" applyBorder="1" applyAlignment="1">
      <alignment horizontal="center"/>
    </xf>
    <xf numFmtId="3" fontId="51" fillId="4" borderId="106" xfId="10" applyNumberFormat="1" applyFont="1" applyFill="1" applyBorder="1" applyAlignment="1" applyProtection="1">
      <alignment horizontal="center"/>
    </xf>
    <xf numFmtId="10" fontId="51" fillId="4" borderId="106" xfId="10" applyNumberFormat="1" applyFont="1" applyFill="1" applyBorder="1" applyAlignment="1" applyProtection="1">
      <alignment horizontal="center"/>
    </xf>
    <xf numFmtId="3" fontId="47" fillId="4" borderId="106" xfId="68" applyNumberFormat="1" applyFont="1" applyFill="1" applyBorder="1" applyAlignment="1" applyProtection="1">
      <alignment horizontal="center"/>
    </xf>
    <xf numFmtId="10" fontId="47" fillId="4" borderId="106" xfId="68" applyNumberFormat="1" applyFont="1" applyFill="1" applyBorder="1" applyAlignment="1" applyProtection="1">
      <alignment horizontal="center"/>
    </xf>
    <xf numFmtId="10" fontId="51" fillId="3" borderId="106" xfId="10" applyNumberFormat="1" applyFont="1" applyFill="1" applyBorder="1" applyAlignment="1" applyProtection="1">
      <alignment horizontal="center"/>
    </xf>
    <xf numFmtId="164" fontId="51" fillId="3" borderId="107" xfId="16" applyNumberFormat="1" applyFont="1" applyFill="1" applyBorder="1" applyAlignment="1" applyProtection="1">
      <alignment horizontal="center"/>
    </xf>
    <xf numFmtId="10" fontId="51" fillId="3" borderId="99" xfId="10" applyNumberFormat="1" applyFont="1" applyFill="1" applyBorder="1" applyAlignment="1" applyProtection="1">
      <alignment horizontal="center"/>
    </xf>
    <xf numFmtId="167" fontId="51" fillId="3" borderId="99" xfId="10" applyNumberFormat="1" applyFont="1" applyFill="1" applyBorder="1" applyAlignment="1" applyProtection="1">
      <alignment horizontal="center"/>
    </xf>
    <xf numFmtId="3" fontId="45" fillId="0" borderId="106" xfId="0" applyNumberFormat="1" applyFont="1" applyBorder="1" applyAlignment="1">
      <alignment horizontal="center" vertical="center" wrapText="1"/>
    </xf>
    <xf numFmtId="169" fontId="48" fillId="0" borderId="0" xfId="0" applyNumberFormat="1" applyFont="1" applyAlignment="1">
      <alignment horizontal="center"/>
    </xf>
    <xf numFmtId="3" fontId="49" fillId="6" borderId="108" xfId="0" applyNumberFormat="1" applyFont="1" applyFill="1" applyBorder="1"/>
    <xf numFmtId="17" fontId="49" fillId="35" borderId="108" xfId="0" applyNumberFormat="1" applyFont="1" applyFill="1" applyBorder="1" applyAlignment="1">
      <alignment horizontal="center" vertical="center"/>
    </xf>
    <xf numFmtId="3" fontId="49" fillId="38" borderId="108" xfId="0" applyNumberFormat="1" applyFont="1" applyFill="1" applyBorder="1"/>
    <xf numFmtId="3" fontId="49" fillId="38" borderId="108" xfId="0" applyNumberFormat="1" applyFont="1" applyFill="1" applyBorder="1" applyAlignment="1">
      <alignment horizontal="center"/>
    </xf>
    <xf numFmtId="3" fontId="49" fillId="7" borderId="108" xfId="0" applyNumberFormat="1" applyFont="1" applyFill="1" applyBorder="1" applyAlignment="1">
      <alignment horizontal="center"/>
    </xf>
    <xf numFmtId="3" fontId="48" fillId="5" borderId="108" xfId="0" applyNumberFormat="1" applyFont="1" applyFill="1" applyBorder="1" applyAlignment="1">
      <alignment horizontal="center" vertical="center"/>
    </xf>
    <xf numFmtId="3" fontId="48" fillId="0" borderId="108" xfId="0" applyNumberFormat="1" applyFont="1" applyBorder="1" applyAlignment="1">
      <alignment horizontal="center" vertical="center"/>
    </xf>
    <xf numFmtId="3" fontId="48" fillId="35" borderId="108" xfId="0" applyNumberFormat="1" applyFont="1" applyFill="1" applyBorder="1" applyAlignment="1">
      <alignment horizontal="center" vertical="center"/>
    </xf>
    <xf numFmtId="3" fontId="48" fillId="34" borderId="108" xfId="0" applyNumberFormat="1" applyFont="1" applyFill="1" applyBorder="1" applyAlignment="1">
      <alignment horizontal="center" vertical="center"/>
    </xf>
    <xf numFmtId="3" fontId="46" fillId="0" borderId="108" xfId="0" applyNumberFormat="1" applyFont="1" applyBorder="1" applyAlignment="1">
      <alignment horizontal="center"/>
    </xf>
    <xf numFmtId="14" fontId="48" fillId="3" borderId="108" xfId="0" applyNumberFormat="1" applyFont="1" applyFill="1" applyBorder="1" applyAlignment="1">
      <alignment horizontal="center"/>
    </xf>
    <xf numFmtId="3" fontId="53" fillId="3" borderId="108" xfId="2" applyNumberFormat="1" applyFont="1" applyFill="1" applyBorder="1" applyAlignment="1">
      <alignment horizontal="center" vertical="center"/>
    </xf>
    <xf numFmtId="1" fontId="53" fillId="3" borderId="108" xfId="2" applyNumberFormat="1" applyFont="1" applyFill="1" applyBorder="1" applyAlignment="1">
      <alignment horizontal="center" vertical="center" readingOrder="2"/>
    </xf>
    <xf numFmtId="1" fontId="53" fillId="3" borderId="108" xfId="2" applyNumberFormat="1" applyFont="1" applyFill="1" applyBorder="1" applyAlignment="1">
      <alignment horizontal="center" vertical="center"/>
    </xf>
    <xf numFmtId="3" fontId="48" fillId="0" borderId="108" xfId="0" applyNumberFormat="1" applyFont="1" applyBorder="1" applyAlignment="1">
      <alignment horizontal="center" vertical="center" wrapText="1"/>
    </xf>
    <xf numFmtId="1" fontId="48" fillId="0" borderId="108" xfId="0" applyNumberFormat="1" applyFont="1" applyBorder="1"/>
    <xf numFmtId="9" fontId="48" fillId="0" borderId="108" xfId="0" applyNumberFormat="1" applyFont="1" applyBorder="1" applyAlignment="1">
      <alignment horizontal="center" vertical="center"/>
    </xf>
    <xf numFmtId="3" fontId="48" fillId="0" borderId="108" xfId="0" applyNumberFormat="1" applyFont="1" applyBorder="1"/>
    <xf numFmtId="9" fontId="48" fillId="0" borderId="108" xfId="0" applyNumberFormat="1" applyFont="1" applyBorder="1"/>
    <xf numFmtId="1" fontId="51" fillId="9" borderId="108" xfId="13" applyNumberFormat="1" applyFont="1" applyFill="1" applyBorder="1" applyAlignment="1">
      <alignment horizontal="center" vertical="center" wrapText="1"/>
    </xf>
    <xf numFmtId="1" fontId="48" fillId="4" borderId="108" xfId="1" applyNumberFormat="1" applyFont="1" applyFill="1" applyBorder="1" applyAlignment="1" applyProtection="1">
      <alignment horizontal="center" vertical="center" wrapText="1" readingOrder="2"/>
    </xf>
    <xf numFmtId="4" fontId="48" fillId="3" borderId="108" xfId="1" applyNumberFormat="1" applyFont="1" applyFill="1" applyBorder="1" applyAlignment="1" applyProtection="1">
      <alignment horizontal="center" vertical="center" wrapText="1"/>
    </xf>
    <xf numFmtId="10" fontId="48" fillId="3" borderId="108" xfId="1" applyNumberFormat="1" applyFont="1" applyFill="1" applyBorder="1" applyAlignment="1" applyProtection="1">
      <alignment horizontal="center" vertical="center" wrapText="1"/>
    </xf>
    <xf numFmtId="9" fontId="48" fillId="4" borderId="108" xfId="1" applyFont="1" applyFill="1" applyBorder="1" applyAlignment="1" applyProtection="1">
      <alignment horizontal="center" vertical="center" wrapText="1" readingOrder="2"/>
    </xf>
    <xf numFmtId="3" fontId="48" fillId="3" borderId="108" xfId="1" applyNumberFormat="1" applyFont="1" applyFill="1" applyBorder="1" applyAlignment="1" applyProtection="1">
      <alignment horizontal="center" vertical="center" wrapText="1"/>
    </xf>
    <xf numFmtId="3" fontId="53" fillId="4" borderId="108" xfId="83" applyNumberFormat="1" applyFont="1" applyFill="1" applyBorder="1" applyAlignment="1" applyProtection="1">
      <alignment horizontal="center" vertical="center" readingOrder="2"/>
      <protection locked="0"/>
    </xf>
    <xf numFmtId="1" fontId="53" fillId="4" borderId="108" xfId="83" applyNumberFormat="1" applyFont="1" applyFill="1" applyBorder="1" applyAlignment="1" applyProtection="1">
      <alignment horizontal="center" vertical="center" readingOrder="2"/>
      <protection locked="0"/>
    </xf>
    <xf numFmtId="10" fontId="48" fillId="4" borderId="108" xfId="1" applyNumberFormat="1" applyFont="1" applyFill="1" applyBorder="1" applyAlignment="1" applyProtection="1">
      <alignment horizontal="center" vertical="center" wrapText="1" readingOrder="2"/>
    </xf>
    <xf numFmtId="3" fontId="57" fillId="0" borderId="108" xfId="13" applyNumberFormat="1" applyFont="1" applyBorder="1"/>
    <xf numFmtId="1" fontId="51" fillId="4" borderId="108" xfId="6" applyNumberFormat="1" applyFont="1" applyFill="1" applyBorder="1" applyAlignment="1">
      <alignment horizontal="center"/>
    </xf>
    <xf numFmtId="1" fontId="51" fillId="4" borderId="108" xfId="6" applyNumberFormat="1" applyFont="1" applyFill="1" applyBorder="1" applyAlignment="1">
      <alignment horizontal="right" vertical="center" wrapText="1" readingOrder="2"/>
    </xf>
    <xf numFmtId="10" fontId="53" fillId="3" borderId="108" xfId="10" applyNumberFormat="1" applyFont="1" applyFill="1" applyBorder="1" applyAlignment="1" applyProtection="1">
      <alignment horizontal="center"/>
    </xf>
    <xf numFmtId="10" fontId="51" fillId="3" borderId="108" xfId="10" applyNumberFormat="1" applyFont="1" applyFill="1" applyBorder="1" applyAlignment="1" applyProtection="1">
      <alignment horizontal="center"/>
    </xf>
    <xf numFmtId="167" fontId="51" fillId="3" borderId="108" xfId="14" applyNumberFormat="1" applyFont="1" applyFill="1" applyBorder="1" applyAlignment="1" applyProtection="1">
      <alignment horizontal="center"/>
    </xf>
    <xf numFmtId="1" fontId="51" fillId="4" borderId="108" xfId="6" applyNumberFormat="1" applyFont="1" applyFill="1" applyBorder="1" applyAlignment="1">
      <alignment horizontal="right"/>
    </xf>
    <xf numFmtId="3" fontId="46" fillId="6" borderId="108" xfId="74" applyNumberFormat="1" applyFont="1" applyFill="1" applyBorder="1" applyAlignment="1">
      <alignment horizontal="center" vertical="center" wrapText="1"/>
    </xf>
    <xf numFmtId="3" fontId="61" fillId="5" borderId="108" xfId="6" applyNumberFormat="1" applyFont="1" applyFill="1" applyBorder="1" applyAlignment="1" applyProtection="1">
      <alignment horizontal="center"/>
      <protection locked="0"/>
    </xf>
    <xf numFmtId="10" fontId="53" fillId="4" borderId="108" xfId="1" applyNumberFormat="1" applyFont="1" applyFill="1" applyBorder="1" applyAlignment="1" applyProtection="1">
      <alignment horizontal="center" vertical="center" readingOrder="1"/>
    </xf>
    <xf numFmtId="164" fontId="53" fillId="3" borderId="108" xfId="16" applyNumberFormat="1" applyFont="1" applyFill="1" applyBorder="1" applyAlignment="1" applyProtection="1">
      <alignment horizontal="center" vertical="center"/>
    </xf>
    <xf numFmtId="3" fontId="51" fillId="4" borderId="108" xfId="10" applyNumberFormat="1" applyFont="1" applyFill="1" applyBorder="1" applyAlignment="1" applyProtection="1">
      <alignment horizontal="center"/>
    </xf>
    <xf numFmtId="10" fontId="51" fillId="4" borderId="108" xfId="10" applyNumberFormat="1" applyFont="1" applyFill="1" applyBorder="1" applyAlignment="1" applyProtection="1">
      <alignment horizontal="center"/>
    </xf>
    <xf numFmtId="3" fontId="47" fillId="4" borderId="108" xfId="68" applyNumberFormat="1" applyFont="1" applyFill="1" applyBorder="1" applyAlignment="1" applyProtection="1">
      <alignment horizontal="center"/>
    </xf>
    <xf numFmtId="10" fontId="47" fillId="4" borderId="108" xfId="68" applyNumberFormat="1" applyFont="1" applyFill="1" applyBorder="1" applyAlignment="1" applyProtection="1">
      <alignment horizontal="center"/>
    </xf>
    <xf numFmtId="9" fontId="46" fillId="4" borderId="108" xfId="75" applyNumberFormat="1" applyFont="1" applyFill="1" applyBorder="1" applyAlignment="1">
      <alignment horizontal="center" vertical="center" wrapText="1"/>
    </xf>
    <xf numFmtId="167" fontId="51" fillId="3" borderId="108" xfId="10" applyNumberFormat="1" applyFont="1" applyFill="1" applyBorder="1" applyAlignment="1" applyProtection="1">
      <alignment horizontal="center"/>
    </xf>
    <xf numFmtId="3" fontId="70" fillId="0" borderId="108" xfId="55" applyNumberFormat="1" applyFont="1" applyBorder="1" applyAlignment="1">
      <alignment horizontal="center" vertical="center"/>
    </xf>
    <xf numFmtId="2" fontId="70" fillId="0" borderId="108" xfId="55" applyNumberFormat="1" applyFont="1" applyBorder="1" applyAlignment="1">
      <alignment horizontal="center"/>
    </xf>
    <xf numFmtId="167" fontId="53" fillId="37" borderId="108" xfId="10" applyNumberFormat="1" applyFont="1" applyFill="1" applyBorder="1" applyAlignment="1" applyProtection="1">
      <alignment horizontal="center"/>
    </xf>
    <xf numFmtId="167" fontId="53" fillId="4" borderId="108" xfId="10" applyNumberFormat="1" applyFont="1" applyFill="1" applyBorder="1" applyAlignment="1" applyProtection="1">
      <alignment horizontal="center"/>
    </xf>
    <xf numFmtId="3" fontId="71" fillId="0" borderId="108" xfId="55" applyNumberFormat="1" applyFont="1" applyBorder="1" applyAlignment="1">
      <alignment horizontal="center" vertical="center"/>
    </xf>
    <xf numFmtId="1" fontId="53" fillId="37" borderId="108" xfId="10" applyNumberFormat="1" applyFont="1" applyFill="1" applyBorder="1" applyAlignment="1" applyProtection="1">
      <alignment horizontal="center"/>
    </xf>
    <xf numFmtId="3" fontId="51" fillId="4" borderId="108" xfId="66" applyNumberFormat="1" applyFont="1" applyFill="1" applyBorder="1" applyAlignment="1" applyProtection="1">
      <alignment horizontal="center"/>
    </xf>
    <xf numFmtId="167" fontId="51" fillId="4" borderId="108" xfId="66" applyNumberFormat="1" applyFont="1" applyFill="1" applyBorder="1" applyAlignment="1" applyProtection="1">
      <alignment horizontal="center"/>
    </xf>
    <xf numFmtId="1" fontId="51" fillId="4" borderId="108" xfId="6" applyNumberFormat="1" applyFont="1" applyFill="1" applyBorder="1" applyAlignment="1">
      <alignment horizontal="right" vertical="center"/>
    </xf>
    <xf numFmtId="1" fontId="51" fillId="4" borderId="108" xfId="6" applyNumberFormat="1" applyFont="1" applyFill="1" applyBorder="1" applyAlignment="1">
      <alignment horizontal="right" vertical="center" wrapText="1"/>
    </xf>
    <xf numFmtId="168" fontId="51" fillId="4" borderId="108" xfId="14" applyNumberFormat="1" applyFont="1" applyFill="1" applyBorder="1" applyAlignment="1" applyProtection="1">
      <alignment horizontal="center" vertical="center"/>
    </xf>
    <xf numFmtId="9" fontId="51" fillId="4" borderId="108" xfId="6" applyNumberFormat="1" applyFont="1" applyFill="1" applyBorder="1" applyAlignment="1">
      <alignment horizontal="center" vertical="center"/>
    </xf>
    <xf numFmtId="3" fontId="51" fillId="4" borderId="108" xfId="6" applyNumberFormat="1" applyFont="1" applyFill="1" applyBorder="1" applyAlignment="1">
      <alignment horizontal="center" vertical="center"/>
    </xf>
    <xf numFmtId="3" fontId="79" fillId="2" borderId="43" xfId="83" applyNumberFormat="1" applyFont="1" applyFill="1" applyBorder="1" applyAlignment="1" applyProtection="1">
      <alignment horizontal="right" vertical="center" wrapText="1" readingOrder="2"/>
      <protection locked="0"/>
    </xf>
    <xf numFmtId="3" fontId="53" fillId="0" borderId="43" xfId="16" applyNumberFormat="1" applyFont="1" applyFill="1" applyBorder="1" applyAlignment="1" applyProtection="1">
      <alignment horizontal="right" vertical="top" wrapText="1" readingOrder="1"/>
      <protection locked="0"/>
    </xf>
    <xf numFmtId="1" fontId="46" fillId="6" borderId="14" xfId="13" applyNumberFormat="1" applyFont="1" applyFill="1" applyBorder="1" applyAlignment="1">
      <alignment horizontal="center" vertical="center" wrapText="1"/>
    </xf>
    <xf numFmtId="1" fontId="46" fillId="6" borderId="21" xfId="13" applyNumberFormat="1" applyFont="1" applyFill="1" applyBorder="1" applyAlignment="1">
      <alignment horizontal="center" vertical="center" wrapText="1"/>
    </xf>
    <xf numFmtId="174" fontId="81" fillId="0" borderId="0" xfId="0" applyFont="1"/>
    <xf numFmtId="0" fontId="82" fillId="0" borderId="108" xfId="561" applyFont="1" applyBorder="1" applyAlignment="1" applyProtection="1">
      <alignment horizontal="center" vertical="center"/>
      <protection locked="0"/>
    </xf>
    <xf numFmtId="3" fontId="53" fillId="0" borderId="43" xfId="16" applyNumberFormat="1" applyFont="1" applyFill="1" applyBorder="1" applyAlignment="1" applyProtection="1">
      <alignment horizontal="right" vertical="center" wrapText="1" readingOrder="2"/>
      <protection locked="0"/>
    </xf>
    <xf numFmtId="3" fontId="53" fillId="0" borderId="43" xfId="16" applyNumberFormat="1" applyFont="1" applyFill="1" applyBorder="1" applyAlignment="1" applyProtection="1">
      <alignment horizontal="right" vertical="center" wrapText="1" readingOrder="1"/>
      <protection locked="0"/>
    </xf>
    <xf numFmtId="0" fontId="77" fillId="0" borderId="1" xfId="327" applyFont="1" applyBorder="1" applyAlignment="1" applyProtection="1">
      <alignment horizontal="center" vertical="center"/>
      <protection locked="0"/>
    </xf>
    <xf numFmtId="0" fontId="48" fillId="39" borderId="108" xfId="767" applyFont="1" applyBorder="1" applyAlignment="1" applyProtection="1">
      <alignment horizontal="center" vertical="center"/>
      <protection locked="0"/>
    </xf>
    <xf numFmtId="1" fontId="85" fillId="0" borderId="43" xfId="16" applyNumberFormat="1" applyFont="1" applyFill="1" applyBorder="1" applyAlignment="1" applyProtection="1">
      <alignment horizontal="center" vertical="center" wrapText="1" readingOrder="1"/>
      <protection locked="0"/>
    </xf>
    <xf numFmtId="3" fontId="85" fillId="0" borderId="43" xfId="16" applyNumberFormat="1" applyFont="1" applyFill="1" applyBorder="1" applyAlignment="1" applyProtection="1">
      <alignment horizontal="right" vertical="center" wrapText="1" readingOrder="1"/>
      <protection locked="0"/>
    </xf>
    <xf numFmtId="3" fontId="85" fillId="0" borderId="43" xfId="16" applyNumberFormat="1" applyFont="1" applyFill="1" applyBorder="1" applyAlignment="1" applyProtection="1">
      <alignment horizontal="center" vertical="center" readingOrder="1"/>
      <protection locked="0"/>
    </xf>
    <xf numFmtId="3" fontId="49" fillId="6" borderId="98" xfId="13" applyNumberFormat="1" applyFont="1" applyFill="1" applyBorder="1" applyAlignment="1">
      <alignment horizontal="center" vertical="center" wrapText="1"/>
    </xf>
    <xf numFmtId="175" fontId="56" fillId="5" borderId="8" xfId="0" applyNumberFormat="1" applyFont="1" applyFill="1" applyBorder="1" applyAlignment="1" applyProtection="1">
      <alignment horizontal="center" vertical="center"/>
      <protection locked="0"/>
    </xf>
    <xf numFmtId="1" fontId="53" fillId="3" borderId="10" xfId="2" applyNumberFormat="1" applyFont="1" applyFill="1" applyBorder="1" applyAlignment="1">
      <alignment horizontal="center" vertical="center" readingOrder="2"/>
    </xf>
    <xf numFmtId="3" fontId="53" fillId="3" borderId="13" xfId="2" applyNumberFormat="1" applyFont="1" applyFill="1" applyBorder="1" applyAlignment="1">
      <alignment horizontal="center" vertical="center"/>
    </xf>
    <xf numFmtId="1" fontId="53" fillId="3" borderId="16" xfId="2" applyNumberFormat="1" applyFont="1" applyFill="1" applyBorder="1" applyAlignment="1">
      <alignment horizontal="center" vertical="center" readingOrder="2"/>
    </xf>
    <xf numFmtId="3" fontId="49" fillId="6" borderId="22" xfId="13" applyNumberFormat="1" applyFont="1" applyFill="1" applyBorder="1" applyAlignment="1">
      <alignment horizontal="center" vertical="center" wrapText="1"/>
    </xf>
    <xf numFmtId="167" fontId="56" fillId="5" borderId="16" xfId="0" applyNumberFormat="1" applyFont="1" applyFill="1" applyBorder="1" applyAlignment="1" applyProtection="1">
      <alignment horizontal="center" vertical="center"/>
      <protection locked="0"/>
    </xf>
    <xf numFmtId="174" fontId="54" fillId="8" borderId="46" xfId="6" applyFont="1" applyFill="1" applyBorder="1" applyAlignment="1">
      <alignment horizontal="center"/>
    </xf>
    <xf numFmtId="0" fontId="3" fillId="0" borderId="0" xfId="779"/>
    <xf numFmtId="0" fontId="86" fillId="5" borderId="0" xfId="777" applyNumberFormat="1" applyFont="1" applyFill="1" applyAlignment="1" applyProtection="1">
      <alignment vertical="top"/>
      <protection locked="0"/>
    </xf>
    <xf numFmtId="0" fontId="86" fillId="5" borderId="0" xfId="780" applyNumberFormat="1" applyFont="1" applyFill="1" applyAlignment="1" applyProtection="1">
      <alignment vertical="top"/>
      <protection locked="0"/>
    </xf>
    <xf numFmtId="176" fontId="86" fillId="5" borderId="0" xfId="777" applyNumberFormat="1" applyFont="1" applyFill="1" applyAlignment="1" applyProtection="1">
      <alignment vertical="top"/>
      <protection locked="0"/>
    </xf>
    <xf numFmtId="0" fontId="3" fillId="5" borderId="0" xfId="779" applyFill="1" applyProtection="1">
      <protection locked="0"/>
    </xf>
    <xf numFmtId="3" fontId="46" fillId="35" borderId="108" xfId="206" applyNumberFormat="1" applyFont="1" applyFill="1" applyBorder="1" applyAlignment="1">
      <alignment horizontal="center" vertical="center" wrapText="1"/>
    </xf>
    <xf numFmtId="3" fontId="46" fillId="6" borderId="108" xfId="77" applyNumberFormat="1" applyFont="1" applyFill="1" applyBorder="1" applyAlignment="1">
      <alignment horizontal="center" vertical="center" wrapText="1"/>
    </xf>
    <xf numFmtId="176" fontId="51" fillId="4" borderId="1" xfId="83" applyNumberFormat="1" applyFont="1" applyFill="1" applyBorder="1" applyAlignment="1">
      <alignment horizontal="right" vertical="center"/>
    </xf>
    <xf numFmtId="171" fontId="51" fillId="4" borderId="1" xfId="1" applyNumberFormat="1" applyFont="1" applyFill="1" applyBorder="1" applyAlignment="1">
      <alignment horizontal="right" vertical="center"/>
    </xf>
    <xf numFmtId="0" fontId="51" fillId="4" borderId="21" xfId="14" applyNumberFormat="1" applyFont="1" applyFill="1" applyBorder="1" applyAlignment="1" applyProtection="1">
      <alignment horizontal="center" vertical="center"/>
    </xf>
    <xf numFmtId="0" fontId="51" fillId="4" borderId="108" xfId="14" applyNumberFormat="1" applyFont="1" applyFill="1" applyBorder="1" applyAlignment="1" applyProtection="1">
      <alignment horizontal="center" vertical="center"/>
    </xf>
    <xf numFmtId="0" fontId="51" fillId="4" borderId="13" xfId="14" applyNumberFormat="1" applyFont="1" applyFill="1" applyBorder="1" applyAlignment="1" applyProtection="1">
      <alignment horizontal="center" vertical="center"/>
    </xf>
    <xf numFmtId="171" fontId="51" fillId="4" borderId="21" xfId="1" applyNumberFormat="1" applyFont="1" applyFill="1" applyBorder="1" applyAlignment="1">
      <alignment horizontal="center" vertical="center"/>
    </xf>
    <xf numFmtId="171" fontId="51" fillId="4" borderId="108" xfId="1" applyNumberFormat="1" applyFont="1" applyFill="1" applyBorder="1" applyAlignment="1">
      <alignment horizontal="center" vertical="center"/>
    </xf>
    <xf numFmtId="171" fontId="51" fillId="4" borderId="13" xfId="1" applyNumberFormat="1" applyFont="1" applyFill="1" applyBorder="1" applyAlignment="1">
      <alignment horizontal="center" vertical="center"/>
    </xf>
    <xf numFmtId="3" fontId="53" fillId="0" borderId="26" xfId="6" applyNumberFormat="1" applyFont="1" applyBorder="1" applyAlignment="1">
      <alignment wrapText="1"/>
    </xf>
    <xf numFmtId="0" fontId="61" fillId="43" borderId="108" xfId="781" applyFont="1" applyFill="1" applyBorder="1" applyAlignment="1">
      <alignment horizontal="center" vertical="center" wrapText="1"/>
    </xf>
    <xf numFmtId="0" fontId="87" fillId="44" borderId="108" xfId="782" applyFont="1" applyFill="1" applyBorder="1" applyAlignment="1">
      <alignment horizontal="center" vertical="center" wrapText="1"/>
    </xf>
    <xf numFmtId="0" fontId="2" fillId="0" borderId="0" xfId="781"/>
    <xf numFmtId="0" fontId="57" fillId="0" borderId="108" xfId="781" applyFont="1" applyBorder="1"/>
    <xf numFmtId="176" fontId="57" fillId="0" borderId="108" xfId="783" applyNumberFormat="1" applyFont="1" applyFill="1" applyBorder="1"/>
    <xf numFmtId="166" fontId="57" fillId="0" borderId="108" xfId="783" applyFont="1" applyFill="1" applyBorder="1"/>
    <xf numFmtId="0" fontId="57" fillId="0" borderId="108" xfId="781" applyFont="1" applyBorder="1" applyAlignment="1">
      <alignment horizontal="right"/>
    </xf>
    <xf numFmtId="0" fontId="57" fillId="35" borderId="108" xfId="781" applyFont="1" applyFill="1" applyBorder="1"/>
    <xf numFmtId="176" fontId="57" fillId="35" borderId="108" xfId="783" applyNumberFormat="1" applyFont="1" applyFill="1" applyBorder="1"/>
    <xf numFmtId="3" fontId="53" fillId="5" borderId="1" xfId="83" applyNumberFormat="1" applyFont="1" applyFill="1" applyBorder="1" applyAlignment="1" applyProtection="1">
      <alignment horizontal="center" vertical="center" readingOrder="2"/>
    </xf>
    <xf numFmtId="176" fontId="53" fillId="4" borderId="1" xfId="83" applyNumberFormat="1" applyFont="1" applyFill="1" applyBorder="1" applyAlignment="1" applyProtection="1">
      <alignment horizontal="center" vertical="center" readingOrder="1"/>
    </xf>
    <xf numFmtId="3" fontId="46" fillId="35" borderId="21" xfId="74" applyNumberFormat="1" applyFont="1" applyFill="1" applyBorder="1" applyAlignment="1">
      <alignment horizontal="center" vertical="center" wrapText="1"/>
    </xf>
    <xf numFmtId="3" fontId="46" fillId="35" borderId="13" xfId="74" applyNumberFormat="1" applyFont="1" applyFill="1" applyBorder="1" applyAlignment="1">
      <alignment horizontal="center" vertical="center" wrapText="1"/>
    </xf>
    <xf numFmtId="1" fontId="53" fillId="45" borderId="43" xfId="83" applyNumberFormat="1" applyFont="1" applyFill="1" applyBorder="1" applyAlignment="1" applyProtection="1">
      <alignment horizontal="right" vertical="center" readingOrder="2"/>
      <protection locked="0"/>
    </xf>
    <xf numFmtId="3" fontId="53" fillId="45" borderId="43" xfId="83" applyNumberFormat="1" applyFont="1" applyFill="1" applyBorder="1" applyAlignment="1" applyProtection="1">
      <alignment horizontal="right" vertical="center" readingOrder="2"/>
      <protection locked="0"/>
    </xf>
    <xf numFmtId="3" fontId="83" fillId="45" borderId="43" xfId="768" applyNumberFormat="1" applyFill="1" applyBorder="1" applyAlignment="1" applyProtection="1">
      <alignment horizontal="right" vertical="center" readingOrder="2"/>
      <protection locked="0"/>
    </xf>
    <xf numFmtId="1" fontId="84" fillId="45" borderId="109" xfId="769" applyNumberFormat="1" applyFont="1" applyFill="1" applyAlignment="1" applyProtection="1">
      <alignment horizontal="right" vertical="center" readingOrder="2"/>
      <protection locked="0"/>
    </xf>
    <xf numFmtId="3" fontId="78" fillId="45" borderId="43" xfId="83" applyNumberFormat="1" applyFont="1" applyFill="1" applyBorder="1" applyAlignment="1" applyProtection="1">
      <alignment horizontal="right" vertical="center" readingOrder="2"/>
      <protection locked="0"/>
    </xf>
    <xf numFmtId="3" fontId="53" fillId="45" borderId="43" xfId="83" applyNumberFormat="1" applyFont="1" applyFill="1" applyBorder="1" applyAlignment="1" applyProtection="1">
      <alignment horizontal="right" vertical="center" wrapText="1" readingOrder="2"/>
      <protection locked="0"/>
    </xf>
    <xf numFmtId="3" fontId="1" fillId="45" borderId="43" xfId="768" applyNumberFormat="1" applyFont="1" applyFill="1" applyBorder="1" applyAlignment="1" applyProtection="1">
      <alignment horizontal="right" vertical="center" readingOrder="2"/>
      <protection locked="0"/>
    </xf>
    <xf numFmtId="3" fontId="48" fillId="2" borderId="43" xfId="83" applyNumberFormat="1" applyFont="1" applyFill="1" applyBorder="1" applyAlignment="1" applyProtection="1">
      <alignment horizontal="right" vertical="center" wrapText="1" readingOrder="2"/>
      <protection locked="0"/>
    </xf>
    <xf numFmtId="3" fontId="48" fillId="4" borderId="43" xfId="83" applyNumberFormat="1" applyFont="1" applyFill="1" applyBorder="1" applyAlignment="1" applyProtection="1">
      <alignment horizontal="center" vertical="center" readingOrder="2"/>
    </xf>
    <xf numFmtId="49" fontId="48" fillId="4" borderId="43" xfId="83" applyNumberFormat="1" applyFont="1" applyFill="1" applyBorder="1" applyAlignment="1" applyProtection="1">
      <alignment horizontal="right" vertical="center" readingOrder="2"/>
    </xf>
    <xf numFmtId="3" fontId="48" fillId="4" borderId="43" xfId="83" applyNumberFormat="1" applyFont="1" applyFill="1" applyBorder="1" applyAlignment="1" applyProtection="1">
      <alignment horizontal="right" vertical="center" readingOrder="2"/>
    </xf>
    <xf numFmtId="4" fontId="48" fillId="4" borderId="43" xfId="83" applyNumberFormat="1" applyFont="1" applyFill="1" applyBorder="1" applyAlignment="1" applyProtection="1">
      <alignment horizontal="center" vertical="center" readingOrder="2"/>
    </xf>
    <xf numFmtId="2" fontId="48" fillId="4" borderId="43" xfId="83" applyNumberFormat="1" applyFont="1" applyFill="1" applyBorder="1" applyAlignment="1" applyProtection="1">
      <alignment horizontal="center" vertical="center" readingOrder="2"/>
    </xf>
    <xf numFmtId="3" fontId="48" fillId="4" borderId="0" xfId="0" applyNumberFormat="1" applyFont="1" applyFill="1"/>
    <xf numFmtId="3" fontId="48" fillId="4" borderId="0" xfId="0" applyNumberFormat="1" applyFont="1" applyFill="1" applyAlignment="1">
      <alignment horizontal="center" vertical="center"/>
    </xf>
    <xf numFmtId="3" fontId="46" fillId="6" borderId="6" xfId="13" applyNumberFormat="1" applyFont="1" applyFill="1" applyBorder="1" applyAlignment="1">
      <alignment horizontal="center" vertical="center" wrapText="1"/>
    </xf>
    <xf numFmtId="3" fontId="49" fillId="6" borderId="64" xfId="13" applyNumberFormat="1" applyFont="1" applyFill="1" applyBorder="1" applyAlignment="1">
      <alignment horizontal="center" vertical="center" wrapText="1"/>
    </xf>
    <xf numFmtId="174" fontId="49" fillId="6" borderId="76" xfId="13" applyFont="1" applyFill="1" applyBorder="1" applyAlignment="1">
      <alignment horizontal="center" vertical="center" wrapText="1"/>
    </xf>
    <xf numFmtId="174" fontId="49" fillId="6" borderId="77" xfId="13" applyFont="1" applyFill="1" applyBorder="1" applyAlignment="1">
      <alignment horizontal="center" vertical="center" wrapText="1"/>
    </xf>
    <xf numFmtId="3" fontId="46" fillId="0" borderId="99" xfId="0" applyNumberFormat="1" applyFont="1" applyBorder="1" applyAlignment="1">
      <alignment horizontal="center"/>
    </xf>
    <xf numFmtId="174" fontId="46" fillId="0" borderId="100" xfId="0" applyFont="1" applyBorder="1" applyAlignment="1">
      <alignment horizontal="center"/>
    </xf>
    <xf numFmtId="174" fontId="46" fillId="0" borderId="101" xfId="0" applyFont="1" applyBorder="1" applyAlignment="1">
      <alignment horizontal="center"/>
    </xf>
    <xf numFmtId="3" fontId="42" fillId="6" borderId="2" xfId="13" applyNumberFormat="1" applyFont="1" applyFill="1" applyBorder="1" applyAlignment="1">
      <alignment horizontal="center" vertical="center" wrapText="1"/>
    </xf>
    <xf numFmtId="174" fontId="42" fillId="6" borderId="3" xfId="13" applyFont="1" applyFill="1" applyBorder="1" applyAlignment="1">
      <alignment horizontal="center" vertical="center" wrapText="1"/>
    </xf>
    <xf numFmtId="174" fontId="42" fillId="6" borderId="4" xfId="13" applyFont="1" applyFill="1" applyBorder="1" applyAlignment="1">
      <alignment horizontal="center" vertical="center" wrapText="1"/>
    </xf>
    <xf numFmtId="3" fontId="48" fillId="0" borderId="99" xfId="0" applyNumberFormat="1" applyFont="1" applyBorder="1" applyAlignment="1">
      <alignment horizontal="right"/>
    </xf>
    <xf numFmtId="174" fontId="48" fillId="0" borderId="100" xfId="0" applyFont="1" applyBorder="1" applyAlignment="1">
      <alignment horizontal="right"/>
    </xf>
    <xf numFmtId="174" fontId="48" fillId="0" borderId="101" xfId="0" applyFont="1" applyBorder="1" applyAlignment="1">
      <alignment horizontal="right"/>
    </xf>
    <xf numFmtId="3" fontId="44" fillId="34" borderId="2" xfId="0" applyNumberFormat="1" applyFont="1" applyFill="1" applyBorder="1" applyAlignment="1">
      <alignment horizontal="center" vertical="center" wrapText="1"/>
    </xf>
    <xf numFmtId="174" fontId="44" fillId="34" borderId="3" xfId="0" applyFont="1" applyFill="1" applyBorder="1" applyAlignment="1">
      <alignment horizontal="center" vertical="center" wrapText="1"/>
    </xf>
    <xf numFmtId="174" fontId="44" fillId="34" borderId="4" xfId="0" applyFont="1" applyFill="1" applyBorder="1" applyAlignment="1">
      <alignment horizontal="center" vertical="center" wrapText="1"/>
    </xf>
    <xf numFmtId="3" fontId="50" fillId="6" borderId="78" xfId="0" applyNumberFormat="1" applyFont="1" applyFill="1" applyBorder="1" applyAlignment="1">
      <alignment horizontal="center"/>
    </xf>
    <xf numFmtId="174" fontId="50" fillId="6" borderId="78" xfId="0" applyFont="1" applyFill="1" applyBorder="1" applyAlignment="1">
      <alignment horizontal="center"/>
    </xf>
    <xf numFmtId="3" fontId="49" fillId="7" borderId="99" xfId="0" applyNumberFormat="1" applyFont="1" applyFill="1" applyBorder="1" applyAlignment="1">
      <alignment horizontal="center"/>
    </xf>
    <xf numFmtId="174" fontId="49" fillId="7" borderId="100" xfId="0" applyFont="1" applyFill="1" applyBorder="1" applyAlignment="1">
      <alignment horizontal="center"/>
    </xf>
    <xf numFmtId="174" fontId="49" fillId="7" borderId="101" xfId="0" applyFont="1" applyFill="1" applyBorder="1" applyAlignment="1">
      <alignment horizontal="center"/>
    </xf>
    <xf numFmtId="3" fontId="48" fillId="0" borderId="99" xfId="0" applyNumberFormat="1" applyFont="1" applyBorder="1" applyAlignment="1">
      <alignment horizontal="right" wrapText="1"/>
    </xf>
    <xf numFmtId="174" fontId="48" fillId="0" borderId="100" xfId="0" applyFont="1" applyBorder="1" applyAlignment="1">
      <alignment horizontal="right" wrapText="1"/>
    </xf>
    <xf numFmtId="174" fontId="48" fillId="0" borderId="101" xfId="0" applyFont="1" applyBorder="1" applyAlignment="1">
      <alignment horizontal="right" wrapText="1"/>
    </xf>
    <xf numFmtId="3" fontId="49" fillId="6" borderId="2" xfId="13" applyNumberFormat="1" applyFont="1" applyFill="1" applyBorder="1" applyAlignment="1">
      <alignment horizontal="center" vertical="center" wrapText="1"/>
    </xf>
    <xf numFmtId="174" fontId="49" fillId="6" borderId="4" xfId="13" applyFont="1" applyFill="1" applyBorder="1" applyAlignment="1">
      <alignment horizontal="center" vertical="center" wrapText="1"/>
    </xf>
    <xf numFmtId="174" fontId="49" fillId="6" borderId="3" xfId="13" applyFont="1" applyFill="1" applyBorder="1" applyAlignment="1">
      <alignment horizontal="center" vertical="center" wrapText="1"/>
    </xf>
    <xf numFmtId="1" fontId="51" fillId="9" borderId="63" xfId="13" applyNumberFormat="1" applyFont="1" applyFill="1" applyBorder="1" applyAlignment="1">
      <alignment horizontal="center" vertical="center"/>
    </xf>
    <xf numFmtId="1" fontId="51" fillId="9" borderId="60" xfId="13" applyNumberFormat="1" applyFont="1" applyFill="1" applyBorder="1" applyAlignment="1">
      <alignment horizontal="center" vertical="center"/>
    </xf>
    <xf numFmtId="3" fontId="46" fillId="0" borderId="99" xfId="0" applyNumberFormat="1" applyFont="1" applyBorder="1" applyAlignment="1">
      <alignment horizontal="center" vertical="center"/>
    </xf>
    <xf numFmtId="174" fontId="46" fillId="0" borderId="102" xfId="0" applyFont="1" applyBorder="1" applyAlignment="1">
      <alignment horizontal="center" vertical="center"/>
    </xf>
    <xf numFmtId="174" fontId="46" fillId="0" borderId="103" xfId="0" applyFont="1" applyBorder="1" applyAlignment="1">
      <alignment horizontal="center" vertical="center"/>
    </xf>
    <xf numFmtId="3" fontId="46" fillId="6" borderId="6" xfId="13" applyNumberFormat="1" applyFont="1" applyFill="1" applyBorder="1" applyAlignment="1">
      <alignment horizontal="center" vertical="center" wrapText="1"/>
    </xf>
    <xf numFmtId="174" fontId="46" fillId="6" borderId="14" xfId="13" applyFont="1" applyFill="1" applyBorder="1" applyAlignment="1">
      <alignment horizontal="center" vertical="center" wrapText="1"/>
    </xf>
    <xf numFmtId="3" fontId="46" fillId="6" borderId="5" xfId="13" applyNumberFormat="1" applyFont="1" applyFill="1" applyBorder="1" applyAlignment="1">
      <alignment horizontal="center" vertical="center" wrapText="1"/>
    </xf>
    <xf numFmtId="174" fontId="46" fillId="6" borderId="22" xfId="13" applyFont="1" applyFill="1" applyBorder="1" applyAlignment="1">
      <alignment horizontal="center" vertical="center" wrapText="1"/>
    </xf>
    <xf numFmtId="3" fontId="46" fillId="2" borderId="6" xfId="13" applyNumberFormat="1" applyFont="1" applyFill="1" applyBorder="1" applyAlignment="1">
      <alignment horizontal="center" vertical="center" wrapText="1"/>
    </xf>
    <xf numFmtId="174" fontId="46" fillId="2" borderId="14" xfId="13" applyFont="1" applyFill="1" applyBorder="1" applyAlignment="1">
      <alignment horizontal="center" vertical="center" wrapText="1"/>
    </xf>
    <xf numFmtId="3" fontId="46" fillId="2" borderId="47" xfId="13" applyNumberFormat="1" applyFont="1" applyFill="1" applyBorder="1" applyAlignment="1">
      <alignment horizontal="center" vertical="center" wrapText="1"/>
    </xf>
    <xf numFmtId="174" fontId="46" fillId="2" borderId="42" xfId="13" applyFont="1" applyFill="1" applyBorder="1" applyAlignment="1">
      <alignment horizontal="center" vertical="center" wrapText="1"/>
    </xf>
    <xf numFmtId="3" fontId="46" fillId="6" borderId="14" xfId="13" applyNumberFormat="1" applyFont="1" applyFill="1" applyBorder="1" applyAlignment="1">
      <alignment horizontal="center" vertical="center" wrapText="1"/>
    </xf>
    <xf numFmtId="1" fontId="46" fillId="6" borderId="6" xfId="13" applyNumberFormat="1" applyFont="1" applyFill="1" applyBorder="1" applyAlignment="1">
      <alignment horizontal="center" vertical="center" wrapText="1"/>
    </xf>
    <xf numFmtId="1" fontId="46" fillId="6" borderId="14" xfId="13" applyNumberFormat="1" applyFont="1" applyFill="1" applyBorder="1" applyAlignment="1">
      <alignment horizontal="center" vertical="center" wrapText="1"/>
    </xf>
    <xf numFmtId="3" fontId="46" fillId="6" borderId="24" xfId="13" applyNumberFormat="1" applyFont="1" applyFill="1" applyBorder="1" applyAlignment="1">
      <alignment horizontal="center" vertical="center" wrapText="1"/>
    </xf>
    <xf numFmtId="174" fontId="46" fillId="6" borderId="18" xfId="13" applyFont="1" applyFill="1" applyBorder="1" applyAlignment="1">
      <alignment horizontal="center" vertical="center" wrapText="1"/>
    </xf>
    <xf numFmtId="3" fontId="54" fillId="8" borderId="2" xfId="6" applyNumberFormat="1" applyFont="1" applyFill="1" applyBorder="1" applyAlignment="1">
      <alignment horizontal="center"/>
    </xf>
    <xf numFmtId="174" fontId="54" fillId="8" borderId="3" xfId="6" applyFont="1" applyFill="1" applyBorder="1" applyAlignment="1">
      <alignment horizontal="center"/>
    </xf>
    <xf numFmtId="174" fontId="54" fillId="8" borderId="46" xfId="6" applyFont="1" applyFill="1" applyBorder="1" applyAlignment="1">
      <alignment horizontal="center"/>
    </xf>
    <xf numFmtId="3" fontId="46" fillId="6" borderId="98" xfId="13" applyNumberFormat="1" applyFont="1" applyFill="1" applyBorder="1" applyAlignment="1">
      <alignment horizontal="center" vertical="center" wrapText="1"/>
    </xf>
    <xf numFmtId="3" fontId="46" fillId="6" borderId="22" xfId="13" applyNumberFormat="1" applyFont="1" applyFill="1" applyBorder="1" applyAlignment="1">
      <alignment horizontal="center" vertical="center" wrapText="1"/>
    </xf>
    <xf numFmtId="3" fontId="46" fillId="6" borderId="28" xfId="13" applyNumberFormat="1" applyFont="1" applyFill="1" applyBorder="1" applyAlignment="1">
      <alignment horizontal="center" vertical="center" wrapText="1"/>
    </xf>
    <xf numFmtId="3" fontId="46" fillId="6" borderId="57" xfId="13" applyNumberFormat="1" applyFont="1" applyFill="1" applyBorder="1" applyAlignment="1">
      <alignment horizontal="center" vertical="center" wrapText="1"/>
    </xf>
    <xf numFmtId="3" fontId="46" fillId="6" borderId="29" xfId="13" applyNumberFormat="1" applyFont="1" applyFill="1" applyBorder="1" applyAlignment="1">
      <alignment horizontal="center" vertical="center" wrapText="1"/>
    </xf>
    <xf numFmtId="3" fontId="46" fillId="6" borderId="56" xfId="13" applyNumberFormat="1" applyFont="1" applyFill="1" applyBorder="1" applyAlignment="1">
      <alignment horizontal="center" vertical="center" wrapText="1"/>
    </xf>
    <xf numFmtId="3" fontId="46" fillId="6" borderId="18" xfId="13" applyNumberFormat="1" applyFont="1" applyFill="1" applyBorder="1" applyAlignment="1">
      <alignment horizontal="center" vertical="center" wrapText="1"/>
    </xf>
    <xf numFmtId="3" fontId="46" fillId="35" borderId="6" xfId="13" applyNumberFormat="1" applyFont="1" applyFill="1" applyBorder="1" applyAlignment="1">
      <alignment horizontal="center" vertical="center" wrapText="1"/>
    </xf>
    <xf numFmtId="174" fontId="46" fillId="35" borderId="14" xfId="13" applyFont="1" applyFill="1" applyBorder="1" applyAlignment="1">
      <alignment horizontal="center" vertical="center" wrapText="1"/>
    </xf>
    <xf numFmtId="174" fontId="46" fillId="6" borderId="1" xfId="13" applyFont="1" applyFill="1" applyBorder="1" applyAlignment="1">
      <alignment horizontal="center" vertical="center" wrapText="1"/>
    </xf>
    <xf numFmtId="3" fontId="59" fillId="8" borderId="65" xfId="6" applyNumberFormat="1" applyFont="1" applyFill="1" applyBorder="1" applyAlignment="1">
      <alignment horizontal="center"/>
    </xf>
    <xf numFmtId="174" fontId="59" fillId="8" borderId="62" xfId="6" applyFont="1" applyFill="1" applyBorder="1" applyAlignment="1">
      <alignment horizontal="center"/>
    </xf>
    <xf numFmtId="3" fontId="64" fillId="32" borderId="2" xfId="6" applyNumberFormat="1" applyFont="1" applyFill="1" applyBorder="1" applyAlignment="1">
      <alignment horizontal="center"/>
    </xf>
    <xf numFmtId="174" fontId="64" fillId="32" borderId="3" xfId="6" applyFont="1" applyFill="1" applyBorder="1" applyAlignment="1">
      <alignment horizontal="center"/>
    </xf>
    <xf numFmtId="174" fontId="64" fillId="32" borderId="4" xfId="6" applyFont="1" applyFill="1" applyBorder="1" applyAlignment="1">
      <alignment horizontal="center"/>
    </xf>
    <xf numFmtId="1" fontId="65" fillId="33" borderId="45" xfId="6" applyNumberFormat="1" applyFont="1" applyFill="1" applyBorder="1" applyAlignment="1">
      <alignment horizontal="center" vertical="center"/>
    </xf>
    <xf numFmtId="1" fontId="65" fillId="33" borderId="4" xfId="6" applyNumberFormat="1" applyFont="1" applyFill="1" applyBorder="1" applyAlignment="1">
      <alignment horizontal="center" vertical="center"/>
    </xf>
    <xf numFmtId="3" fontId="49" fillId="6" borderId="2" xfId="74" applyNumberFormat="1" applyFont="1" applyFill="1" applyBorder="1" applyAlignment="1">
      <alignment horizontal="center" vertical="center" wrapText="1"/>
    </xf>
    <xf numFmtId="174" fontId="49" fillId="6" borderId="4" xfId="74" applyFont="1" applyFill="1" applyBorder="1" applyAlignment="1">
      <alignment horizontal="center" vertical="center" wrapText="1"/>
    </xf>
    <xf numFmtId="1" fontId="46" fillId="7" borderId="2" xfId="6" applyNumberFormat="1" applyFont="1" applyFill="1" applyBorder="1" applyAlignment="1">
      <alignment horizontal="center" vertical="center"/>
    </xf>
    <xf numFmtId="1" fontId="46" fillId="7" borderId="4" xfId="6" applyNumberFormat="1" applyFont="1" applyFill="1" applyBorder="1" applyAlignment="1">
      <alignment horizontal="center" vertical="center"/>
    </xf>
    <xf numFmtId="1" fontId="46" fillId="7" borderId="2" xfId="61" applyNumberFormat="1" applyFont="1" applyFill="1" applyBorder="1" applyAlignment="1">
      <alignment horizontal="center" vertical="center" wrapText="1"/>
    </xf>
    <xf numFmtId="1" fontId="46" fillId="7" borderId="4" xfId="61" applyNumberFormat="1" applyFont="1" applyFill="1" applyBorder="1" applyAlignment="1">
      <alignment horizontal="center" vertical="center" wrapText="1"/>
    </xf>
    <xf numFmtId="174" fontId="49" fillId="6" borderId="3" xfId="74" applyFont="1" applyFill="1" applyBorder="1" applyAlignment="1">
      <alignment horizontal="center" vertical="center" wrapText="1"/>
    </xf>
    <xf numFmtId="1" fontId="46" fillId="7" borderId="2" xfId="6" applyNumberFormat="1" applyFont="1" applyFill="1" applyBorder="1" applyAlignment="1">
      <alignment horizontal="center" vertical="center" wrapText="1"/>
    </xf>
    <xf numFmtId="1" fontId="46" fillId="7" borderId="3" xfId="6" applyNumberFormat="1" applyFont="1" applyFill="1" applyBorder="1" applyAlignment="1">
      <alignment horizontal="center" vertical="center" wrapText="1"/>
    </xf>
    <xf numFmtId="1" fontId="46" fillId="7" borderId="4" xfId="6" applyNumberFormat="1" applyFont="1" applyFill="1" applyBorder="1" applyAlignment="1">
      <alignment horizontal="center" vertical="center" wrapText="1"/>
    </xf>
    <xf numFmtId="3" fontId="61" fillId="0" borderId="0" xfId="6" applyNumberFormat="1" applyFont="1" applyAlignment="1">
      <alignment horizontal="center" wrapText="1"/>
    </xf>
    <xf numFmtId="174" fontId="61" fillId="0" borderId="0" xfId="6" applyFont="1" applyAlignment="1">
      <alignment horizontal="center" wrapText="1"/>
    </xf>
    <xf numFmtId="3" fontId="59" fillId="8" borderId="2" xfId="6" applyNumberFormat="1" applyFont="1" applyFill="1" applyBorder="1" applyAlignment="1">
      <alignment horizontal="center"/>
    </xf>
    <xf numFmtId="174" fontId="59" fillId="8" borderId="46" xfId="6" applyFont="1" applyFill="1" applyBorder="1" applyAlignment="1">
      <alignment horizontal="center"/>
    </xf>
    <xf numFmtId="3" fontId="62" fillId="0" borderId="57" xfId="6" applyNumberFormat="1" applyFont="1" applyBorder="1" applyAlignment="1">
      <alignment horizontal="center" vertical="center" wrapText="1"/>
    </xf>
    <xf numFmtId="174" fontId="62" fillId="0" borderId="0" xfId="6" applyFont="1" applyAlignment="1">
      <alignment horizontal="center" vertical="center" wrapText="1"/>
    </xf>
    <xf numFmtId="174" fontId="62" fillId="0" borderId="57" xfId="6" applyFont="1" applyBorder="1" applyAlignment="1">
      <alignment horizontal="center" vertical="center" wrapText="1"/>
    </xf>
    <xf numFmtId="3" fontId="46" fillId="6" borderId="6" xfId="72" applyNumberFormat="1" applyFont="1" applyFill="1" applyBorder="1" applyAlignment="1">
      <alignment horizontal="center" vertical="center" wrapText="1"/>
    </xf>
    <xf numFmtId="174" fontId="46" fillId="6" borderId="14" xfId="72" applyFont="1" applyFill="1" applyBorder="1" applyAlignment="1">
      <alignment horizontal="center" vertical="center" wrapText="1"/>
    </xf>
    <xf numFmtId="3" fontId="46" fillId="6" borderId="6" xfId="74" applyNumberFormat="1" applyFont="1" applyFill="1" applyBorder="1" applyAlignment="1">
      <alignment horizontal="center" vertical="center" wrapText="1"/>
    </xf>
    <xf numFmtId="174" fontId="46" fillId="6" borderId="14" xfId="74" applyFont="1" applyFill="1" applyBorder="1" applyAlignment="1">
      <alignment horizontal="center" vertical="center" wrapText="1"/>
    </xf>
    <xf numFmtId="3" fontId="46" fillId="6" borderId="24" xfId="74" applyNumberFormat="1" applyFont="1" applyFill="1" applyBorder="1" applyAlignment="1">
      <alignment horizontal="center" vertical="center" wrapText="1"/>
    </xf>
    <xf numFmtId="174" fontId="46" fillId="6" borderId="18" xfId="74" applyFont="1" applyFill="1" applyBorder="1" applyAlignment="1">
      <alignment horizontal="center" vertical="center" wrapText="1"/>
    </xf>
    <xf numFmtId="3" fontId="46" fillId="2" borderId="6" xfId="61" applyNumberFormat="1" applyFont="1" applyFill="1" applyBorder="1" applyAlignment="1">
      <alignment horizontal="center" vertical="center" wrapText="1"/>
    </xf>
    <xf numFmtId="174" fontId="46" fillId="2" borderId="14" xfId="61" applyFont="1" applyFill="1" applyBorder="1" applyAlignment="1">
      <alignment horizontal="center" vertical="center" wrapText="1"/>
    </xf>
    <xf numFmtId="3" fontId="46" fillId="6" borderId="6" xfId="61" applyNumberFormat="1" applyFont="1" applyFill="1" applyBorder="1" applyAlignment="1">
      <alignment horizontal="center" vertical="center" wrapText="1"/>
    </xf>
    <xf numFmtId="174" fontId="46" fillId="6" borderId="14" xfId="61" applyFont="1" applyFill="1" applyBorder="1" applyAlignment="1">
      <alignment horizontal="center" vertical="center" wrapText="1"/>
    </xf>
    <xf numFmtId="3" fontId="46" fillId="6" borderId="24" xfId="61" applyNumberFormat="1" applyFont="1" applyFill="1" applyBorder="1" applyAlignment="1">
      <alignment horizontal="center" vertical="center" wrapText="1"/>
    </xf>
    <xf numFmtId="174" fontId="46" fillId="6" borderId="18" xfId="61" applyFont="1" applyFill="1" applyBorder="1" applyAlignment="1">
      <alignment horizontal="center" vertical="center" wrapText="1"/>
    </xf>
    <xf numFmtId="174" fontId="59" fillId="8" borderId="4" xfId="6" applyFont="1" applyFill="1" applyBorder="1" applyAlignment="1">
      <alignment horizontal="center"/>
    </xf>
    <xf numFmtId="1" fontId="51" fillId="4" borderId="76" xfId="6" applyNumberFormat="1" applyFont="1" applyFill="1" applyBorder="1" applyAlignment="1">
      <alignment horizontal="center" vertical="center" wrapText="1"/>
    </xf>
    <xf numFmtId="1" fontId="51" fillId="4" borderId="23" xfId="6" applyNumberFormat="1" applyFont="1" applyFill="1" applyBorder="1" applyAlignment="1">
      <alignment horizontal="center" vertical="center" wrapText="1"/>
    </xf>
    <xf numFmtId="1" fontId="51" fillId="4" borderId="58" xfId="6" applyNumberFormat="1" applyFont="1" applyFill="1" applyBorder="1" applyAlignment="1">
      <alignment horizontal="center" vertical="center" wrapText="1"/>
    </xf>
    <xf numFmtId="1" fontId="51" fillId="4" borderId="62" xfId="6" applyNumberFormat="1" applyFont="1" applyFill="1" applyBorder="1" applyAlignment="1">
      <alignment horizontal="center" vertical="center" wrapText="1"/>
    </xf>
    <xf numFmtId="3" fontId="46" fillId="6" borderId="5" xfId="61" applyNumberFormat="1" applyFont="1" applyFill="1" applyBorder="1" applyAlignment="1">
      <alignment horizontal="center" vertical="center" wrapText="1"/>
    </xf>
    <xf numFmtId="174" fontId="46" fillId="6" borderId="22" xfId="61" applyFont="1" applyFill="1" applyBorder="1" applyAlignment="1">
      <alignment horizontal="center" vertical="center" wrapText="1"/>
    </xf>
    <xf numFmtId="1" fontId="46" fillId="7" borderId="99" xfId="6" applyNumberFormat="1" applyFont="1" applyFill="1" applyBorder="1" applyAlignment="1">
      <alignment horizontal="center" vertical="center"/>
    </xf>
    <xf numFmtId="1" fontId="46" fillId="7" borderId="101" xfId="6" applyNumberFormat="1" applyFont="1" applyFill="1" applyBorder="1" applyAlignment="1">
      <alignment horizontal="center" vertical="center"/>
    </xf>
    <xf numFmtId="3" fontId="54" fillId="8" borderId="2" xfId="75" applyNumberFormat="1" applyFont="1" applyFill="1" applyBorder="1" applyAlignment="1">
      <alignment horizontal="center" vertical="center" wrapText="1"/>
    </xf>
    <xf numFmtId="174" fontId="54" fillId="8" borderId="3" xfId="75" applyFont="1" applyFill="1" applyBorder="1" applyAlignment="1">
      <alignment horizontal="center" vertical="center" wrapText="1"/>
    </xf>
    <xf numFmtId="174" fontId="54" fillId="8" borderId="4" xfId="75" applyFont="1" applyFill="1" applyBorder="1" applyAlignment="1">
      <alignment horizontal="center" vertical="center" wrapText="1"/>
    </xf>
    <xf numFmtId="3" fontId="46" fillId="6" borderId="5" xfId="75" applyNumberFormat="1" applyFont="1" applyFill="1" applyBorder="1" applyAlignment="1">
      <alignment horizontal="center" vertical="center" wrapText="1"/>
    </xf>
    <xf numFmtId="174" fontId="46" fillId="6" borderId="22" xfId="75" applyFont="1" applyFill="1" applyBorder="1" applyAlignment="1">
      <alignment horizontal="center" vertical="center" wrapText="1"/>
    </xf>
    <xf numFmtId="3" fontId="46" fillId="6" borderId="6" xfId="75" applyNumberFormat="1" applyFont="1" applyFill="1" applyBorder="1" applyAlignment="1">
      <alignment horizontal="center" vertical="center" wrapText="1"/>
    </xf>
    <xf numFmtId="174" fontId="46" fillId="6" borderId="14" xfId="75" applyFont="1" applyFill="1" applyBorder="1" applyAlignment="1">
      <alignment horizontal="center" vertical="center" wrapText="1"/>
    </xf>
    <xf numFmtId="3" fontId="46" fillId="6" borderId="24" xfId="75" applyNumberFormat="1" applyFont="1" applyFill="1" applyBorder="1" applyAlignment="1">
      <alignment horizontal="center" vertical="center" wrapText="1"/>
    </xf>
    <xf numFmtId="174" fontId="46" fillId="6" borderId="18" xfId="75" applyFont="1" applyFill="1" applyBorder="1" applyAlignment="1">
      <alignment horizontal="center" vertical="center" wrapText="1"/>
    </xf>
    <xf numFmtId="3" fontId="46" fillId="36" borderId="6" xfId="61" applyNumberFormat="1" applyFont="1" applyFill="1" applyBorder="1" applyAlignment="1">
      <alignment horizontal="center" vertical="center" wrapText="1"/>
    </xf>
    <xf numFmtId="174" fontId="46" fillId="36" borderId="14" xfId="61" applyFont="1" applyFill="1" applyBorder="1" applyAlignment="1">
      <alignment horizontal="center" vertical="center" wrapText="1"/>
    </xf>
    <xf numFmtId="3" fontId="46" fillId="6" borderId="2" xfId="74" applyNumberFormat="1" applyFont="1" applyFill="1" applyBorder="1" applyAlignment="1">
      <alignment horizontal="center" vertical="center" wrapText="1"/>
    </xf>
    <xf numFmtId="174" fontId="46" fillId="6" borderId="4" xfId="74" applyFont="1" applyFill="1" applyBorder="1" applyAlignment="1">
      <alignment horizontal="center" vertical="center" wrapText="1"/>
    </xf>
    <xf numFmtId="3" fontId="54" fillId="8" borderId="2" xfId="61" applyNumberFormat="1" applyFont="1" applyFill="1" applyBorder="1" applyAlignment="1">
      <alignment horizontal="center" vertical="center" wrapText="1"/>
    </xf>
    <xf numFmtId="174" fontId="54" fillId="8" borderId="3" xfId="61" applyFont="1" applyFill="1" applyBorder="1" applyAlignment="1">
      <alignment horizontal="center" vertical="center" wrapText="1"/>
    </xf>
    <xf numFmtId="174" fontId="54" fillId="8" borderId="4" xfId="61" applyFont="1" applyFill="1" applyBorder="1" applyAlignment="1">
      <alignment horizontal="center" vertical="center" wrapText="1"/>
    </xf>
    <xf numFmtId="3" fontId="54" fillId="8" borderId="29" xfId="6" applyNumberFormat="1" applyFont="1" applyFill="1" applyBorder="1" applyAlignment="1">
      <alignment horizontal="center"/>
    </xf>
    <xf numFmtId="174" fontId="54" fillId="8" borderId="42" xfId="6" applyFont="1" applyFill="1" applyBorder="1" applyAlignment="1">
      <alignment horizontal="center"/>
    </xf>
    <xf numFmtId="3" fontId="54" fillId="8" borderId="80" xfId="6" applyNumberFormat="1" applyFont="1" applyFill="1" applyBorder="1" applyAlignment="1">
      <alignment horizontal="center"/>
    </xf>
    <xf numFmtId="174" fontId="54" fillId="8" borderId="39" xfId="6" applyFont="1" applyFill="1" applyBorder="1" applyAlignment="1">
      <alignment horizontal="center"/>
    </xf>
    <xf numFmtId="3" fontId="60" fillId="0" borderId="0" xfId="76" applyNumberFormat="1" applyFont="1" applyAlignment="1">
      <alignment horizontal="center"/>
    </xf>
    <xf numFmtId="174" fontId="60" fillId="0" borderId="0" xfId="76" applyFont="1" applyAlignment="1">
      <alignment horizontal="center"/>
    </xf>
    <xf numFmtId="3" fontId="54" fillId="8" borderId="45" xfId="6" applyNumberFormat="1" applyFont="1" applyFill="1" applyBorder="1" applyAlignment="1">
      <alignment horizontal="center"/>
    </xf>
    <xf numFmtId="3" fontId="54" fillId="8" borderId="2" xfId="76" applyNumberFormat="1" applyFont="1" applyFill="1" applyBorder="1" applyAlignment="1">
      <alignment horizontal="center" vertical="center" wrapText="1"/>
    </xf>
    <xf numFmtId="174" fontId="54" fillId="8" borderId="3" xfId="76" applyFont="1" applyFill="1" applyBorder="1" applyAlignment="1">
      <alignment horizontal="center" vertical="center" wrapText="1"/>
    </xf>
    <xf numFmtId="174" fontId="54" fillId="8" borderId="4" xfId="76" applyFont="1" applyFill="1" applyBorder="1" applyAlignment="1">
      <alignment horizontal="center" vertical="center" wrapText="1"/>
    </xf>
    <xf numFmtId="3" fontId="46" fillId="6" borderId="5" xfId="77" applyNumberFormat="1" applyFont="1" applyFill="1" applyBorder="1" applyAlignment="1">
      <alignment horizontal="center" vertical="center" wrapText="1"/>
    </xf>
    <xf numFmtId="174" fontId="46" fillId="6" borderId="22" xfId="77" applyFont="1" applyFill="1" applyBorder="1" applyAlignment="1">
      <alignment horizontal="center" vertical="center" wrapText="1"/>
    </xf>
    <xf numFmtId="3" fontId="46" fillId="6" borderId="6" xfId="77" applyNumberFormat="1" applyFont="1" applyFill="1" applyBorder="1" applyAlignment="1">
      <alignment horizontal="center" vertical="center" wrapText="1"/>
    </xf>
    <xf numFmtId="174" fontId="46" fillId="6" borderId="14" xfId="77" applyFont="1" applyFill="1" applyBorder="1" applyAlignment="1">
      <alignment horizontal="center" vertical="center" wrapText="1"/>
    </xf>
    <xf numFmtId="3" fontId="46" fillId="6" borderId="24" xfId="77" applyNumberFormat="1" applyFont="1" applyFill="1" applyBorder="1" applyAlignment="1">
      <alignment horizontal="center" vertical="center" wrapText="1"/>
    </xf>
    <xf numFmtId="174" fontId="46" fillId="6" borderId="18" xfId="77" applyFont="1" applyFill="1" applyBorder="1" applyAlignment="1">
      <alignment horizontal="center" vertical="center" wrapText="1"/>
    </xf>
    <xf numFmtId="3" fontId="45" fillId="0" borderId="106" xfId="0" applyNumberFormat="1" applyFont="1" applyBorder="1" applyAlignment="1">
      <alignment horizontal="center" vertical="center" wrapText="1"/>
    </xf>
    <xf numFmtId="174" fontId="45" fillId="0" borderId="1" xfId="0" applyFont="1" applyBorder="1" applyAlignment="1">
      <alignment horizontal="center" vertical="center" wrapText="1"/>
    </xf>
    <xf numFmtId="3" fontId="59" fillId="8" borderId="2" xfId="76" applyNumberFormat="1" applyFont="1" applyFill="1" applyBorder="1" applyAlignment="1">
      <alignment horizontal="center" vertical="center" wrapText="1"/>
    </xf>
    <xf numFmtId="174" fontId="59" fillId="8" borderId="3" xfId="76" applyFont="1" applyFill="1" applyBorder="1" applyAlignment="1">
      <alignment horizontal="center" vertical="center" wrapText="1"/>
    </xf>
    <xf numFmtId="174" fontId="59" fillId="8" borderId="4" xfId="76" applyFont="1" applyFill="1" applyBorder="1" applyAlignment="1">
      <alignment horizontal="center" vertical="center" wrapText="1"/>
    </xf>
    <xf numFmtId="3" fontId="46" fillId="6" borderId="6" xfId="73" applyNumberFormat="1" applyFont="1" applyFill="1" applyBorder="1" applyAlignment="1">
      <alignment horizontal="center" vertical="center" wrapText="1"/>
    </xf>
    <xf numFmtId="174" fontId="46" fillId="6" borderId="14" xfId="73" applyFont="1" applyFill="1" applyBorder="1" applyAlignment="1">
      <alignment horizontal="center" vertical="center" wrapText="1"/>
    </xf>
    <xf numFmtId="3" fontId="46" fillId="6" borderId="24" xfId="73" applyNumberFormat="1" applyFont="1" applyFill="1" applyBorder="1" applyAlignment="1">
      <alignment horizontal="center" vertical="center" wrapText="1"/>
    </xf>
    <xf numFmtId="174" fontId="46" fillId="6" borderId="18" xfId="73" applyFont="1" applyFill="1" applyBorder="1" applyAlignment="1">
      <alignment horizontal="center" vertical="center" wrapText="1"/>
    </xf>
    <xf numFmtId="3" fontId="54" fillId="8" borderId="2" xfId="55" applyNumberFormat="1" applyFont="1" applyFill="1" applyBorder="1" applyAlignment="1">
      <alignment horizontal="center" vertical="center" wrapText="1"/>
    </xf>
    <xf numFmtId="174" fontId="54" fillId="8" borderId="3" xfId="55" applyFont="1" applyFill="1" applyBorder="1" applyAlignment="1">
      <alignment horizontal="center" vertical="center" wrapText="1"/>
    </xf>
    <xf numFmtId="174" fontId="54" fillId="8" borderId="4" xfId="55" applyFont="1" applyFill="1" applyBorder="1" applyAlignment="1">
      <alignment horizontal="center" vertical="center" wrapText="1"/>
    </xf>
    <xf numFmtId="3" fontId="55" fillId="8" borderId="102" xfId="6" applyNumberFormat="1" applyFont="1" applyFill="1" applyBorder="1" applyAlignment="1">
      <alignment horizontal="center"/>
    </xf>
    <xf numFmtId="174" fontId="55" fillId="8" borderId="102" xfId="6" applyFont="1" applyFill="1" applyBorder="1" applyAlignment="1">
      <alignment horizontal="center"/>
    </xf>
    <xf numFmtId="3" fontId="55" fillId="8" borderId="41" xfId="6" applyNumberFormat="1" applyFont="1" applyFill="1" applyBorder="1" applyAlignment="1">
      <alignment horizontal="center"/>
    </xf>
    <xf numFmtId="174" fontId="55" fillId="8" borderId="47" xfId="6" applyFont="1" applyFill="1" applyBorder="1" applyAlignment="1">
      <alignment horizontal="center"/>
    </xf>
    <xf numFmtId="0" fontId="20" fillId="2" borderId="108" xfId="777" applyNumberFormat="1" applyFont="1" applyFill="1" applyBorder="1" applyAlignment="1" applyProtection="1">
      <alignment horizontal="center" vertical="center"/>
    </xf>
    <xf numFmtId="0" fontId="20" fillId="2" borderId="108" xfId="778" applyFill="1" applyBorder="1" applyAlignment="1" applyProtection="1">
      <alignment horizontal="center" vertical="center"/>
    </xf>
    <xf numFmtId="176" fontId="20" fillId="2" borderId="108" xfId="777" applyNumberFormat="1" applyFont="1" applyFill="1" applyBorder="1" applyAlignment="1" applyProtection="1">
      <alignment horizontal="center" vertical="center"/>
    </xf>
    <xf numFmtId="0" fontId="3" fillId="0" borderId="0" xfId="779" applyProtection="1"/>
    <xf numFmtId="0" fontId="86" fillId="5" borderId="0" xfId="777" applyNumberFormat="1" applyFont="1" applyFill="1" applyAlignment="1" applyProtection="1">
      <alignment vertical="top"/>
    </xf>
    <xf numFmtId="0" fontId="86" fillId="5" borderId="0" xfId="780" applyNumberFormat="1" applyFont="1" applyFill="1" applyAlignment="1" applyProtection="1">
      <alignment vertical="top"/>
    </xf>
    <xf numFmtId="0" fontId="3" fillId="5" borderId="0" xfId="779" applyFill="1" applyProtection="1"/>
    <xf numFmtId="176" fontId="86" fillId="5" borderId="0" xfId="777" applyNumberFormat="1" applyFont="1" applyFill="1" applyAlignment="1" applyProtection="1">
      <alignment vertical="top"/>
    </xf>
    <xf numFmtId="0" fontId="1" fillId="5" borderId="0" xfId="779" applyFont="1" applyFill="1" applyProtection="1"/>
    <xf numFmtId="0" fontId="0" fillId="5" borderId="0" xfId="777" applyNumberFormat="1" applyFont="1" applyFill="1" applyProtection="1"/>
    <xf numFmtId="176" fontId="0" fillId="5" borderId="0" xfId="777" applyNumberFormat="1" applyFont="1" applyFill="1" applyProtection="1"/>
    <xf numFmtId="0" fontId="0" fillId="42" borderId="0" xfId="777" applyNumberFormat="1" applyFont="1" applyFill="1" applyProtection="1"/>
    <xf numFmtId="0" fontId="0" fillId="0" borderId="0" xfId="777" applyNumberFormat="1" applyFont="1" applyProtection="1"/>
    <xf numFmtId="176" fontId="0" fillId="0" borderId="0" xfId="777" applyNumberFormat="1" applyFont="1" applyProtection="1"/>
  </cellXfs>
  <cellStyles count="784">
    <cellStyle name="20% - Accent1" xfId="18" xr:uid="{00000000-0005-0000-0000-000000000000}"/>
    <cellStyle name="20% - Accent1 2" xfId="162" xr:uid="{00000000-0005-0000-0000-000001000000}"/>
    <cellStyle name="20% - Accent1 3" xfId="333" xr:uid="{00000000-0005-0000-0000-000002000000}"/>
    <cellStyle name="20% - Accent2" xfId="19" xr:uid="{00000000-0005-0000-0000-000003000000}"/>
    <cellStyle name="20% - Accent2 2" xfId="163" xr:uid="{00000000-0005-0000-0000-000004000000}"/>
    <cellStyle name="20% - Accent2 3" xfId="334" xr:uid="{00000000-0005-0000-0000-000005000000}"/>
    <cellStyle name="20% - Accent3" xfId="20" xr:uid="{00000000-0005-0000-0000-000006000000}"/>
    <cellStyle name="20% - Accent3 2" xfId="164" xr:uid="{00000000-0005-0000-0000-000007000000}"/>
    <cellStyle name="20% - Accent3 3" xfId="335" xr:uid="{00000000-0005-0000-0000-000008000000}"/>
    <cellStyle name="20% - Accent4" xfId="21" xr:uid="{00000000-0005-0000-0000-000009000000}"/>
    <cellStyle name="20% - Accent4 2" xfId="165" xr:uid="{00000000-0005-0000-0000-00000A000000}"/>
    <cellStyle name="20% - Accent4 3" xfId="336" xr:uid="{00000000-0005-0000-0000-00000B000000}"/>
    <cellStyle name="20% - Accent5" xfId="22" xr:uid="{00000000-0005-0000-0000-00000C000000}"/>
    <cellStyle name="20% - Accent5 2" xfId="166" xr:uid="{00000000-0005-0000-0000-00000D000000}"/>
    <cellStyle name="20% - Accent5 3" xfId="337" xr:uid="{00000000-0005-0000-0000-00000E000000}"/>
    <cellStyle name="20% - Accent6" xfId="23" xr:uid="{00000000-0005-0000-0000-00000F000000}"/>
    <cellStyle name="20% - Accent6 2" xfId="167" xr:uid="{00000000-0005-0000-0000-000010000000}"/>
    <cellStyle name="20% - Accent6 3" xfId="338" xr:uid="{00000000-0005-0000-0000-000011000000}"/>
    <cellStyle name="40% - Accent1" xfId="24" xr:uid="{00000000-0005-0000-0000-000012000000}"/>
    <cellStyle name="40% - Accent1 2" xfId="168" xr:uid="{00000000-0005-0000-0000-000013000000}"/>
    <cellStyle name="40% - Accent1 3" xfId="339" xr:uid="{00000000-0005-0000-0000-000014000000}"/>
    <cellStyle name="40% - Accent2" xfId="25" xr:uid="{00000000-0005-0000-0000-000015000000}"/>
    <cellStyle name="40% - Accent2 2" xfId="169" xr:uid="{00000000-0005-0000-0000-000016000000}"/>
    <cellStyle name="40% - Accent2 3" xfId="340" xr:uid="{00000000-0005-0000-0000-000017000000}"/>
    <cellStyle name="40% - Accent3" xfId="26" xr:uid="{00000000-0005-0000-0000-000018000000}"/>
    <cellStyle name="40% - Accent3 2" xfId="170" xr:uid="{00000000-0005-0000-0000-000019000000}"/>
    <cellStyle name="40% - Accent3 3" xfId="341" xr:uid="{00000000-0005-0000-0000-00001A000000}"/>
    <cellStyle name="40% - Accent4" xfId="27" xr:uid="{00000000-0005-0000-0000-00001B000000}"/>
    <cellStyle name="40% - Accent4 2" xfId="171" xr:uid="{00000000-0005-0000-0000-00001C000000}"/>
    <cellStyle name="40% - Accent4 3" xfId="342" xr:uid="{00000000-0005-0000-0000-00001D000000}"/>
    <cellStyle name="40% - Accent5" xfId="28" xr:uid="{00000000-0005-0000-0000-00001E000000}"/>
    <cellStyle name="40% - Accent5 2" xfId="172" xr:uid="{00000000-0005-0000-0000-00001F000000}"/>
    <cellStyle name="40% - Accent5 3" xfId="343" xr:uid="{00000000-0005-0000-0000-000020000000}"/>
    <cellStyle name="40% - Accent6" xfId="29" xr:uid="{00000000-0005-0000-0000-000021000000}"/>
    <cellStyle name="40% - Accent6 2" xfId="173" xr:uid="{00000000-0005-0000-0000-000022000000}"/>
    <cellStyle name="40% - Accent6 3" xfId="344" xr:uid="{00000000-0005-0000-0000-000023000000}"/>
    <cellStyle name="60% - Accent1" xfId="30" xr:uid="{00000000-0005-0000-0000-000024000000}"/>
    <cellStyle name="60% - Accent1 2" xfId="174" xr:uid="{00000000-0005-0000-0000-000025000000}"/>
    <cellStyle name="60% - Accent1 3" xfId="345" xr:uid="{00000000-0005-0000-0000-000026000000}"/>
    <cellStyle name="60% - Accent2" xfId="31" xr:uid="{00000000-0005-0000-0000-000027000000}"/>
    <cellStyle name="60% - Accent2 2" xfId="175" xr:uid="{00000000-0005-0000-0000-000028000000}"/>
    <cellStyle name="60% - Accent2 3" xfId="346" xr:uid="{00000000-0005-0000-0000-000029000000}"/>
    <cellStyle name="60% - Accent3" xfId="32" xr:uid="{00000000-0005-0000-0000-00002A000000}"/>
    <cellStyle name="60% - Accent3 2" xfId="176" xr:uid="{00000000-0005-0000-0000-00002B000000}"/>
    <cellStyle name="60% - Accent3 3" xfId="347" xr:uid="{00000000-0005-0000-0000-00002C000000}"/>
    <cellStyle name="60% - Accent4" xfId="33" xr:uid="{00000000-0005-0000-0000-00002D000000}"/>
    <cellStyle name="60% - Accent4 2" xfId="177" xr:uid="{00000000-0005-0000-0000-00002E000000}"/>
    <cellStyle name="60% - Accent4 3" xfId="348" xr:uid="{00000000-0005-0000-0000-00002F000000}"/>
    <cellStyle name="60% - Accent5" xfId="34" xr:uid="{00000000-0005-0000-0000-000030000000}"/>
    <cellStyle name="60% - Accent5 2" xfId="178" xr:uid="{00000000-0005-0000-0000-000031000000}"/>
    <cellStyle name="60% - Accent5 3" xfId="349" xr:uid="{00000000-0005-0000-0000-000032000000}"/>
    <cellStyle name="60% - Accent6" xfId="35" xr:uid="{00000000-0005-0000-0000-000033000000}"/>
    <cellStyle name="60% - Accent6 2" xfId="179" xr:uid="{00000000-0005-0000-0000-000034000000}"/>
    <cellStyle name="60% - Accent6 3" xfId="350" xr:uid="{00000000-0005-0000-0000-000035000000}"/>
    <cellStyle name="Accent1" xfId="36" xr:uid="{00000000-0005-0000-0000-000037000000}"/>
    <cellStyle name="Accent1 2" xfId="180" xr:uid="{00000000-0005-0000-0000-000038000000}"/>
    <cellStyle name="Accent1 3" xfId="351" xr:uid="{00000000-0005-0000-0000-000039000000}"/>
    <cellStyle name="Accent2" xfId="37" xr:uid="{00000000-0005-0000-0000-00003A000000}"/>
    <cellStyle name="Accent2 2" xfId="181" xr:uid="{00000000-0005-0000-0000-00003B000000}"/>
    <cellStyle name="Accent2 3" xfId="352" xr:uid="{00000000-0005-0000-0000-00003C000000}"/>
    <cellStyle name="Accent3" xfId="38" xr:uid="{00000000-0005-0000-0000-00003D000000}"/>
    <cellStyle name="Accent3 2" xfId="182" xr:uid="{00000000-0005-0000-0000-00003E000000}"/>
    <cellStyle name="Accent3 3" xfId="353" xr:uid="{00000000-0005-0000-0000-00003F000000}"/>
    <cellStyle name="Accent4" xfId="39" xr:uid="{00000000-0005-0000-0000-000040000000}"/>
    <cellStyle name="Accent4 2" xfId="183" xr:uid="{00000000-0005-0000-0000-000041000000}"/>
    <cellStyle name="Accent4 3" xfId="354" xr:uid="{00000000-0005-0000-0000-000042000000}"/>
    <cellStyle name="Accent5" xfId="40" xr:uid="{00000000-0005-0000-0000-000043000000}"/>
    <cellStyle name="Accent5 2" xfId="184" xr:uid="{00000000-0005-0000-0000-000044000000}"/>
    <cellStyle name="Accent5 3" xfId="355" xr:uid="{00000000-0005-0000-0000-000045000000}"/>
    <cellStyle name="Accent6" xfId="41" xr:uid="{00000000-0005-0000-0000-000046000000}"/>
    <cellStyle name="Accent6 2" xfId="185" xr:uid="{00000000-0005-0000-0000-000047000000}"/>
    <cellStyle name="Accent6 3" xfId="356" xr:uid="{00000000-0005-0000-0000-000048000000}"/>
    <cellStyle name="Bad" xfId="42" xr:uid="{00000000-0005-0000-0000-000049000000}"/>
    <cellStyle name="Bad 2" xfId="186" xr:uid="{00000000-0005-0000-0000-00004A000000}"/>
    <cellStyle name="Bad 3" xfId="357" xr:uid="{00000000-0005-0000-0000-00004B000000}"/>
    <cellStyle name="Calculation" xfId="43" xr:uid="{00000000-0005-0000-0000-00004C000000}"/>
    <cellStyle name="Calculation 2" xfId="117" xr:uid="{00000000-0005-0000-0000-00004D000000}"/>
    <cellStyle name="Calculation 2 2" xfId="241" xr:uid="{00000000-0005-0000-0000-00004E000000}"/>
    <cellStyle name="Calculation 2 2 2" xfId="468" xr:uid="{00000000-0005-0000-0000-00004F000000}"/>
    <cellStyle name="Calculation 2 2 2 2" xfId="549" xr:uid="{00000000-0005-0000-0000-000050000000}"/>
    <cellStyle name="Calculation 2 2 2 2 2" xfId="752" xr:uid="{00000000-0005-0000-0000-000051000000}"/>
    <cellStyle name="Calculation 2 2 2 3" xfId="708" xr:uid="{00000000-0005-0000-0000-000052000000}"/>
    <cellStyle name="Calculation 2 2 3" xfId="517" xr:uid="{00000000-0005-0000-0000-000053000000}"/>
    <cellStyle name="Calculation 2 2 3 2" xfId="735" xr:uid="{00000000-0005-0000-0000-000054000000}"/>
    <cellStyle name="Calculation 2 2 4" xfId="529" xr:uid="{00000000-0005-0000-0000-000055000000}"/>
    <cellStyle name="Calculation 2 3" xfId="416" xr:uid="{00000000-0005-0000-0000-000056000000}"/>
    <cellStyle name="Calculation 2 3 2" xfId="508" xr:uid="{00000000-0005-0000-0000-000057000000}"/>
    <cellStyle name="Calculation 2 3 2 2" xfId="731" xr:uid="{00000000-0005-0000-0000-000058000000}"/>
    <cellStyle name="Calculation 2 3 3" xfId="669" xr:uid="{00000000-0005-0000-0000-000059000000}"/>
    <cellStyle name="Calculation 2 4" xfId="494" xr:uid="{00000000-0005-0000-0000-00005A000000}"/>
    <cellStyle name="Calculation 2 4 2" xfId="722" xr:uid="{00000000-0005-0000-0000-00005B000000}"/>
    <cellStyle name="Calculation 2_בחירה מרשימה" xfId="255" xr:uid="{00000000-0005-0000-0000-00005C000000}"/>
    <cellStyle name="Calculation 3" xfId="160" xr:uid="{00000000-0005-0000-0000-00005D000000}"/>
    <cellStyle name="Calculation 3 2" xfId="240" xr:uid="{00000000-0005-0000-0000-00005E000000}"/>
    <cellStyle name="Calculation 3 2 2" xfId="469" xr:uid="{00000000-0005-0000-0000-00005F000000}"/>
    <cellStyle name="Calculation 3 2 2 2" xfId="550" xr:uid="{00000000-0005-0000-0000-000060000000}"/>
    <cellStyle name="Calculation 3 2 2 2 2" xfId="753" xr:uid="{00000000-0005-0000-0000-000061000000}"/>
    <cellStyle name="Calculation 3 2 2 3" xfId="709" xr:uid="{00000000-0005-0000-0000-000062000000}"/>
    <cellStyle name="Calculation 3 2 3" xfId="516" xr:uid="{00000000-0005-0000-0000-000063000000}"/>
    <cellStyle name="Calculation 3 2 3 2" xfId="734" xr:uid="{00000000-0005-0000-0000-000064000000}"/>
    <cellStyle name="Calculation 3 2 4" xfId="389" xr:uid="{00000000-0005-0000-0000-000065000000}"/>
    <cellStyle name="Calculation 3 3" xfId="450" xr:uid="{00000000-0005-0000-0000-000066000000}"/>
    <cellStyle name="Calculation 3 3 2" xfId="548" xr:uid="{00000000-0005-0000-0000-000067000000}"/>
    <cellStyle name="Calculation 3 3 2 2" xfId="751" xr:uid="{00000000-0005-0000-0000-000068000000}"/>
    <cellStyle name="Calculation 3 3 3" xfId="698" xr:uid="{00000000-0005-0000-0000-000069000000}"/>
    <cellStyle name="Calculation 3 4" xfId="506" xr:uid="{00000000-0005-0000-0000-00006A000000}"/>
    <cellStyle name="Calculation 3 4 2" xfId="729" xr:uid="{00000000-0005-0000-0000-00006B000000}"/>
    <cellStyle name="Calculation 3_בחירה מרשימה" xfId="256" xr:uid="{00000000-0005-0000-0000-00006C000000}"/>
    <cellStyle name="Calculation 4" xfId="358" xr:uid="{00000000-0005-0000-0000-00006D000000}"/>
    <cellStyle name="Calculation 4 2" xfId="510" xr:uid="{00000000-0005-0000-0000-00006E000000}"/>
    <cellStyle name="Calculation 4 2 2" xfId="733" xr:uid="{00000000-0005-0000-0000-00006F000000}"/>
    <cellStyle name="Calculation 4 3" xfId="641" xr:uid="{00000000-0005-0000-0000-000070000000}"/>
    <cellStyle name="Calculation 5" xfId="456" xr:uid="{00000000-0005-0000-0000-000071000000}"/>
    <cellStyle name="Calculation 5 2" xfId="702" xr:uid="{00000000-0005-0000-0000-000072000000}"/>
    <cellStyle name="Calculation_בחירה מרשימה" xfId="254" xr:uid="{00000000-0005-0000-0000-000073000000}"/>
    <cellStyle name="Check Cell" xfId="44" xr:uid="{00000000-0005-0000-0000-000074000000}"/>
    <cellStyle name="Check Cell 2" xfId="187" xr:uid="{00000000-0005-0000-0000-000075000000}"/>
    <cellStyle name="Check Cell 3" xfId="359" xr:uid="{00000000-0005-0000-0000-000076000000}"/>
    <cellStyle name="Comma" xfId="83" builtinId="3"/>
    <cellStyle name="Comma 10" xfId="777" xr:uid="{C72CCF5A-EBDB-4A6B-9705-6AE000E16541}"/>
    <cellStyle name="Comma 11" xfId="783" xr:uid="{042B546B-96E0-4837-89FD-83A07C56F268}"/>
    <cellStyle name="Comma 2" xfId="7" xr:uid="{00000000-0005-0000-0000-000078000000}"/>
    <cellStyle name="Comma 2 2" xfId="45" xr:uid="{00000000-0005-0000-0000-000079000000}"/>
    <cellStyle name="Comma 2 2 2" xfId="568" xr:uid="{00000000-0005-0000-0000-00007A000000}"/>
    <cellStyle name="Comma 2 3" xfId="16" xr:uid="{00000000-0005-0000-0000-00007B000000}"/>
    <cellStyle name="Comma 2 3 2" xfId="567" xr:uid="{00000000-0005-0000-0000-00007C000000}"/>
    <cellStyle name="Comma 2 4" xfId="220" xr:uid="{00000000-0005-0000-0000-00007D000000}"/>
    <cellStyle name="Comma 2 4 2" xfId="632" xr:uid="{00000000-0005-0000-0000-00007E000000}"/>
    <cellStyle name="Comma 2 5" xfId="564" xr:uid="{00000000-0005-0000-0000-00007F000000}"/>
    <cellStyle name="Comma 3" xfId="14" xr:uid="{00000000-0005-0000-0000-000080000000}"/>
    <cellStyle name="Comma 3 2" xfId="221" xr:uid="{00000000-0005-0000-0000-000081000000}"/>
    <cellStyle name="Comma 3 2 2" xfId="633" xr:uid="{00000000-0005-0000-0000-000082000000}"/>
    <cellStyle name="Comma 3 3" xfId="566" xr:uid="{00000000-0005-0000-0000-000083000000}"/>
    <cellStyle name="Comma 4" xfId="86" xr:uid="{00000000-0005-0000-0000-000084000000}"/>
    <cellStyle name="Comma 4 2" xfId="576" xr:uid="{00000000-0005-0000-0000-000085000000}"/>
    <cellStyle name="Comma 5" xfId="560" xr:uid="{00000000-0005-0000-0000-000086000000}"/>
    <cellStyle name="Comma 5 2" xfId="763" xr:uid="{00000000-0005-0000-0000-000087000000}"/>
    <cellStyle name="Comma 6" xfId="573" xr:uid="{00000000-0005-0000-0000-000088000000}"/>
    <cellStyle name="Comma 7" xfId="771" xr:uid="{00000000-0005-0000-0000-00002B030000}"/>
    <cellStyle name="Comma 8" xfId="773" xr:uid="{00000000-0005-0000-0000-00002D030000}"/>
    <cellStyle name="Comma 9" xfId="776" xr:uid="{00000000-0005-0000-0000-000030030000}"/>
    <cellStyle name="Currency 2" xfId="222" xr:uid="{00000000-0005-0000-0000-000089000000}"/>
    <cellStyle name="Currency 2 2" xfId="634" xr:uid="{00000000-0005-0000-0000-00008A000000}"/>
    <cellStyle name="Currency 3" xfId="223" xr:uid="{00000000-0005-0000-0000-00008B000000}"/>
    <cellStyle name="Currency 3 2" xfId="635" xr:uid="{00000000-0005-0000-0000-00008C000000}"/>
    <cellStyle name="Explanatory Text" xfId="46" xr:uid="{00000000-0005-0000-0000-00008D000000}"/>
    <cellStyle name="Explanatory Text 2" xfId="188" xr:uid="{00000000-0005-0000-0000-00008E000000}"/>
    <cellStyle name="Explanatory Text 3" xfId="360" xr:uid="{00000000-0005-0000-0000-00008F000000}"/>
    <cellStyle name="Good" xfId="47" xr:uid="{00000000-0005-0000-0000-000090000000}"/>
    <cellStyle name="Good 2" xfId="189" xr:uid="{00000000-0005-0000-0000-000091000000}"/>
    <cellStyle name="Good 3" xfId="361" xr:uid="{00000000-0005-0000-0000-000092000000}"/>
    <cellStyle name="Heading 1" xfId="48" xr:uid="{00000000-0005-0000-0000-000093000000}"/>
    <cellStyle name="Heading 1 2" xfId="190" xr:uid="{00000000-0005-0000-0000-000094000000}"/>
    <cellStyle name="Heading 1 3" xfId="362" xr:uid="{00000000-0005-0000-0000-000095000000}"/>
    <cellStyle name="Heading 2" xfId="49" xr:uid="{00000000-0005-0000-0000-000096000000}"/>
    <cellStyle name="Heading 2 2" xfId="191" xr:uid="{00000000-0005-0000-0000-000097000000}"/>
    <cellStyle name="Heading 2 3" xfId="363" xr:uid="{00000000-0005-0000-0000-000098000000}"/>
    <cellStyle name="Heading 3" xfId="50" xr:uid="{00000000-0005-0000-0000-000099000000}"/>
    <cellStyle name="Heading 3 2" xfId="192" xr:uid="{00000000-0005-0000-0000-00009A000000}"/>
    <cellStyle name="Heading 3 3" xfId="364" xr:uid="{00000000-0005-0000-0000-00009B000000}"/>
    <cellStyle name="Heading 4" xfId="51" xr:uid="{00000000-0005-0000-0000-00009C000000}"/>
    <cellStyle name="Heading 4 2" xfId="193" xr:uid="{00000000-0005-0000-0000-00009D000000}"/>
    <cellStyle name="Heading 4 3" xfId="365" xr:uid="{00000000-0005-0000-0000-00009E000000}"/>
    <cellStyle name="Input" xfId="52" xr:uid="{00000000-0005-0000-0000-00009F000000}"/>
    <cellStyle name="Input 2" xfId="119" xr:uid="{00000000-0005-0000-0000-0000A0000000}"/>
    <cellStyle name="Input 2 2" xfId="242" xr:uid="{00000000-0005-0000-0000-0000A1000000}"/>
    <cellStyle name="Input 2 2 2" xfId="470" xr:uid="{00000000-0005-0000-0000-0000A2000000}"/>
    <cellStyle name="Input 2 2 2 2" xfId="551" xr:uid="{00000000-0005-0000-0000-0000A3000000}"/>
    <cellStyle name="Input 2 2 2 2 2" xfId="754" xr:uid="{00000000-0005-0000-0000-0000A4000000}"/>
    <cellStyle name="Input 2 2 2 3" xfId="710" xr:uid="{00000000-0005-0000-0000-0000A5000000}"/>
    <cellStyle name="Input 2 2 3" xfId="518" xr:uid="{00000000-0005-0000-0000-0000A6000000}"/>
    <cellStyle name="Input 2 2 3 2" xfId="736" xr:uid="{00000000-0005-0000-0000-0000A7000000}"/>
    <cellStyle name="Input 2 2 4" xfId="533" xr:uid="{00000000-0005-0000-0000-0000A8000000}"/>
    <cellStyle name="Input 2 3" xfId="418" xr:uid="{00000000-0005-0000-0000-0000A9000000}"/>
    <cellStyle name="Input 2 3 2" xfId="535" xr:uid="{00000000-0005-0000-0000-0000AA000000}"/>
    <cellStyle name="Input 2 3 2 2" xfId="745" xr:uid="{00000000-0005-0000-0000-0000AB000000}"/>
    <cellStyle name="Input 2 3 3" xfId="671" xr:uid="{00000000-0005-0000-0000-0000AC000000}"/>
    <cellStyle name="Input 2 4" xfId="496" xr:uid="{00000000-0005-0000-0000-0000AD000000}"/>
    <cellStyle name="Input 2 4 2" xfId="724" xr:uid="{00000000-0005-0000-0000-0000AE000000}"/>
    <cellStyle name="Input 2_בחירה מרשימה" xfId="258" xr:uid="{00000000-0005-0000-0000-0000AF000000}"/>
    <cellStyle name="Input 3" xfId="118" xr:uid="{00000000-0005-0000-0000-0000B0000000}"/>
    <cellStyle name="Input 3 2" xfId="243" xr:uid="{00000000-0005-0000-0000-0000B1000000}"/>
    <cellStyle name="Input 3 2 2" xfId="471" xr:uid="{00000000-0005-0000-0000-0000B2000000}"/>
    <cellStyle name="Input 3 2 2 2" xfId="552" xr:uid="{00000000-0005-0000-0000-0000B3000000}"/>
    <cellStyle name="Input 3 2 2 2 2" xfId="755" xr:uid="{00000000-0005-0000-0000-0000B4000000}"/>
    <cellStyle name="Input 3 2 2 3" xfId="711" xr:uid="{00000000-0005-0000-0000-0000B5000000}"/>
    <cellStyle name="Input 3 2 3" xfId="519" xr:uid="{00000000-0005-0000-0000-0000B6000000}"/>
    <cellStyle name="Input 3 2 3 2" xfId="737" xr:uid="{00000000-0005-0000-0000-0000B7000000}"/>
    <cellStyle name="Input 3 2 4" xfId="511" xr:uid="{00000000-0005-0000-0000-0000B8000000}"/>
    <cellStyle name="Input 3 3" xfId="417" xr:uid="{00000000-0005-0000-0000-0000B9000000}"/>
    <cellStyle name="Input 3 3 2" xfId="458" xr:uid="{00000000-0005-0000-0000-0000BA000000}"/>
    <cellStyle name="Input 3 3 2 2" xfId="704" xr:uid="{00000000-0005-0000-0000-0000BB000000}"/>
    <cellStyle name="Input 3 3 3" xfId="670" xr:uid="{00000000-0005-0000-0000-0000BC000000}"/>
    <cellStyle name="Input 3 4" xfId="495" xr:uid="{00000000-0005-0000-0000-0000BD000000}"/>
    <cellStyle name="Input 3 4 2" xfId="723" xr:uid="{00000000-0005-0000-0000-0000BE000000}"/>
    <cellStyle name="Input 3_בחירה מרשימה" xfId="259" xr:uid="{00000000-0005-0000-0000-0000BF000000}"/>
    <cellStyle name="Input 4" xfId="366" xr:uid="{00000000-0005-0000-0000-0000C0000000}"/>
    <cellStyle name="Input 4 2" xfId="539" xr:uid="{00000000-0005-0000-0000-0000C1000000}"/>
    <cellStyle name="Input 4 2 2" xfId="749" xr:uid="{00000000-0005-0000-0000-0000C2000000}"/>
    <cellStyle name="Input 4 3" xfId="642" xr:uid="{00000000-0005-0000-0000-0000C3000000}"/>
    <cellStyle name="Input 5" xfId="460" xr:uid="{00000000-0005-0000-0000-0000C4000000}"/>
    <cellStyle name="Input 5 2" xfId="705" xr:uid="{00000000-0005-0000-0000-0000C5000000}"/>
    <cellStyle name="Input_בחירה מרשימה" xfId="257" xr:uid="{00000000-0005-0000-0000-0000C6000000}"/>
    <cellStyle name="Linked Cell" xfId="53" xr:uid="{00000000-0005-0000-0000-0000C7000000}"/>
    <cellStyle name="Linked Cell 2" xfId="194" xr:uid="{00000000-0005-0000-0000-0000C8000000}"/>
    <cellStyle name="Linked Cell 3" xfId="367" xr:uid="{00000000-0005-0000-0000-0000C9000000}"/>
    <cellStyle name="Neutral" xfId="54" xr:uid="{00000000-0005-0000-0000-0000CA000000}"/>
    <cellStyle name="Neutral 2" xfId="195" xr:uid="{00000000-0005-0000-0000-0000CB000000}"/>
    <cellStyle name="Neutral 3" xfId="368" xr:uid="{00000000-0005-0000-0000-0000CC000000}"/>
    <cellStyle name="Normal" xfId="0" builtinId="0"/>
    <cellStyle name="Normal 10" xfId="98" xr:uid="{00000000-0005-0000-0000-0000CE000000}"/>
    <cellStyle name="Normal 10 2" xfId="142" xr:uid="{00000000-0005-0000-0000-0000CF000000}"/>
    <cellStyle name="Normal 10 2 2" xfId="436" xr:uid="{00000000-0005-0000-0000-0000D0000000}"/>
    <cellStyle name="Normal 10 3" xfId="401" xr:uid="{00000000-0005-0000-0000-0000D1000000}"/>
    <cellStyle name="Normal 10_בחירה מרשימה" xfId="260" xr:uid="{00000000-0005-0000-0000-0000D2000000}"/>
    <cellStyle name="Normal 11" xfId="196" xr:uid="{00000000-0005-0000-0000-0000D3000000}"/>
    <cellStyle name="Normal 12" xfId="224" xr:uid="{00000000-0005-0000-0000-0000D4000000}"/>
    <cellStyle name="Normal 12 2" xfId="461" xr:uid="{00000000-0005-0000-0000-0000D5000000}"/>
    <cellStyle name="Normal 13" xfId="225" xr:uid="{00000000-0005-0000-0000-0000D6000000}"/>
    <cellStyle name="Normal 13 2" xfId="462" xr:uid="{00000000-0005-0000-0000-0000D7000000}"/>
    <cellStyle name="Normal 14" xfId="226" xr:uid="{00000000-0005-0000-0000-0000D8000000}"/>
    <cellStyle name="Normal 14 2" xfId="463" xr:uid="{00000000-0005-0000-0000-0000D9000000}"/>
    <cellStyle name="Normal 15" xfId="227" xr:uid="{00000000-0005-0000-0000-0000DA000000}"/>
    <cellStyle name="Normal 15 2" xfId="464" xr:uid="{00000000-0005-0000-0000-0000DB000000}"/>
    <cellStyle name="Normal 15 2 2" xfId="706" xr:uid="{00000000-0005-0000-0000-0000DC000000}"/>
    <cellStyle name="Normal 15 3" xfId="636" xr:uid="{00000000-0005-0000-0000-0000DD000000}"/>
    <cellStyle name="Normal 16" xfId="228" xr:uid="{00000000-0005-0000-0000-0000DE000000}"/>
    <cellStyle name="Normal 16 2" xfId="465" xr:uid="{00000000-0005-0000-0000-0000DF000000}"/>
    <cellStyle name="Normal 17" xfId="322" xr:uid="{00000000-0005-0000-0000-0000E0000000}"/>
    <cellStyle name="Normal 18" xfId="559" xr:uid="{00000000-0005-0000-0000-0000E1000000}"/>
    <cellStyle name="Normal 18 2" xfId="762" xr:uid="{00000000-0005-0000-0000-0000E2000000}"/>
    <cellStyle name="Normal 19" xfId="561" xr:uid="{00000000-0005-0000-0000-0000E3000000}"/>
    <cellStyle name="Normal 19 2" xfId="764" xr:uid="{00000000-0005-0000-0000-0000E4000000}"/>
    <cellStyle name="Normal 2" xfId="3" xr:uid="{00000000-0005-0000-0000-0000E5000000}"/>
    <cellStyle name="Normal 2 2" xfId="6" xr:uid="{00000000-0005-0000-0000-0000E6000000}"/>
    <cellStyle name="Normal 2 2 2" xfId="197" xr:uid="{00000000-0005-0000-0000-0000E7000000}"/>
    <cellStyle name="Normal 2 2 3" xfId="327" xr:uid="{00000000-0005-0000-0000-0000E8000000}"/>
    <cellStyle name="Normal 2 2_בחירה מרשימה" xfId="262" xr:uid="{00000000-0005-0000-0000-0000E9000000}"/>
    <cellStyle name="Normal 2 3" xfId="198" xr:uid="{00000000-0005-0000-0000-0000EA000000}"/>
    <cellStyle name="Normal 2 3 3" xfId="782" xr:uid="{6D758A1D-420A-4988-8B4C-D311E91DA1DE}"/>
    <cellStyle name="Normal 2 4" xfId="325" xr:uid="{00000000-0005-0000-0000-0000EB000000}"/>
    <cellStyle name="Normal 2 5" xfId="229" xr:uid="{00000000-0005-0000-0000-0000EC000000}"/>
    <cellStyle name="Normal 2 5 2" xfId="466" xr:uid="{00000000-0005-0000-0000-0000ED000000}"/>
    <cellStyle name="Normal 2_בחירה מרשימה" xfId="261" xr:uid="{00000000-0005-0000-0000-0000EE000000}"/>
    <cellStyle name="Normal 20" xfId="562" xr:uid="{00000000-0005-0000-0000-0000EF000000}"/>
    <cellStyle name="Normal 20 2" xfId="765" xr:uid="{00000000-0005-0000-0000-0000F0000000}"/>
    <cellStyle name="Normal 21" xfId="563" xr:uid="{00000000-0005-0000-0000-0000F1000000}"/>
    <cellStyle name="Normal 21 2" xfId="766" xr:uid="{00000000-0005-0000-0000-0000F2000000}"/>
    <cellStyle name="Normal 22" xfId="770" xr:uid="{00000000-0005-0000-0000-00002C030000}"/>
    <cellStyle name="Normal 23" xfId="772" xr:uid="{00000000-0005-0000-0000-00002E030000}"/>
    <cellStyle name="Normal 23 2" xfId="780" xr:uid="{BACF68BB-6F34-4D2F-813C-C2A3077BC084}"/>
    <cellStyle name="Normal 24" xfId="774" xr:uid="{00000000-0005-0000-0000-00002F030000}"/>
    <cellStyle name="Normal 25" xfId="775" xr:uid="{00000000-0005-0000-0000-000031030000}"/>
    <cellStyle name="Normal 26" xfId="779" xr:uid="{0C1B2E83-0FBC-4588-9D6D-2610F99FC6EF}"/>
    <cellStyle name="Normal 27" xfId="781" xr:uid="{5D010F99-220D-4C08-8B3D-D64214AED7DA}"/>
    <cellStyle name="Normal 3" xfId="2" xr:uid="{00000000-0005-0000-0000-0000F3000000}"/>
    <cellStyle name="Normal 3 2" xfId="17" xr:uid="{00000000-0005-0000-0000-0000F4000000}"/>
    <cellStyle name="Normal 3 2 10" xfId="778" xr:uid="{37C2F7EE-DB3A-4E28-87CA-D498EE671B60}"/>
    <cellStyle name="Normal 3 2 2" xfId="55" xr:uid="{00000000-0005-0000-0000-0000F5000000}"/>
    <cellStyle name="Normal 3 2 2 2" xfId="76" xr:uid="{00000000-0005-0000-0000-0000F6000000}"/>
    <cellStyle name="Normal 3 2 2 2 2" xfId="199" xr:uid="{00000000-0005-0000-0000-0000F7000000}"/>
    <cellStyle name="Normal 3 2 2 2 3" xfId="387" xr:uid="{00000000-0005-0000-0000-0000F8000000}"/>
    <cellStyle name="Normal 3 2 2 2_בחירה מרשימה" xfId="266" xr:uid="{00000000-0005-0000-0000-0000F9000000}"/>
    <cellStyle name="Normal 3 2 2 3" xfId="161" xr:uid="{00000000-0005-0000-0000-0000FA000000}"/>
    <cellStyle name="Normal 3 2 2 3 2" xfId="451" xr:uid="{00000000-0005-0000-0000-0000FB000000}"/>
    <cellStyle name="Normal 3 2 2 4" xfId="232" xr:uid="{00000000-0005-0000-0000-0000FC000000}"/>
    <cellStyle name="Normal 3 2 2 4 2" xfId="472" xr:uid="{00000000-0005-0000-0000-0000FD000000}"/>
    <cellStyle name="Normal 3 2 2 5" xfId="369" xr:uid="{00000000-0005-0000-0000-0000FE000000}"/>
    <cellStyle name="Normal 3 2 2_בחירה מרשימה" xfId="265" xr:uid="{00000000-0005-0000-0000-0000FF000000}"/>
    <cellStyle name="Normal 3 2 3" xfId="87" xr:uid="{00000000-0005-0000-0000-000000010000}"/>
    <cellStyle name="Normal 3 2 3 2" xfId="200" xr:uid="{00000000-0005-0000-0000-000001010000}"/>
    <cellStyle name="Normal 3 2 3 3" xfId="392" xr:uid="{00000000-0005-0000-0000-000002010000}"/>
    <cellStyle name="Normal 3 2 3_בחירה מרשימה" xfId="267" xr:uid="{00000000-0005-0000-0000-000003010000}"/>
    <cellStyle name="Normal 3 2 4" xfId="201" xr:uid="{00000000-0005-0000-0000-000004010000}"/>
    <cellStyle name="Normal 3 2 5" xfId="332" xr:uid="{00000000-0005-0000-0000-000005010000}"/>
    <cellStyle name="Normal 3 2_בחירה מרשימה" xfId="264" xr:uid="{00000000-0005-0000-0000-000006010000}"/>
    <cellStyle name="Normal 3 3" xfId="56" xr:uid="{00000000-0005-0000-0000-000007010000}"/>
    <cellStyle name="Normal 3 3 2" xfId="99" xr:uid="{00000000-0005-0000-0000-000008010000}"/>
    <cellStyle name="Normal 3 3 2 2" xfId="143" xr:uid="{00000000-0005-0000-0000-000009010000}"/>
    <cellStyle name="Normal 3 3 2 2 2" xfId="437" xr:uid="{00000000-0005-0000-0000-00000A010000}"/>
    <cellStyle name="Normal 3 3 2 2 2 2" xfId="686" xr:uid="{00000000-0005-0000-0000-00000B010000}"/>
    <cellStyle name="Normal 3 3 2 2 3" xfId="617" xr:uid="{00000000-0005-0000-0000-00000C010000}"/>
    <cellStyle name="Normal 3 3 2 3" xfId="402" xr:uid="{00000000-0005-0000-0000-00000D010000}"/>
    <cellStyle name="Normal 3 3 2 3 2" xfId="656" xr:uid="{00000000-0005-0000-0000-00000E010000}"/>
    <cellStyle name="Normal 3 3 2 4" xfId="586" xr:uid="{00000000-0005-0000-0000-00000F010000}"/>
    <cellStyle name="Normal 3 3 2_בחירה מרשימה" xfId="269" xr:uid="{00000000-0005-0000-0000-000010010000}"/>
    <cellStyle name="Normal 3 3 3" xfId="126" xr:uid="{00000000-0005-0000-0000-000011010000}"/>
    <cellStyle name="Normal 3 3 3 2" xfId="425" xr:uid="{00000000-0005-0000-0000-000012010000}"/>
    <cellStyle name="Normal 3 3 3 2 2" xfId="676" xr:uid="{00000000-0005-0000-0000-000013010000}"/>
    <cellStyle name="Normal 3 3 3 3" xfId="602" xr:uid="{00000000-0005-0000-0000-000014010000}"/>
    <cellStyle name="Normal 3 3 4" xfId="370" xr:uid="{00000000-0005-0000-0000-000015010000}"/>
    <cellStyle name="Normal 3 3 4 2" xfId="643" xr:uid="{00000000-0005-0000-0000-000016010000}"/>
    <cellStyle name="Normal 3 3 5" xfId="569" xr:uid="{00000000-0005-0000-0000-000017010000}"/>
    <cellStyle name="Normal 3 3_בחירה מרשימה" xfId="268" xr:uid="{00000000-0005-0000-0000-000018010000}"/>
    <cellStyle name="Normal 3 4" xfId="202" xr:uid="{00000000-0005-0000-0000-000019010000}"/>
    <cellStyle name="Normal 3 5" xfId="324" xr:uid="{00000000-0005-0000-0000-00001A010000}"/>
    <cellStyle name="Normal 3_בחירה מרשימה" xfId="263" xr:uid="{00000000-0005-0000-0000-00001B010000}"/>
    <cellStyle name="Normal 4" xfId="8" xr:uid="{00000000-0005-0000-0000-00001C010000}"/>
    <cellStyle name="Normal 4 2" xfId="57" xr:uid="{00000000-0005-0000-0000-00001D010000}"/>
    <cellStyle name="Normal 4 2 2" xfId="88" xr:uid="{00000000-0005-0000-0000-00001E010000}"/>
    <cellStyle name="Normal 4 2 2 2" xfId="89" xr:uid="{00000000-0005-0000-0000-00001F010000}"/>
    <cellStyle name="Normal 4 2 2 2 2" xfId="100" xr:uid="{00000000-0005-0000-0000-000020010000}"/>
    <cellStyle name="Normal 4 2 2 2 2 2" xfId="144" xr:uid="{00000000-0005-0000-0000-000021010000}"/>
    <cellStyle name="Normal 4 2 2 2 2 2 2" xfId="438" xr:uid="{00000000-0005-0000-0000-000022010000}"/>
    <cellStyle name="Normal 4 2 2 2 2 2 2 2" xfId="687" xr:uid="{00000000-0005-0000-0000-000023010000}"/>
    <cellStyle name="Normal 4 2 2 2 2 2 3" xfId="618" xr:uid="{00000000-0005-0000-0000-000024010000}"/>
    <cellStyle name="Normal 4 2 2 2 2 3" xfId="403" xr:uid="{00000000-0005-0000-0000-000025010000}"/>
    <cellStyle name="Normal 4 2 2 2 2 3 2" xfId="657" xr:uid="{00000000-0005-0000-0000-000026010000}"/>
    <cellStyle name="Normal 4 2 2 2 2 4" xfId="587" xr:uid="{00000000-0005-0000-0000-000027010000}"/>
    <cellStyle name="Normal 4 2 2 2 2_בחירה מרשימה" xfId="274" xr:uid="{00000000-0005-0000-0000-000028010000}"/>
    <cellStyle name="Normal 4 2 2 2 3" xfId="134" xr:uid="{00000000-0005-0000-0000-000029010000}"/>
    <cellStyle name="Normal 4 2 2 2 3 2" xfId="430" xr:uid="{00000000-0005-0000-0000-00002A010000}"/>
    <cellStyle name="Normal 4 2 2 2 3 2 2" xfId="680" xr:uid="{00000000-0005-0000-0000-00002B010000}"/>
    <cellStyle name="Normal 4 2 2 2 3 3" xfId="609" xr:uid="{00000000-0005-0000-0000-00002C010000}"/>
    <cellStyle name="Normal 4 2 2 2 4" xfId="394" xr:uid="{00000000-0005-0000-0000-00002D010000}"/>
    <cellStyle name="Normal 4 2 2 2 4 2" xfId="650" xr:uid="{00000000-0005-0000-0000-00002E010000}"/>
    <cellStyle name="Normal 4 2 2 2 5" xfId="578" xr:uid="{00000000-0005-0000-0000-00002F010000}"/>
    <cellStyle name="Normal 4 2 2 2_בחירה מרשימה" xfId="273" xr:uid="{00000000-0005-0000-0000-000030010000}"/>
    <cellStyle name="Normal 4 2 2 3" xfId="101" xr:uid="{00000000-0005-0000-0000-000031010000}"/>
    <cellStyle name="Normal 4 2 2 3 2" xfId="145" xr:uid="{00000000-0005-0000-0000-000032010000}"/>
    <cellStyle name="Normal 4 2 2 3 2 2" xfId="439" xr:uid="{00000000-0005-0000-0000-000033010000}"/>
    <cellStyle name="Normal 4 2 2 3 2 2 2" xfId="688" xr:uid="{00000000-0005-0000-0000-000034010000}"/>
    <cellStyle name="Normal 4 2 2 3 2 3" xfId="619" xr:uid="{00000000-0005-0000-0000-000035010000}"/>
    <cellStyle name="Normal 4 2 2 3 3" xfId="404" xr:uid="{00000000-0005-0000-0000-000036010000}"/>
    <cellStyle name="Normal 4 2 2 3 3 2" xfId="658" xr:uid="{00000000-0005-0000-0000-000037010000}"/>
    <cellStyle name="Normal 4 2 2 3 4" xfId="588" xr:uid="{00000000-0005-0000-0000-000038010000}"/>
    <cellStyle name="Normal 4 2 2 3_בחירה מרשימה" xfId="275" xr:uid="{00000000-0005-0000-0000-000039010000}"/>
    <cellStyle name="Normal 4 2 2 4" xfId="133" xr:uid="{00000000-0005-0000-0000-00003A010000}"/>
    <cellStyle name="Normal 4 2 2 4 2" xfId="429" xr:uid="{00000000-0005-0000-0000-00003B010000}"/>
    <cellStyle name="Normal 4 2 2 4 2 2" xfId="679" xr:uid="{00000000-0005-0000-0000-00003C010000}"/>
    <cellStyle name="Normal 4 2 2 4 3" xfId="608" xr:uid="{00000000-0005-0000-0000-00003D010000}"/>
    <cellStyle name="Normal 4 2 2 5" xfId="393" xr:uid="{00000000-0005-0000-0000-00003E010000}"/>
    <cellStyle name="Normal 4 2 2 5 2" xfId="649" xr:uid="{00000000-0005-0000-0000-00003F010000}"/>
    <cellStyle name="Normal 4 2 2 6" xfId="577" xr:uid="{00000000-0005-0000-0000-000040010000}"/>
    <cellStyle name="Normal 4 2 2_בחירה מרשימה" xfId="272" xr:uid="{00000000-0005-0000-0000-000041010000}"/>
    <cellStyle name="Normal 4 2 3" xfId="90" xr:uid="{00000000-0005-0000-0000-000042010000}"/>
    <cellStyle name="Normal 4 2 3 2" xfId="102" xr:uid="{00000000-0005-0000-0000-000043010000}"/>
    <cellStyle name="Normal 4 2 3 2 2" xfId="146" xr:uid="{00000000-0005-0000-0000-000044010000}"/>
    <cellStyle name="Normal 4 2 3 2 2 2" xfId="440" xr:uid="{00000000-0005-0000-0000-000045010000}"/>
    <cellStyle name="Normal 4 2 3 2 2 2 2" xfId="689" xr:uid="{00000000-0005-0000-0000-000046010000}"/>
    <cellStyle name="Normal 4 2 3 2 2 3" xfId="620" xr:uid="{00000000-0005-0000-0000-000047010000}"/>
    <cellStyle name="Normal 4 2 3 2 3" xfId="405" xr:uid="{00000000-0005-0000-0000-000048010000}"/>
    <cellStyle name="Normal 4 2 3 2 3 2" xfId="659" xr:uid="{00000000-0005-0000-0000-000049010000}"/>
    <cellStyle name="Normal 4 2 3 2 4" xfId="589" xr:uid="{00000000-0005-0000-0000-00004A010000}"/>
    <cellStyle name="Normal 4 2 3 2_בחירה מרשימה" xfId="277" xr:uid="{00000000-0005-0000-0000-00004B010000}"/>
    <cellStyle name="Normal 4 2 3 3" xfId="135" xr:uid="{00000000-0005-0000-0000-00004C010000}"/>
    <cellStyle name="Normal 4 2 3 3 2" xfId="431" xr:uid="{00000000-0005-0000-0000-00004D010000}"/>
    <cellStyle name="Normal 4 2 3 3 2 2" xfId="681" xr:uid="{00000000-0005-0000-0000-00004E010000}"/>
    <cellStyle name="Normal 4 2 3 3 3" xfId="610" xr:uid="{00000000-0005-0000-0000-00004F010000}"/>
    <cellStyle name="Normal 4 2 3 4" xfId="395" xr:uid="{00000000-0005-0000-0000-000050010000}"/>
    <cellStyle name="Normal 4 2 3 4 2" xfId="651" xr:uid="{00000000-0005-0000-0000-000051010000}"/>
    <cellStyle name="Normal 4 2 3 5" xfId="579" xr:uid="{00000000-0005-0000-0000-000052010000}"/>
    <cellStyle name="Normal 4 2 3_בחירה מרשימה" xfId="276" xr:uid="{00000000-0005-0000-0000-000053010000}"/>
    <cellStyle name="Normal 4 2 4" xfId="103" xr:uid="{00000000-0005-0000-0000-000054010000}"/>
    <cellStyle name="Normal 4 2 4 2" xfId="147" xr:uid="{00000000-0005-0000-0000-000055010000}"/>
    <cellStyle name="Normal 4 2 4 2 2" xfId="441" xr:uid="{00000000-0005-0000-0000-000056010000}"/>
    <cellStyle name="Normal 4 2 4 2 2 2" xfId="690" xr:uid="{00000000-0005-0000-0000-000057010000}"/>
    <cellStyle name="Normal 4 2 4 2 3" xfId="621" xr:uid="{00000000-0005-0000-0000-000058010000}"/>
    <cellStyle name="Normal 4 2 4 3" xfId="406" xr:uid="{00000000-0005-0000-0000-000059010000}"/>
    <cellStyle name="Normal 4 2 4 3 2" xfId="660" xr:uid="{00000000-0005-0000-0000-00005A010000}"/>
    <cellStyle name="Normal 4 2 4 4" xfId="590" xr:uid="{00000000-0005-0000-0000-00005B010000}"/>
    <cellStyle name="Normal 4 2 4_בחירה מרשימה" xfId="278" xr:uid="{00000000-0005-0000-0000-00005C010000}"/>
    <cellStyle name="Normal 4 2 5" xfId="127" xr:uid="{00000000-0005-0000-0000-00005D010000}"/>
    <cellStyle name="Normal 4 2 5 2" xfId="426" xr:uid="{00000000-0005-0000-0000-00005E010000}"/>
    <cellStyle name="Normal 4 2 5 2 2" xfId="677" xr:uid="{00000000-0005-0000-0000-00005F010000}"/>
    <cellStyle name="Normal 4 2 5 3" xfId="603" xr:uid="{00000000-0005-0000-0000-000060010000}"/>
    <cellStyle name="Normal 4 2 6" xfId="371" xr:uid="{00000000-0005-0000-0000-000061010000}"/>
    <cellStyle name="Normal 4 2 6 2" xfId="644" xr:uid="{00000000-0005-0000-0000-000062010000}"/>
    <cellStyle name="Normal 4 2 7" xfId="570" xr:uid="{00000000-0005-0000-0000-000063010000}"/>
    <cellStyle name="Normal 4 2_בחירה מרשימה" xfId="271" xr:uid="{00000000-0005-0000-0000-000064010000}"/>
    <cellStyle name="Normal 4 3" xfId="58" xr:uid="{00000000-0005-0000-0000-000065010000}"/>
    <cellStyle name="Normal 4 3 2" xfId="91" xr:uid="{00000000-0005-0000-0000-000066010000}"/>
    <cellStyle name="Normal 4 3 2 2" xfId="203" xr:uid="{00000000-0005-0000-0000-000067010000}"/>
    <cellStyle name="Normal 4 3 2 3" xfId="396" xr:uid="{00000000-0005-0000-0000-000068010000}"/>
    <cellStyle name="Normal 4 3 2_בחירה מרשימה" xfId="280" xr:uid="{00000000-0005-0000-0000-000069010000}"/>
    <cellStyle name="Normal 4 3 3" xfId="204" xr:uid="{00000000-0005-0000-0000-00006A010000}"/>
    <cellStyle name="Normal 4 3 4" xfId="372" xr:uid="{00000000-0005-0000-0000-00006B010000}"/>
    <cellStyle name="Normal 4 3_בחירה מרשימה" xfId="279" xr:uid="{00000000-0005-0000-0000-00006C010000}"/>
    <cellStyle name="Normal 4 4" xfId="92" xr:uid="{00000000-0005-0000-0000-00006D010000}"/>
    <cellStyle name="Normal 4 4 2" xfId="93" xr:uid="{00000000-0005-0000-0000-00006E010000}"/>
    <cellStyle name="Normal 4 4 2 2" xfId="104" xr:uid="{00000000-0005-0000-0000-00006F010000}"/>
    <cellStyle name="Normal 4 4 2 2 2" xfId="148" xr:uid="{00000000-0005-0000-0000-000070010000}"/>
    <cellStyle name="Normal 4 4 2 2 2 2" xfId="442" xr:uid="{00000000-0005-0000-0000-000071010000}"/>
    <cellStyle name="Normal 4 4 2 2 2 2 2" xfId="691" xr:uid="{00000000-0005-0000-0000-000072010000}"/>
    <cellStyle name="Normal 4 4 2 2 2 3" xfId="622" xr:uid="{00000000-0005-0000-0000-000073010000}"/>
    <cellStyle name="Normal 4 4 2 2 3" xfId="407" xr:uid="{00000000-0005-0000-0000-000074010000}"/>
    <cellStyle name="Normal 4 4 2 2 3 2" xfId="661" xr:uid="{00000000-0005-0000-0000-000075010000}"/>
    <cellStyle name="Normal 4 4 2 2 4" xfId="591" xr:uid="{00000000-0005-0000-0000-000076010000}"/>
    <cellStyle name="Normal 4 4 2 2_בחירה מרשימה" xfId="283" xr:uid="{00000000-0005-0000-0000-000077010000}"/>
    <cellStyle name="Normal 4 4 2 3" xfId="137" xr:uid="{00000000-0005-0000-0000-000078010000}"/>
    <cellStyle name="Normal 4 4 2 3 2" xfId="433" xr:uid="{00000000-0005-0000-0000-000079010000}"/>
    <cellStyle name="Normal 4 4 2 3 2 2" xfId="683" xr:uid="{00000000-0005-0000-0000-00007A010000}"/>
    <cellStyle name="Normal 4 4 2 3 3" xfId="612" xr:uid="{00000000-0005-0000-0000-00007B010000}"/>
    <cellStyle name="Normal 4 4 2 4" xfId="398" xr:uid="{00000000-0005-0000-0000-00007C010000}"/>
    <cellStyle name="Normal 4 4 2 4 2" xfId="653" xr:uid="{00000000-0005-0000-0000-00007D010000}"/>
    <cellStyle name="Normal 4 4 2 5" xfId="581" xr:uid="{00000000-0005-0000-0000-00007E010000}"/>
    <cellStyle name="Normal 4 4 2_בחירה מרשימה" xfId="282" xr:uid="{00000000-0005-0000-0000-00007F010000}"/>
    <cellStyle name="Normal 4 4 3" xfId="105" xr:uid="{00000000-0005-0000-0000-000080010000}"/>
    <cellStyle name="Normal 4 4 3 2" xfId="149" xr:uid="{00000000-0005-0000-0000-000081010000}"/>
    <cellStyle name="Normal 4 4 3 2 2" xfId="443" xr:uid="{00000000-0005-0000-0000-000082010000}"/>
    <cellStyle name="Normal 4 4 3 2 2 2" xfId="692" xr:uid="{00000000-0005-0000-0000-000083010000}"/>
    <cellStyle name="Normal 4 4 3 2 3" xfId="623" xr:uid="{00000000-0005-0000-0000-000084010000}"/>
    <cellStyle name="Normal 4 4 3 3" xfId="408" xr:uid="{00000000-0005-0000-0000-000085010000}"/>
    <cellStyle name="Normal 4 4 3 3 2" xfId="662" xr:uid="{00000000-0005-0000-0000-000086010000}"/>
    <cellStyle name="Normal 4 4 3 4" xfId="592" xr:uid="{00000000-0005-0000-0000-000087010000}"/>
    <cellStyle name="Normal 4 4 3_בחירה מרשימה" xfId="284" xr:uid="{00000000-0005-0000-0000-000088010000}"/>
    <cellStyle name="Normal 4 4 4" xfId="136" xr:uid="{00000000-0005-0000-0000-000089010000}"/>
    <cellStyle name="Normal 4 4 4 2" xfId="432" xr:uid="{00000000-0005-0000-0000-00008A010000}"/>
    <cellStyle name="Normal 4 4 4 2 2" xfId="682" xr:uid="{00000000-0005-0000-0000-00008B010000}"/>
    <cellStyle name="Normal 4 4 4 3" xfId="611" xr:uid="{00000000-0005-0000-0000-00008C010000}"/>
    <cellStyle name="Normal 4 4 5" xfId="397" xr:uid="{00000000-0005-0000-0000-00008D010000}"/>
    <cellStyle name="Normal 4 4 5 2" xfId="652" xr:uid="{00000000-0005-0000-0000-00008E010000}"/>
    <cellStyle name="Normal 4 4 6" xfId="580" xr:uid="{00000000-0005-0000-0000-00008F010000}"/>
    <cellStyle name="Normal 4 4_בחירה מרשימה" xfId="281" xr:uid="{00000000-0005-0000-0000-000090010000}"/>
    <cellStyle name="Normal 4 5" xfId="94" xr:uid="{00000000-0005-0000-0000-000091010000}"/>
    <cellStyle name="Normal 4 5 2" xfId="106" xr:uid="{00000000-0005-0000-0000-000092010000}"/>
    <cellStyle name="Normal 4 5 2 2" xfId="150" xr:uid="{00000000-0005-0000-0000-000093010000}"/>
    <cellStyle name="Normal 4 5 2 2 2" xfId="444" xr:uid="{00000000-0005-0000-0000-000094010000}"/>
    <cellStyle name="Normal 4 5 2 2 2 2" xfId="693" xr:uid="{00000000-0005-0000-0000-000095010000}"/>
    <cellStyle name="Normal 4 5 2 2 3" xfId="624" xr:uid="{00000000-0005-0000-0000-000096010000}"/>
    <cellStyle name="Normal 4 5 2 3" xfId="409" xr:uid="{00000000-0005-0000-0000-000097010000}"/>
    <cellStyle name="Normal 4 5 2 3 2" xfId="663" xr:uid="{00000000-0005-0000-0000-000098010000}"/>
    <cellStyle name="Normal 4 5 2 4" xfId="593" xr:uid="{00000000-0005-0000-0000-000099010000}"/>
    <cellStyle name="Normal 4 5 2_בחירה מרשימה" xfId="286" xr:uid="{00000000-0005-0000-0000-00009A010000}"/>
    <cellStyle name="Normal 4 5 3" xfId="138" xr:uid="{00000000-0005-0000-0000-00009B010000}"/>
    <cellStyle name="Normal 4 5 3 2" xfId="434" xr:uid="{00000000-0005-0000-0000-00009C010000}"/>
    <cellStyle name="Normal 4 5 3 2 2" xfId="684" xr:uid="{00000000-0005-0000-0000-00009D010000}"/>
    <cellStyle name="Normal 4 5 3 3" xfId="613" xr:uid="{00000000-0005-0000-0000-00009E010000}"/>
    <cellStyle name="Normal 4 5 4" xfId="399" xr:uid="{00000000-0005-0000-0000-00009F010000}"/>
    <cellStyle name="Normal 4 5 4 2" xfId="654" xr:uid="{00000000-0005-0000-0000-0000A0010000}"/>
    <cellStyle name="Normal 4 5 5" xfId="582" xr:uid="{00000000-0005-0000-0000-0000A1010000}"/>
    <cellStyle name="Normal 4 5_בחירה מרשימה" xfId="285" xr:uid="{00000000-0005-0000-0000-0000A2010000}"/>
    <cellStyle name="Normal 4 6" xfId="205" xr:uid="{00000000-0005-0000-0000-0000A3010000}"/>
    <cellStyle name="Normal 4 6 2" xfId="236" xr:uid="{00000000-0005-0000-0000-0000A4010000}"/>
    <cellStyle name="Normal 4 6 2 2" xfId="473" xr:uid="{00000000-0005-0000-0000-0000A5010000}"/>
    <cellStyle name="Normal 4 6 2 2 2" xfId="712" xr:uid="{00000000-0005-0000-0000-0000A6010000}"/>
    <cellStyle name="Normal 4 6 2 3" xfId="637" xr:uid="{00000000-0005-0000-0000-0000A7010000}"/>
    <cellStyle name="Normal 4 6_בחירה מרשימה" xfId="287" xr:uid="{00000000-0005-0000-0000-0000A8010000}"/>
    <cellStyle name="Normal 4 7" xfId="328" xr:uid="{00000000-0005-0000-0000-0000A9010000}"/>
    <cellStyle name="Normal 4_בחירה מרשימה" xfId="270" xr:uid="{00000000-0005-0000-0000-0000AA010000}"/>
    <cellStyle name="Normal 5" xfId="9" xr:uid="{00000000-0005-0000-0000-0000AB010000}"/>
    <cellStyle name="Normal 5 10" xfId="467" xr:uid="{00000000-0005-0000-0000-0000AC010000}"/>
    <cellStyle name="Normal 5 10 2" xfId="707" xr:uid="{00000000-0005-0000-0000-0000AD010000}"/>
    <cellStyle name="Normal 5 11" xfId="565" xr:uid="{00000000-0005-0000-0000-0000AE010000}"/>
    <cellStyle name="Normal 5 2" xfId="13" xr:uid="{00000000-0005-0000-0000-0000AF010000}"/>
    <cellStyle name="Normal 5 2 2" xfId="73" xr:uid="{00000000-0005-0000-0000-0000B0010000}"/>
    <cellStyle name="Normal 5 2 2 2" xfId="74" xr:uid="{00000000-0005-0000-0000-0000B1010000}"/>
    <cellStyle name="Normal 5 2 2 2 2" xfId="77" xr:uid="{00000000-0005-0000-0000-0000B2010000}"/>
    <cellStyle name="Normal 5 2 2 2 2 2" xfId="206" xr:uid="{00000000-0005-0000-0000-0000B3010000}"/>
    <cellStyle name="Normal 5 2 2 2 2 3" xfId="388" xr:uid="{00000000-0005-0000-0000-0000B4010000}"/>
    <cellStyle name="Normal 5 2 2 2 2_בחירה מרשימה" xfId="292" xr:uid="{00000000-0005-0000-0000-0000B5010000}"/>
    <cellStyle name="Normal 5 2 2 2 3" xfId="207" xr:uid="{00000000-0005-0000-0000-0000B6010000}"/>
    <cellStyle name="Normal 5 2 2 2 4" xfId="385" xr:uid="{00000000-0005-0000-0000-0000B7010000}"/>
    <cellStyle name="Normal 5 2 2 2_בחירה מרשימה" xfId="291" xr:uid="{00000000-0005-0000-0000-0000B8010000}"/>
    <cellStyle name="Normal 5 2 2 3" xfId="81" xr:uid="{00000000-0005-0000-0000-0000B9010000}"/>
    <cellStyle name="Normal 5 2 2 3 2" xfId="208" xr:uid="{00000000-0005-0000-0000-0000BA010000}"/>
    <cellStyle name="Normal 5 2 2 3 3" xfId="390" xr:uid="{00000000-0005-0000-0000-0000BB010000}"/>
    <cellStyle name="Normal 5 2 2 3_בחירה מרשימה" xfId="293" xr:uid="{00000000-0005-0000-0000-0000BC010000}"/>
    <cellStyle name="Normal 5 2 2 4" xfId="209" xr:uid="{00000000-0005-0000-0000-0000BD010000}"/>
    <cellStyle name="Normal 5 2 2 5" xfId="384" xr:uid="{00000000-0005-0000-0000-0000BE010000}"/>
    <cellStyle name="Normal 5 2 2_בחירה מרשימה" xfId="290" xr:uid="{00000000-0005-0000-0000-0000BF010000}"/>
    <cellStyle name="Normal 5 2 3" xfId="210" xr:uid="{00000000-0005-0000-0000-0000C0010000}"/>
    <cellStyle name="Normal 5 2 4" xfId="330" xr:uid="{00000000-0005-0000-0000-0000C1010000}"/>
    <cellStyle name="Normal 5 2_בחירה מרשימה" xfId="289" xr:uid="{00000000-0005-0000-0000-0000C2010000}"/>
    <cellStyle name="Normal 5 3" xfId="59" xr:uid="{00000000-0005-0000-0000-0000C3010000}"/>
    <cellStyle name="Normal 5 3 2" xfId="75" xr:uid="{00000000-0005-0000-0000-0000C4010000}"/>
    <cellStyle name="Normal 5 3 2 2" xfId="211" xr:uid="{00000000-0005-0000-0000-0000C5010000}"/>
    <cellStyle name="Normal 5 3 2 3" xfId="386" xr:uid="{00000000-0005-0000-0000-0000C6010000}"/>
    <cellStyle name="Normal 5 3 2_בחירה מרשימה" xfId="295" xr:uid="{00000000-0005-0000-0000-0000C7010000}"/>
    <cellStyle name="Normal 5 3 3" xfId="212" xr:uid="{00000000-0005-0000-0000-0000C8010000}"/>
    <cellStyle name="Normal 5 3 4" xfId="373" xr:uid="{00000000-0005-0000-0000-0000C9010000}"/>
    <cellStyle name="Normal 5 3_בחירה מרשימה" xfId="294" xr:uid="{00000000-0005-0000-0000-0000CA010000}"/>
    <cellStyle name="Normal 5 4" xfId="60" xr:uid="{00000000-0005-0000-0000-0000CB010000}"/>
    <cellStyle name="Normal 5 4 2" xfId="72" xr:uid="{00000000-0005-0000-0000-0000CC010000}"/>
    <cellStyle name="Normal 5 4 2 2" xfId="213" xr:uid="{00000000-0005-0000-0000-0000CD010000}"/>
    <cellStyle name="Normal 5 4 2 3" xfId="383" xr:uid="{00000000-0005-0000-0000-0000CE010000}"/>
    <cellStyle name="Normal 5 4 2_בחירה מרשימה" xfId="297" xr:uid="{00000000-0005-0000-0000-0000CF010000}"/>
    <cellStyle name="Normal 5 4 3" xfId="214" xr:uid="{00000000-0005-0000-0000-0000D0010000}"/>
    <cellStyle name="Normal 5 4 4" xfId="374" xr:uid="{00000000-0005-0000-0000-0000D1010000}"/>
    <cellStyle name="Normal 5 4_בחירה מרשימה" xfId="296" xr:uid="{00000000-0005-0000-0000-0000D2010000}"/>
    <cellStyle name="Normal 5 5" xfId="61" xr:uid="{00000000-0005-0000-0000-0000D3010000}"/>
    <cellStyle name="Normal 5 5 2" xfId="215" xr:uid="{00000000-0005-0000-0000-0000D4010000}"/>
    <cellStyle name="Normal 5 5 3" xfId="375" xr:uid="{00000000-0005-0000-0000-0000D5010000}"/>
    <cellStyle name="Normal 5 5_בחירה מרשימה" xfId="298" xr:uid="{00000000-0005-0000-0000-0000D6010000}"/>
    <cellStyle name="Normal 5 6" xfId="15" xr:uid="{00000000-0005-0000-0000-0000D7010000}"/>
    <cellStyle name="Normal 5 6 2" xfId="216" xr:uid="{00000000-0005-0000-0000-0000D8010000}"/>
    <cellStyle name="Normal 5 6 3" xfId="331" xr:uid="{00000000-0005-0000-0000-0000D9010000}"/>
    <cellStyle name="Normal 5 6_בחירה מרשימה" xfId="299" xr:uid="{00000000-0005-0000-0000-0000DA010000}"/>
    <cellStyle name="Normal 5 7" xfId="107" xr:uid="{00000000-0005-0000-0000-0000DB010000}"/>
    <cellStyle name="Normal 5 7 2" xfId="151" xr:uid="{00000000-0005-0000-0000-0000DC010000}"/>
    <cellStyle name="Normal 5 7 2 2" xfId="445" xr:uid="{00000000-0005-0000-0000-0000DD010000}"/>
    <cellStyle name="Normal 5 7 2 2 2" xfId="694" xr:uid="{00000000-0005-0000-0000-0000DE010000}"/>
    <cellStyle name="Normal 5 7 2 3" xfId="625" xr:uid="{00000000-0005-0000-0000-0000DF010000}"/>
    <cellStyle name="Normal 5 7 3" xfId="410" xr:uid="{00000000-0005-0000-0000-0000E0010000}"/>
    <cellStyle name="Normal 5 7 3 2" xfId="664" xr:uid="{00000000-0005-0000-0000-0000E1010000}"/>
    <cellStyle name="Normal 5 7 4" xfId="594" xr:uid="{00000000-0005-0000-0000-0000E2010000}"/>
    <cellStyle name="Normal 5 7_בחירה מרשימה" xfId="300" xr:uid="{00000000-0005-0000-0000-0000E3010000}"/>
    <cellStyle name="Normal 5 8" xfId="125" xr:uid="{00000000-0005-0000-0000-0000E4010000}"/>
    <cellStyle name="Normal 5 8 2" xfId="424" xr:uid="{00000000-0005-0000-0000-0000E5010000}"/>
    <cellStyle name="Normal 5 8 2 2" xfId="675" xr:uid="{00000000-0005-0000-0000-0000E6010000}"/>
    <cellStyle name="Normal 5 8 3" xfId="601" xr:uid="{00000000-0005-0000-0000-0000E7010000}"/>
    <cellStyle name="Normal 5 9" xfId="329" xr:uid="{00000000-0005-0000-0000-0000E8010000}"/>
    <cellStyle name="Normal 5 9 2" xfId="640" xr:uid="{00000000-0005-0000-0000-0000E9010000}"/>
    <cellStyle name="Normal 5_בחירה מרשימה" xfId="288" xr:uid="{00000000-0005-0000-0000-0000EA010000}"/>
    <cellStyle name="Normal 6" xfId="62" xr:uid="{00000000-0005-0000-0000-0000EB010000}"/>
    <cellStyle name="Normal 6 2" xfId="217" xr:uid="{00000000-0005-0000-0000-0000EC010000}"/>
    <cellStyle name="Normal 6 3" xfId="376" xr:uid="{00000000-0005-0000-0000-0000ED010000}"/>
    <cellStyle name="Normal 6_בחירה מרשימה" xfId="301" xr:uid="{00000000-0005-0000-0000-0000EE010000}"/>
    <cellStyle name="Normal 7" xfId="84" xr:uid="{00000000-0005-0000-0000-0000EF010000}"/>
    <cellStyle name="Normal 7 2" xfId="108" xr:uid="{00000000-0005-0000-0000-0000F0010000}"/>
    <cellStyle name="Normal 7 2 2" xfId="152" xr:uid="{00000000-0005-0000-0000-0000F1010000}"/>
    <cellStyle name="Normal 7 2 2 2" xfId="446" xr:uid="{00000000-0005-0000-0000-0000F2010000}"/>
    <cellStyle name="Normal 7 2 2 2 2" xfId="695" xr:uid="{00000000-0005-0000-0000-0000F3010000}"/>
    <cellStyle name="Normal 7 2 2 3" xfId="626" xr:uid="{00000000-0005-0000-0000-0000F4010000}"/>
    <cellStyle name="Normal 7 2 3" xfId="411" xr:uid="{00000000-0005-0000-0000-0000F5010000}"/>
    <cellStyle name="Normal 7 2 3 2" xfId="665" xr:uid="{00000000-0005-0000-0000-0000F6010000}"/>
    <cellStyle name="Normal 7 2 4" xfId="595" xr:uid="{00000000-0005-0000-0000-0000F7010000}"/>
    <cellStyle name="Normal 7 2_בחירה מרשימה" xfId="303" xr:uid="{00000000-0005-0000-0000-0000F8010000}"/>
    <cellStyle name="Normal 7 3" xfId="131" xr:uid="{00000000-0005-0000-0000-0000F9010000}"/>
    <cellStyle name="Normal 7 3 2" xfId="237" xr:uid="{00000000-0005-0000-0000-0000FA010000}"/>
    <cellStyle name="Normal 7 3 2 2" xfId="474" xr:uid="{00000000-0005-0000-0000-0000FB010000}"/>
    <cellStyle name="Normal 7 3 3" xfId="428" xr:uid="{00000000-0005-0000-0000-0000FC010000}"/>
    <cellStyle name="Normal 7 3 3 2" xfId="678" xr:uid="{00000000-0005-0000-0000-0000FD010000}"/>
    <cellStyle name="Normal 7 3 4" xfId="606" xr:uid="{00000000-0005-0000-0000-0000FE010000}"/>
    <cellStyle name="Normal 7 3_בחירה מרשימה" xfId="304" xr:uid="{00000000-0005-0000-0000-0000FF010000}"/>
    <cellStyle name="Normal 7 4" xfId="244" xr:uid="{00000000-0005-0000-0000-000000020000}"/>
    <cellStyle name="Normal 7 4 2" xfId="475" xr:uid="{00000000-0005-0000-0000-000001020000}"/>
    <cellStyle name="Normal 7 4 2 2" xfId="713" xr:uid="{00000000-0005-0000-0000-000002020000}"/>
    <cellStyle name="Normal 7 4 3" xfId="638" xr:uid="{00000000-0005-0000-0000-000003020000}"/>
    <cellStyle name="Normal 7 5" xfId="233" xr:uid="{00000000-0005-0000-0000-000004020000}"/>
    <cellStyle name="Normal 7 5 2" xfId="476" xr:uid="{00000000-0005-0000-0000-000005020000}"/>
    <cellStyle name="Normal 7 6" xfId="391" xr:uid="{00000000-0005-0000-0000-000006020000}"/>
    <cellStyle name="Normal 7 6 2" xfId="648" xr:uid="{00000000-0005-0000-0000-000007020000}"/>
    <cellStyle name="Normal 7 7" xfId="574" xr:uid="{00000000-0005-0000-0000-000008020000}"/>
    <cellStyle name="Normal 7_בחירה מרשימה" xfId="302" xr:uid="{00000000-0005-0000-0000-000009020000}"/>
    <cellStyle name="Normal 8" xfId="95" xr:uid="{00000000-0005-0000-0000-00000A020000}"/>
    <cellStyle name="Normal 8 2" xfId="109" xr:uid="{00000000-0005-0000-0000-00000B020000}"/>
    <cellStyle name="Normal 8 2 2" xfId="153" xr:uid="{00000000-0005-0000-0000-00000C020000}"/>
    <cellStyle name="Normal 8 2 2 2" xfId="447" xr:uid="{00000000-0005-0000-0000-00000D020000}"/>
    <cellStyle name="Normal 8 2 2 2 2" xfId="696" xr:uid="{00000000-0005-0000-0000-00000E020000}"/>
    <cellStyle name="Normal 8 2 2 3" xfId="627" xr:uid="{00000000-0005-0000-0000-00000F020000}"/>
    <cellStyle name="Normal 8 2 3" xfId="412" xr:uid="{00000000-0005-0000-0000-000010020000}"/>
    <cellStyle name="Normal 8 2 3 2" xfId="666" xr:uid="{00000000-0005-0000-0000-000011020000}"/>
    <cellStyle name="Normal 8 2 4" xfId="596" xr:uid="{00000000-0005-0000-0000-000012020000}"/>
    <cellStyle name="Normal 8 2_בחירה מרשימה" xfId="306" xr:uid="{00000000-0005-0000-0000-000013020000}"/>
    <cellStyle name="Normal 8 3" xfId="139" xr:uid="{00000000-0005-0000-0000-000014020000}"/>
    <cellStyle name="Normal 8 3 2" xfId="435" xr:uid="{00000000-0005-0000-0000-000015020000}"/>
    <cellStyle name="Normal 8 3 2 2" xfId="685" xr:uid="{00000000-0005-0000-0000-000016020000}"/>
    <cellStyle name="Normal 8 3 3" xfId="614" xr:uid="{00000000-0005-0000-0000-000017020000}"/>
    <cellStyle name="Normal 8 4" xfId="400" xr:uid="{00000000-0005-0000-0000-000018020000}"/>
    <cellStyle name="Normal 8 4 2" xfId="655" xr:uid="{00000000-0005-0000-0000-000019020000}"/>
    <cellStyle name="Normal 8 5" xfId="583" xr:uid="{00000000-0005-0000-0000-00001A020000}"/>
    <cellStyle name="Normal 8_בחירה מרשימה" xfId="305" xr:uid="{00000000-0005-0000-0000-00001B020000}"/>
    <cellStyle name="Normal 9" xfId="63" xr:uid="{00000000-0005-0000-0000-00001C020000}"/>
    <cellStyle name="Normal 9 2" xfId="110" xr:uid="{00000000-0005-0000-0000-00001D020000}"/>
    <cellStyle name="Normal 9 2 2" xfId="154" xr:uid="{00000000-0005-0000-0000-00001E020000}"/>
    <cellStyle name="Normal 9 2 2 2" xfId="245" xr:uid="{00000000-0005-0000-0000-00001F020000}"/>
    <cellStyle name="Normal 9 2 2 2 2" xfId="477" xr:uid="{00000000-0005-0000-0000-000020020000}"/>
    <cellStyle name="Normal 9 2 2 2 3" xfId="520" xr:uid="{00000000-0005-0000-0000-000021020000}"/>
    <cellStyle name="Normal 9 2 2 3" xfId="448" xr:uid="{00000000-0005-0000-0000-000022020000}"/>
    <cellStyle name="Normal 9 2 2 4" xfId="504" xr:uid="{00000000-0005-0000-0000-000023020000}"/>
    <cellStyle name="Normal 9 2 2_בחירה מרשימה" xfId="309" xr:uid="{00000000-0005-0000-0000-000024020000}"/>
    <cellStyle name="Normal 9 2 3" xfId="124" xr:uid="{00000000-0005-0000-0000-000025020000}"/>
    <cellStyle name="Normal 9 2 3 2" xfId="246" xr:uid="{00000000-0005-0000-0000-000026020000}"/>
    <cellStyle name="Normal 9 2 3 2 2" xfId="478" xr:uid="{00000000-0005-0000-0000-000027020000}"/>
    <cellStyle name="Normal 9 2 3 2 3" xfId="521" xr:uid="{00000000-0005-0000-0000-000028020000}"/>
    <cellStyle name="Normal 9 2 3 3" xfId="423" xr:uid="{00000000-0005-0000-0000-000029020000}"/>
    <cellStyle name="Normal 9 2 3 4" xfId="501" xr:uid="{00000000-0005-0000-0000-00002A020000}"/>
    <cellStyle name="Normal 9 2 3_בחירה מרשימה" xfId="310" xr:uid="{00000000-0005-0000-0000-00002B020000}"/>
    <cellStyle name="Normal 9 2 4" xfId="235" xr:uid="{00000000-0005-0000-0000-00002C020000}"/>
    <cellStyle name="Normal 9 2 4 2" xfId="479" xr:uid="{00000000-0005-0000-0000-00002D020000}"/>
    <cellStyle name="Normal 9 2 4 3" xfId="514" xr:uid="{00000000-0005-0000-0000-00002E020000}"/>
    <cellStyle name="Normal 9 2 5" xfId="413" xr:uid="{00000000-0005-0000-0000-00002F020000}"/>
    <cellStyle name="Normal 9 2 6" xfId="491" xr:uid="{00000000-0005-0000-0000-000030020000}"/>
    <cellStyle name="Normal 9 2_בחירה מרשימה" xfId="308" xr:uid="{00000000-0005-0000-0000-000031020000}"/>
    <cellStyle name="Normal 9 3" xfId="128" xr:uid="{00000000-0005-0000-0000-000032020000}"/>
    <cellStyle name="Normal 9 3 2" xfId="239" xr:uid="{00000000-0005-0000-0000-000033020000}"/>
    <cellStyle name="Normal 9 3 2 2" xfId="480" xr:uid="{00000000-0005-0000-0000-000034020000}"/>
    <cellStyle name="Normal 9 3 2 3" xfId="515" xr:uid="{00000000-0005-0000-0000-000035020000}"/>
    <cellStyle name="Normal 9 3 3" xfId="427" xr:uid="{00000000-0005-0000-0000-000036020000}"/>
    <cellStyle name="Normal 9 3 4" xfId="502" xr:uid="{00000000-0005-0000-0000-000037020000}"/>
    <cellStyle name="Normal 9 3_בחירה מרשימה" xfId="311" xr:uid="{00000000-0005-0000-0000-000038020000}"/>
    <cellStyle name="Normal 9 4" xfId="120" xr:uid="{00000000-0005-0000-0000-000039020000}"/>
    <cellStyle name="Normal 9 4 2" xfId="247" xr:uid="{00000000-0005-0000-0000-00003A020000}"/>
    <cellStyle name="Normal 9 4 2 2" xfId="481" xr:uid="{00000000-0005-0000-0000-00003B020000}"/>
    <cellStyle name="Normal 9 4 2 3" xfId="522" xr:uid="{00000000-0005-0000-0000-00003C020000}"/>
    <cellStyle name="Normal 9 4 3" xfId="419" xr:uid="{00000000-0005-0000-0000-00003D020000}"/>
    <cellStyle name="Normal 9 4 4" xfId="497" xr:uid="{00000000-0005-0000-0000-00003E020000}"/>
    <cellStyle name="Normal 9 4_בחירה מרשימה" xfId="312" xr:uid="{00000000-0005-0000-0000-00003F020000}"/>
    <cellStyle name="Normal 9 5" xfId="231" xr:uid="{00000000-0005-0000-0000-000040020000}"/>
    <cellStyle name="Normal 9 5 2" xfId="482" xr:uid="{00000000-0005-0000-0000-000041020000}"/>
    <cellStyle name="Normal 9 5 3" xfId="513" xr:uid="{00000000-0005-0000-0000-000042020000}"/>
    <cellStyle name="Normal 9 6" xfId="377" xr:uid="{00000000-0005-0000-0000-000043020000}"/>
    <cellStyle name="Normal 9 7" xfId="455" xr:uid="{00000000-0005-0000-0000-000044020000}"/>
    <cellStyle name="Normal 9_בחירה מרשימה" xfId="307" xr:uid="{00000000-0005-0000-0000-000045020000}"/>
    <cellStyle name="Note" xfId="64" xr:uid="{00000000-0005-0000-0000-000046020000}"/>
    <cellStyle name="Note 2" xfId="121" xr:uid="{00000000-0005-0000-0000-000047020000}"/>
    <cellStyle name="Note 2 2" xfId="248" xr:uid="{00000000-0005-0000-0000-000048020000}"/>
    <cellStyle name="Note 2 2 2" xfId="483" xr:uid="{00000000-0005-0000-0000-000049020000}"/>
    <cellStyle name="Note 2 2 2 2" xfId="553" xr:uid="{00000000-0005-0000-0000-00004A020000}"/>
    <cellStyle name="Note 2 2 2 2 2" xfId="756" xr:uid="{00000000-0005-0000-0000-00004B020000}"/>
    <cellStyle name="Note 2 2 2 3" xfId="714" xr:uid="{00000000-0005-0000-0000-00004C020000}"/>
    <cellStyle name="Note 2 2 3" xfId="523" xr:uid="{00000000-0005-0000-0000-00004D020000}"/>
    <cellStyle name="Note 2 2 3 2" xfId="738" xr:uid="{00000000-0005-0000-0000-00004E020000}"/>
    <cellStyle name="Note 2 2 4" xfId="530" xr:uid="{00000000-0005-0000-0000-00004F020000}"/>
    <cellStyle name="Note 2 3" xfId="420" xr:uid="{00000000-0005-0000-0000-000050020000}"/>
    <cellStyle name="Note 2 3 2" xfId="323" xr:uid="{00000000-0005-0000-0000-000051020000}"/>
    <cellStyle name="Note 2 3 2 2" xfId="639" xr:uid="{00000000-0005-0000-0000-000052020000}"/>
    <cellStyle name="Note 2 3 3" xfId="672" xr:uid="{00000000-0005-0000-0000-000053020000}"/>
    <cellStyle name="Note 2 4" xfId="498" xr:uid="{00000000-0005-0000-0000-000054020000}"/>
    <cellStyle name="Note 2 4 2" xfId="725" xr:uid="{00000000-0005-0000-0000-000055020000}"/>
    <cellStyle name="Note 2 5" xfId="540" xr:uid="{00000000-0005-0000-0000-000056020000}"/>
    <cellStyle name="Note 2_בחירה מרשימה" xfId="314" xr:uid="{00000000-0005-0000-0000-000057020000}"/>
    <cellStyle name="Note 3" xfId="115" xr:uid="{00000000-0005-0000-0000-000058020000}"/>
    <cellStyle name="Note 3 2" xfId="249" xr:uid="{00000000-0005-0000-0000-000059020000}"/>
    <cellStyle name="Note 3 2 2" xfId="484" xr:uid="{00000000-0005-0000-0000-00005A020000}"/>
    <cellStyle name="Note 3 2 2 2" xfId="554" xr:uid="{00000000-0005-0000-0000-00005B020000}"/>
    <cellStyle name="Note 3 2 2 2 2" xfId="757" xr:uid="{00000000-0005-0000-0000-00005C020000}"/>
    <cellStyle name="Note 3 2 2 3" xfId="715" xr:uid="{00000000-0005-0000-0000-00005D020000}"/>
    <cellStyle name="Note 3 2 3" xfId="524" xr:uid="{00000000-0005-0000-0000-00005E020000}"/>
    <cellStyle name="Note 3 2 3 2" xfId="739" xr:uid="{00000000-0005-0000-0000-00005F020000}"/>
    <cellStyle name="Note 3 2 4" xfId="541" xr:uid="{00000000-0005-0000-0000-000060020000}"/>
    <cellStyle name="Note 3 3" xfId="414" xr:uid="{00000000-0005-0000-0000-000061020000}"/>
    <cellStyle name="Note 3 3 2" xfId="457" xr:uid="{00000000-0005-0000-0000-000062020000}"/>
    <cellStyle name="Note 3 3 2 2" xfId="703" xr:uid="{00000000-0005-0000-0000-000063020000}"/>
    <cellStyle name="Note 3 3 3" xfId="667" xr:uid="{00000000-0005-0000-0000-000064020000}"/>
    <cellStyle name="Note 3 4" xfId="492" xr:uid="{00000000-0005-0000-0000-000065020000}"/>
    <cellStyle name="Note 3 4 2" xfId="720" xr:uid="{00000000-0005-0000-0000-000066020000}"/>
    <cellStyle name="Note 3 5" xfId="326" xr:uid="{00000000-0005-0000-0000-000067020000}"/>
    <cellStyle name="Note 3_בחירה מרשימה" xfId="315" xr:uid="{00000000-0005-0000-0000-000068020000}"/>
    <cellStyle name="Note 4" xfId="378" xr:uid="{00000000-0005-0000-0000-000069020000}"/>
    <cellStyle name="Note 4 2" xfId="538" xr:uid="{00000000-0005-0000-0000-00006A020000}"/>
    <cellStyle name="Note 4 2 2" xfId="748" xr:uid="{00000000-0005-0000-0000-00006B020000}"/>
    <cellStyle name="Note 4 3" xfId="645" xr:uid="{00000000-0005-0000-0000-00006C020000}"/>
    <cellStyle name="Note 5" xfId="454" xr:uid="{00000000-0005-0000-0000-00006D020000}"/>
    <cellStyle name="Note 5 2" xfId="701" xr:uid="{00000000-0005-0000-0000-00006E020000}"/>
    <cellStyle name="Note 6" xfId="542" xr:uid="{00000000-0005-0000-0000-00006F020000}"/>
    <cellStyle name="Note_בחירה מרשימה" xfId="313" xr:uid="{00000000-0005-0000-0000-000070020000}"/>
    <cellStyle name="Output" xfId="65" xr:uid="{00000000-0005-0000-0000-000071020000}"/>
    <cellStyle name="Output 2" xfId="122" xr:uid="{00000000-0005-0000-0000-000072020000}"/>
    <cellStyle name="Output 2 2" xfId="250" xr:uid="{00000000-0005-0000-0000-000073020000}"/>
    <cellStyle name="Output 2 2 2" xfId="485" xr:uid="{00000000-0005-0000-0000-000074020000}"/>
    <cellStyle name="Output 2 2 2 2" xfId="555" xr:uid="{00000000-0005-0000-0000-000075020000}"/>
    <cellStyle name="Output 2 2 2 2 2" xfId="758" xr:uid="{00000000-0005-0000-0000-000076020000}"/>
    <cellStyle name="Output 2 2 2 3" xfId="716" xr:uid="{00000000-0005-0000-0000-000077020000}"/>
    <cellStyle name="Output 2 2 3" xfId="525" xr:uid="{00000000-0005-0000-0000-000078020000}"/>
    <cellStyle name="Output 2 2 3 2" xfId="740" xr:uid="{00000000-0005-0000-0000-000079020000}"/>
    <cellStyle name="Output 2 2 4" xfId="543" xr:uid="{00000000-0005-0000-0000-00007A020000}"/>
    <cellStyle name="Output 2 3" xfId="421" xr:uid="{00000000-0005-0000-0000-00007B020000}"/>
    <cellStyle name="Output 2 3 2" xfId="534" xr:uid="{00000000-0005-0000-0000-00007C020000}"/>
    <cellStyle name="Output 2 3 2 2" xfId="744" xr:uid="{00000000-0005-0000-0000-00007D020000}"/>
    <cellStyle name="Output 2 3 3" xfId="673" xr:uid="{00000000-0005-0000-0000-00007E020000}"/>
    <cellStyle name="Output 2 4" xfId="499" xr:uid="{00000000-0005-0000-0000-00007F020000}"/>
    <cellStyle name="Output 2 4 2" xfId="726" xr:uid="{00000000-0005-0000-0000-000080020000}"/>
    <cellStyle name="Output 2 5" xfId="512" xr:uid="{00000000-0005-0000-0000-000081020000}"/>
    <cellStyle name="Output 2_בחירה מרשימה" xfId="317" xr:uid="{00000000-0005-0000-0000-000082020000}"/>
    <cellStyle name="Output 3" xfId="116" xr:uid="{00000000-0005-0000-0000-000083020000}"/>
    <cellStyle name="Output 3 2" xfId="251" xr:uid="{00000000-0005-0000-0000-000084020000}"/>
    <cellStyle name="Output 3 2 2" xfId="486" xr:uid="{00000000-0005-0000-0000-000085020000}"/>
    <cellStyle name="Output 3 2 2 2" xfId="556" xr:uid="{00000000-0005-0000-0000-000086020000}"/>
    <cellStyle name="Output 3 2 2 2 2" xfId="759" xr:uid="{00000000-0005-0000-0000-000087020000}"/>
    <cellStyle name="Output 3 2 2 3" xfId="717" xr:uid="{00000000-0005-0000-0000-000088020000}"/>
    <cellStyle name="Output 3 2 3" xfId="526" xr:uid="{00000000-0005-0000-0000-000089020000}"/>
    <cellStyle name="Output 3 2 3 2" xfId="741" xr:uid="{00000000-0005-0000-0000-00008A020000}"/>
    <cellStyle name="Output 3 2 4" xfId="503" xr:uid="{00000000-0005-0000-0000-00008B020000}"/>
    <cellStyle name="Output 3 3" xfId="415" xr:uid="{00000000-0005-0000-0000-00008C020000}"/>
    <cellStyle name="Output 3 3 2" xfId="536" xr:uid="{00000000-0005-0000-0000-00008D020000}"/>
    <cellStyle name="Output 3 3 2 2" xfId="746" xr:uid="{00000000-0005-0000-0000-00008E020000}"/>
    <cellStyle name="Output 3 3 3" xfId="668" xr:uid="{00000000-0005-0000-0000-00008F020000}"/>
    <cellStyle name="Output 3 4" xfId="493" xr:uid="{00000000-0005-0000-0000-000090020000}"/>
    <cellStyle name="Output 3 4 2" xfId="721" xr:uid="{00000000-0005-0000-0000-000091020000}"/>
    <cellStyle name="Output 3 5" xfId="532" xr:uid="{00000000-0005-0000-0000-000092020000}"/>
    <cellStyle name="Output 3_בחירה מרשימה" xfId="318" xr:uid="{00000000-0005-0000-0000-000093020000}"/>
    <cellStyle name="Output 4" xfId="379" xr:uid="{00000000-0005-0000-0000-000094020000}"/>
    <cellStyle name="Output 4 2" xfId="509" xr:uid="{00000000-0005-0000-0000-000095020000}"/>
    <cellStyle name="Output 4 2 2" xfId="732" xr:uid="{00000000-0005-0000-0000-000096020000}"/>
    <cellStyle name="Output 4 3" xfId="646" xr:uid="{00000000-0005-0000-0000-000097020000}"/>
    <cellStyle name="Output 5" xfId="453" xr:uid="{00000000-0005-0000-0000-000098020000}"/>
    <cellStyle name="Output 5 2" xfId="700" xr:uid="{00000000-0005-0000-0000-000099020000}"/>
    <cellStyle name="Output 6" xfId="546" xr:uid="{00000000-0005-0000-0000-00009A020000}"/>
    <cellStyle name="Output_בחירה מרשימה" xfId="316" xr:uid="{00000000-0005-0000-0000-00009B020000}"/>
    <cellStyle name="Percent" xfId="1" builtinId="5"/>
    <cellStyle name="Percent 2" xfId="5" xr:uid="{00000000-0005-0000-0000-00009D020000}"/>
    <cellStyle name="Percent 2 2" xfId="10" xr:uid="{00000000-0005-0000-0000-00009E020000}"/>
    <cellStyle name="Percent 2 3" xfId="66" xr:uid="{00000000-0005-0000-0000-00009F020000}"/>
    <cellStyle name="Percent 2 3 2" xfId="78" xr:uid="{00000000-0005-0000-0000-0000A0020000}"/>
    <cellStyle name="Percent 3" xfId="4" xr:uid="{00000000-0005-0000-0000-0000A1020000}"/>
    <cellStyle name="Percent 3 2" xfId="11" xr:uid="{00000000-0005-0000-0000-0000A2020000}"/>
    <cellStyle name="Percent 4" xfId="12" xr:uid="{00000000-0005-0000-0000-0000A3020000}"/>
    <cellStyle name="Percent 4 2" xfId="67" xr:uid="{00000000-0005-0000-0000-0000A4020000}"/>
    <cellStyle name="Percent 4 2 2" xfId="79" xr:uid="{00000000-0005-0000-0000-0000A5020000}"/>
    <cellStyle name="Percent 4 3" xfId="68" xr:uid="{00000000-0005-0000-0000-0000A6020000}"/>
    <cellStyle name="Percent 4 4" xfId="230" xr:uid="{00000000-0005-0000-0000-0000A7020000}"/>
    <cellStyle name="Percent 5" xfId="80" xr:uid="{00000000-0005-0000-0000-0000A8020000}"/>
    <cellStyle name="Percent 5 2" xfId="111" xr:uid="{00000000-0005-0000-0000-0000A9020000}"/>
    <cellStyle name="Percent 5 2 2" xfId="155" xr:uid="{00000000-0005-0000-0000-0000AA020000}"/>
    <cellStyle name="Percent 5 2 2 2" xfId="628" xr:uid="{00000000-0005-0000-0000-0000AB020000}"/>
    <cellStyle name="Percent 5 2 3" xfId="597" xr:uid="{00000000-0005-0000-0000-0000AC020000}"/>
    <cellStyle name="Percent 5 3" xfId="129" xr:uid="{00000000-0005-0000-0000-0000AD020000}"/>
    <cellStyle name="Percent 5 3 2" xfId="604" xr:uid="{00000000-0005-0000-0000-0000AE020000}"/>
    <cellStyle name="Percent 5 4" xfId="234" xr:uid="{00000000-0005-0000-0000-0000AF020000}"/>
    <cellStyle name="Percent 5 5" xfId="571" xr:uid="{00000000-0005-0000-0000-0000B0020000}"/>
    <cellStyle name="Percent 6" xfId="82" xr:uid="{00000000-0005-0000-0000-0000B1020000}"/>
    <cellStyle name="Percent 6 2" xfId="112" xr:uid="{00000000-0005-0000-0000-0000B2020000}"/>
    <cellStyle name="Percent 6 2 2" xfId="156" xr:uid="{00000000-0005-0000-0000-0000B3020000}"/>
    <cellStyle name="Percent 6 2 2 2" xfId="629" xr:uid="{00000000-0005-0000-0000-0000B4020000}"/>
    <cellStyle name="Percent 6 2 3" xfId="598" xr:uid="{00000000-0005-0000-0000-0000B5020000}"/>
    <cellStyle name="Percent 6 3" xfId="130" xr:uid="{00000000-0005-0000-0000-0000B6020000}"/>
    <cellStyle name="Percent 6 3 2" xfId="605" xr:uid="{00000000-0005-0000-0000-0000B7020000}"/>
    <cellStyle name="Percent 6 4" xfId="572" xr:uid="{00000000-0005-0000-0000-0000B8020000}"/>
    <cellStyle name="Percent 7" xfId="85" xr:uid="{00000000-0005-0000-0000-0000B9020000}"/>
    <cellStyle name="Percent 7 2" xfId="113" xr:uid="{00000000-0005-0000-0000-0000BA020000}"/>
    <cellStyle name="Percent 7 2 2" xfId="157" xr:uid="{00000000-0005-0000-0000-0000BB020000}"/>
    <cellStyle name="Percent 7 2 2 2" xfId="630" xr:uid="{00000000-0005-0000-0000-0000BC020000}"/>
    <cellStyle name="Percent 7 2 3" xfId="599" xr:uid="{00000000-0005-0000-0000-0000BD020000}"/>
    <cellStyle name="Percent 7 3" xfId="132" xr:uid="{00000000-0005-0000-0000-0000BE020000}"/>
    <cellStyle name="Percent 7 3 2" xfId="607" xr:uid="{00000000-0005-0000-0000-0000BF020000}"/>
    <cellStyle name="Percent 7 4" xfId="575" xr:uid="{00000000-0005-0000-0000-0000C0020000}"/>
    <cellStyle name="Percent 8" xfId="96" xr:uid="{00000000-0005-0000-0000-0000C1020000}"/>
    <cellStyle name="Percent 8 2" xfId="114" xr:uid="{00000000-0005-0000-0000-0000C2020000}"/>
    <cellStyle name="Percent 8 2 2" xfId="158" xr:uid="{00000000-0005-0000-0000-0000C3020000}"/>
    <cellStyle name="Percent 8 2 2 2" xfId="631" xr:uid="{00000000-0005-0000-0000-0000C4020000}"/>
    <cellStyle name="Percent 8 2 3" xfId="600" xr:uid="{00000000-0005-0000-0000-0000C5020000}"/>
    <cellStyle name="Percent 8 3" xfId="140" xr:uid="{00000000-0005-0000-0000-0000C6020000}"/>
    <cellStyle name="Percent 8 3 2" xfId="615" xr:uid="{00000000-0005-0000-0000-0000C7020000}"/>
    <cellStyle name="Percent 8 4" xfId="584" xr:uid="{00000000-0005-0000-0000-0000C8020000}"/>
    <cellStyle name="Percent 9" xfId="97" xr:uid="{00000000-0005-0000-0000-0000C9020000}"/>
    <cellStyle name="Percent 9 2" xfId="141" xr:uid="{00000000-0005-0000-0000-0000CA020000}"/>
    <cellStyle name="Percent 9 2 2" xfId="616" xr:uid="{00000000-0005-0000-0000-0000CB020000}"/>
    <cellStyle name="Percent 9 3" xfId="585" xr:uid="{00000000-0005-0000-0000-0000CC020000}"/>
    <cellStyle name="Title" xfId="69" xr:uid="{00000000-0005-0000-0000-0000CD020000}"/>
    <cellStyle name="Title 2" xfId="218" xr:uid="{00000000-0005-0000-0000-0000CE020000}"/>
    <cellStyle name="Title 3" xfId="380" xr:uid="{00000000-0005-0000-0000-0000CF020000}"/>
    <cellStyle name="Total" xfId="70" xr:uid="{00000000-0005-0000-0000-0000D0020000}"/>
    <cellStyle name="Total 2" xfId="123" xr:uid="{00000000-0005-0000-0000-0000D1020000}"/>
    <cellStyle name="Total 2 2" xfId="252" xr:uid="{00000000-0005-0000-0000-0000D2020000}"/>
    <cellStyle name="Total 2 2 2" xfId="487" xr:uid="{00000000-0005-0000-0000-0000D3020000}"/>
    <cellStyle name="Total 2 2 2 2" xfId="557" xr:uid="{00000000-0005-0000-0000-0000D4020000}"/>
    <cellStyle name="Total 2 2 2 2 2" xfId="760" xr:uid="{00000000-0005-0000-0000-0000D5020000}"/>
    <cellStyle name="Total 2 2 2 3" xfId="718" xr:uid="{00000000-0005-0000-0000-0000D6020000}"/>
    <cellStyle name="Total 2 2 3" xfId="527" xr:uid="{00000000-0005-0000-0000-0000D7020000}"/>
    <cellStyle name="Total 2 2 3 2" xfId="742" xr:uid="{00000000-0005-0000-0000-0000D8020000}"/>
    <cellStyle name="Total 2 2 4" xfId="490" xr:uid="{00000000-0005-0000-0000-0000D9020000}"/>
    <cellStyle name="Total 2 3" xfId="422" xr:uid="{00000000-0005-0000-0000-0000DA020000}"/>
    <cellStyle name="Total 2 3 2" xfId="507" xr:uid="{00000000-0005-0000-0000-0000DB020000}"/>
    <cellStyle name="Total 2 3 2 2" xfId="730" xr:uid="{00000000-0005-0000-0000-0000DC020000}"/>
    <cellStyle name="Total 2 3 3" xfId="674" xr:uid="{00000000-0005-0000-0000-0000DD020000}"/>
    <cellStyle name="Total 2 4" xfId="500" xr:uid="{00000000-0005-0000-0000-0000DE020000}"/>
    <cellStyle name="Total 2 4 2" xfId="727" xr:uid="{00000000-0005-0000-0000-0000DF020000}"/>
    <cellStyle name="Total 2 5" xfId="531" xr:uid="{00000000-0005-0000-0000-0000E0020000}"/>
    <cellStyle name="Total 2_בחירה מרשימה" xfId="320" xr:uid="{00000000-0005-0000-0000-0000E1020000}"/>
    <cellStyle name="Total 3" xfId="159" xr:uid="{00000000-0005-0000-0000-0000E2020000}"/>
    <cellStyle name="Total 3 2" xfId="253" xr:uid="{00000000-0005-0000-0000-0000E3020000}"/>
    <cellStyle name="Total 3 2 2" xfId="488" xr:uid="{00000000-0005-0000-0000-0000E4020000}"/>
    <cellStyle name="Total 3 2 2 2" xfId="558" xr:uid="{00000000-0005-0000-0000-0000E5020000}"/>
    <cellStyle name="Total 3 2 2 2 2" xfId="761" xr:uid="{00000000-0005-0000-0000-0000E6020000}"/>
    <cellStyle name="Total 3 2 2 3" xfId="719" xr:uid="{00000000-0005-0000-0000-0000E7020000}"/>
    <cellStyle name="Total 3 2 3" xfId="528" xr:uid="{00000000-0005-0000-0000-0000E8020000}"/>
    <cellStyle name="Total 3 2 3 2" xfId="743" xr:uid="{00000000-0005-0000-0000-0000E9020000}"/>
    <cellStyle name="Total 3 2 4" xfId="459" xr:uid="{00000000-0005-0000-0000-0000EA020000}"/>
    <cellStyle name="Total 3 3" xfId="449" xr:uid="{00000000-0005-0000-0000-0000EB020000}"/>
    <cellStyle name="Total 3 3 2" xfId="547" xr:uid="{00000000-0005-0000-0000-0000EC020000}"/>
    <cellStyle name="Total 3 3 2 2" xfId="750" xr:uid="{00000000-0005-0000-0000-0000ED020000}"/>
    <cellStyle name="Total 3 3 3" xfId="697" xr:uid="{00000000-0005-0000-0000-0000EE020000}"/>
    <cellStyle name="Total 3 4" xfId="505" xr:uid="{00000000-0005-0000-0000-0000EF020000}"/>
    <cellStyle name="Total 3 4 2" xfId="728" xr:uid="{00000000-0005-0000-0000-0000F0020000}"/>
    <cellStyle name="Total 3 5" xfId="545" xr:uid="{00000000-0005-0000-0000-0000F1020000}"/>
    <cellStyle name="Total 3_בחירה מרשימה" xfId="321" xr:uid="{00000000-0005-0000-0000-0000F2020000}"/>
    <cellStyle name="Total 4" xfId="381" xr:uid="{00000000-0005-0000-0000-0000F3020000}"/>
    <cellStyle name="Total 4 2" xfId="537" xr:uid="{00000000-0005-0000-0000-0000F4020000}"/>
    <cellStyle name="Total 4 2 2" xfId="747" xr:uid="{00000000-0005-0000-0000-0000F5020000}"/>
    <cellStyle name="Total 4 3" xfId="647" xr:uid="{00000000-0005-0000-0000-0000F6020000}"/>
    <cellStyle name="Total 5" xfId="452" xr:uid="{00000000-0005-0000-0000-0000F7020000}"/>
    <cellStyle name="Total 5 2" xfId="699" xr:uid="{00000000-0005-0000-0000-0000F8020000}"/>
    <cellStyle name="Total 6" xfId="544" xr:uid="{00000000-0005-0000-0000-0000F9020000}"/>
    <cellStyle name="Total_בחירה מרשימה" xfId="319" xr:uid="{00000000-0005-0000-0000-0000FA020000}"/>
    <cellStyle name="Warning Text" xfId="71" xr:uid="{00000000-0005-0000-0000-0000FB020000}"/>
    <cellStyle name="Warning Text 2" xfId="219" xr:uid="{00000000-0005-0000-0000-0000FC020000}"/>
    <cellStyle name="Warning Text 2 2" xfId="238" xr:uid="{00000000-0005-0000-0000-0000FD020000}"/>
    <cellStyle name="Warning Text 2 2 2" xfId="489" xr:uid="{00000000-0005-0000-0000-0000FE020000}"/>
    <cellStyle name="Warning Text 3" xfId="382" xr:uid="{00000000-0005-0000-0000-0000FF020000}"/>
    <cellStyle name="הדגשה3" xfId="768" builtinId="37"/>
    <cellStyle name="הערה" xfId="769" builtinId="10"/>
    <cellStyle name="רע" xfId="767" builtinId="27"/>
  </cellStyles>
  <dxfs count="409">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fgColor auto="1"/>
          <bgColor rgb="FF00B05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ont>
        <color rgb="FFFF0000"/>
      </font>
    </dxf>
    <dxf>
      <fill>
        <patternFill patternType="solid">
          <bgColor theme="0"/>
        </patternFill>
      </fill>
    </dxf>
    <dxf>
      <fill>
        <patternFill>
          <bgColor rgb="FFFFFFCC"/>
        </patternFill>
      </fill>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ont>
        <color rgb="FFFF0000"/>
      </font>
    </dxf>
    <dxf>
      <fill>
        <patternFill>
          <bgColor rgb="FFFF0000"/>
        </patternFill>
      </fill>
    </dxf>
    <dxf>
      <fill>
        <patternFill>
          <bgColor rgb="FFFFFFCC"/>
        </patternFill>
      </fill>
    </dxf>
    <dxf>
      <fill>
        <patternFill>
          <bgColor rgb="FFFF0000"/>
        </patternFill>
      </fill>
    </dxf>
    <dxf>
      <fill>
        <patternFill patternType="solid">
          <bgColor theme="0"/>
        </patternFill>
      </fill>
    </dxf>
    <dxf>
      <font>
        <color rgb="FFFF0000"/>
      </font>
    </dxf>
    <dxf>
      <fill>
        <patternFill>
          <bgColor rgb="FFFFFFCC"/>
        </patternFill>
      </fill>
    </dxf>
    <dxf>
      <fill>
        <patternFill patternType="solid">
          <bgColor theme="0"/>
        </patternFill>
      </fill>
    </dxf>
    <dxf>
      <font>
        <color rgb="FFFF0000"/>
      </font>
    </dxf>
    <dxf>
      <fill>
        <patternFill>
          <bgColor rgb="FFFF0000"/>
        </patternFill>
      </fill>
    </dxf>
    <dxf>
      <fill>
        <patternFill>
          <bgColor rgb="FFFFFFCC"/>
        </patternFill>
      </fill>
    </dxf>
    <dxf>
      <fill>
        <patternFill patternType="solid">
          <bgColor theme="0"/>
        </patternFill>
      </fill>
    </dxf>
    <dxf>
      <fill>
        <patternFill>
          <bgColor rgb="FFFFFFCC"/>
        </patternFill>
      </fill>
    </dxf>
    <dxf>
      <font>
        <color rgb="FFFF0000"/>
      </font>
    </dxf>
    <dxf>
      <fill>
        <patternFill patternType="solid">
          <bgColor theme="0"/>
        </patternFill>
      </fill>
    </dxf>
    <dxf>
      <font>
        <color rgb="FFFF0000"/>
      </font>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ont>
        <color rgb="FFFF0000"/>
      </font>
    </dxf>
    <dxf>
      <fill>
        <patternFill>
          <bgColor rgb="FFFFFFCC"/>
        </patternFill>
      </fill>
    </dxf>
    <dxf>
      <fill>
        <patternFill patternType="solid">
          <bgColor theme="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ont>
        <color rgb="FFFF0000"/>
      </font>
    </dxf>
    <dxf>
      <fill>
        <patternFill>
          <bgColor rgb="FFFFFFCC"/>
        </patternFill>
      </fill>
    </dxf>
    <dxf>
      <fill>
        <patternFill patternType="solid">
          <bgColor theme="0"/>
        </patternFill>
      </fill>
    </dxf>
    <dxf>
      <font>
        <color rgb="FFFF0000"/>
      </font>
    </dxf>
    <dxf>
      <fill>
        <patternFill patternType="solid">
          <bgColor theme="0"/>
        </patternFill>
      </fill>
    </dxf>
    <dxf>
      <fill>
        <patternFill>
          <bgColor rgb="FFFFFFCC"/>
        </patternFill>
      </fill>
    </dxf>
    <dxf>
      <font>
        <color rgb="FFFF0000"/>
      </font>
    </dxf>
    <dxf>
      <fill>
        <patternFill>
          <bgColor rgb="FFFF0000"/>
        </patternFill>
      </fill>
    </dxf>
    <dxf>
      <fill>
        <patternFill patternType="solid">
          <bgColor theme="0"/>
        </patternFill>
      </fill>
    </dxf>
    <dxf>
      <font>
        <color rgb="FFFF0000"/>
      </font>
    </dxf>
    <dxf>
      <fill>
        <patternFill>
          <bgColor rgb="FFFFFFCC"/>
        </patternFill>
      </fill>
    </dxf>
    <dxf>
      <fill>
        <patternFill>
          <bgColor rgb="FFFFFFCC"/>
        </patternFill>
      </fill>
    </dxf>
    <dxf>
      <fill>
        <patternFill patternType="solid">
          <bgColor theme="0"/>
        </patternFill>
      </fill>
    </dxf>
    <dxf>
      <font>
        <color rgb="FFFF0000"/>
      </font>
    </dxf>
    <dxf>
      <fill>
        <patternFill>
          <bgColor rgb="FFFF000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ont>
        <color rgb="FFFF0000"/>
      </font>
    </dxf>
    <dxf>
      <fill>
        <patternFill>
          <bgColor rgb="FFFFFFCC"/>
        </patternFill>
      </fill>
    </dxf>
    <dxf>
      <fill>
        <patternFill patternType="solid">
          <bgColor theme="0"/>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0000"/>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ont>
        <color rgb="FFFF0000"/>
      </font>
    </dxf>
    <dxf>
      <font>
        <color rgb="FFFF0000"/>
      </font>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FF00"/>
        </patternFill>
      </fill>
    </dxf>
    <dxf>
      <fill>
        <patternFill patternType="solid">
          <bgColor theme="0"/>
        </patternFill>
      </fill>
    </dxf>
    <dxf>
      <font>
        <color rgb="FFFF0000"/>
      </font>
    </dxf>
    <dxf>
      <fill>
        <patternFill>
          <bgColor rgb="FFFFFFCC"/>
        </patternFill>
      </fill>
    </dxf>
    <dxf>
      <fill>
        <patternFill>
          <bgColor rgb="FFFF0000"/>
        </patternFill>
      </fill>
    </dxf>
    <dxf>
      <fill>
        <patternFill patternType="solid">
          <bgColor theme="0"/>
        </patternFill>
      </fill>
    </dxf>
    <dxf>
      <font>
        <color rgb="FFFF0000"/>
      </font>
    </dxf>
    <dxf>
      <fill>
        <patternFill>
          <bgColor rgb="FFFF0000"/>
        </patternFill>
      </fill>
    </dxf>
    <dxf>
      <fill>
        <patternFill patternType="solid">
          <bgColor theme="0"/>
        </patternFill>
      </fill>
    </dxf>
    <dxf>
      <font>
        <color rgb="FFFF0000"/>
      </font>
    </dxf>
    <dxf>
      <fill>
        <patternFill>
          <bgColor rgb="FFFFFFCC"/>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ont>
        <color rgb="FFFF0000"/>
      </font>
    </dxf>
    <dxf>
      <fill>
        <patternFill>
          <bgColor rgb="FFFF0000"/>
        </patternFill>
      </fill>
    </dxf>
    <dxf>
      <fill>
        <patternFill patternType="none">
          <bgColor auto="1"/>
        </patternFill>
      </fill>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fill>
        <patternFill>
          <bgColor theme="7" tint="0.59996337778862885"/>
        </patternFill>
      </fill>
      <border>
        <left style="medium">
          <color auto="1"/>
        </left>
        <right style="medium">
          <color auto="1"/>
        </right>
        <top style="medium">
          <color auto="1"/>
        </top>
        <bottom style="medium">
          <color auto="1"/>
        </bottom>
      </border>
    </dxf>
    <dxf>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סגנון PivotTable 1" table="0" count="6" xr9:uid="{00000000-0011-0000-FFFF-FFFF00000000}">
      <tableStyleElement type="wholeTable" dxfId="408"/>
      <tableStyleElement type="headerRow" dxfId="407"/>
      <tableStyleElement type="totalRow" dxfId="406"/>
      <tableStyleElement type="firstRowSubheading" dxfId="405"/>
      <tableStyleElement type="secondRowSubheading" dxfId="404"/>
      <tableStyleElement type="thirdRowSubheading" dxfId="403"/>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10/relationships/person" Target="persons/person.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persons/person.xml><?xml version="1.0" encoding="utf-8"?>
<personList xmlns="http://schemas.microsoft.com/office/spreadsheetml/2018/threadedcomments" xmlns:x="http://schemas.openxmlformats.org/spreadsheetml/2006/main">
  <person displayName="איליי מלמד" id="{77C3C1A3-91E4-44C3-A00B-14FDE3B7B522}" userId="S::ilay_m@malam-academy.co.il::0b00d782-85b6-4d60-9556-4de4f8b91d9d" providerId="AD"/>
</personList>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53" dT="2025-07-10T11:21:13.14" personId="{77C3C1A3-91E4-44C3-A00B-14FDE3B7B522}" id="{D33EFA61-31CE-4611-84C9-448078E1CA76}">
    <text>נפסלים לפי 5 מבצעים במוסיקה הכלית</text>
  </threadedComment>
  <threadedComment ref="F57" dT="2025-07-10T11:22:52.89" personId="{77C3C1A3-91E4-44C3-A00B-14FDE3B7B522}" id="{D8599E1F-BF4F-454F-96D1-9F6F5662B8BF}">
    <text>נפסלים לפי מספר הרצות נמוך</text>
  </threadedComment>
  <threadedComment ref="F87" dT="2025-06-26T11:16:22.65" personId="{77C3C1A3-91E4-44C3-A00B-14FDE3B7B522}" id="{EF63733C-CA17-42EC-BC82-C823D77DF48F}">
    <text>לא הזינו את סעיפים 2 ו - 3 בגיליון תנאי סף מיוחדים</text>
  </threadedComment>
  <threadedComment ref="F93" dT="2025-06-26T09:11:49.35" personId="{77C3C1A3-91E4-44C3-A00B-14FDE3B7B522}" id="{9EF31D4C-DBF1-451E-BCA9-25FA4A4E2530}">
    <text>נפסלים לפי מספר הרצות נמוך</text>
  </threadedComment>
  <threadedComment ref="F95" dT="2025-06-26T10:47:51.90" personId="{77C3C1A3-91E4-44C3-A00B-14FDE3B7B522}" id="{66D28B78-6192-400E-876D-C3DF908B1E90}">
    <text>נפסלים לפי מספר הרצות נמוך</text>
  </threadedComment>
  <threadedComment ref="F96" dT="2025-06-26T11:00:06.14" personId="{77C3C1A3-91E4-44C3-A00B-14FDE3B7B522}" id="{FBBBA36B-D4E7-430B-A5FA-B9B33205FFCB}">
    <text>נפסלים לפי מספר הרצות</text>
  </threadedComment>
  <threadedComment ref="F107" dT="2025-07-10T11:18:08.13" personId="{77C3C1A3-91E4-44C3-A00B-14FDE3B7B522}" id="{55BBD27B-03EE-4026-8639-CB280037FBC1}">
    <text>נפסלים לפי מספר הרצות נמוך</text>
  </threadedComment>
</ThreadedComments>
</file>

<file path=xl/threadedComments/threadedComment2.xml><?xml version="1.0" encoding="utf-8"?>
<ThreadedComments xmlns="http://schemas.microsoft.com/office/spreadsheetml/2018/threadedcomments" xmlns:x="http://schemas.openxmlformats.org/spreadsheetml/2006/main">
  <threadedComment ref="G36" dT="2025-06-22T11:03:14.40" personId="{77C3C1A3-91E4-44C3-A00B-14FDE3B7B522}" id="{F624526A-2C40-4776-B18D-BD88E186FE8C}">
    <text>לא הזינו נתונים כנדרש</text>
  </threadedComment>
  <threadedComment ref="H36" dT="2025-06-22T11:03:14.40" personId="{77C3C1A3-91E4-44C3-A00B-14FDE3B7B522}" id="{3BB298FD-842E-4795-9E0E-D5090A6C9335}">
    <text>לא הזינו נתונים כנדרש</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 Id="rId4" Type="http://schemas.microsoft.com/office/2017/10/relationships/threadedComment" Target="../threadedComments/threadedComment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tabColor indexed="10"/>
  </sheetPr>
  <dimension ref="A1:C170"/>
  <sheetViews>
    <sheetView rightToLeft="1" workbookViewId="0"/>
  </sheetViews>
  <sheetFormatPr defaultRowHeight="15.75" x14ac:dyDescent="0.25"/>
  <sheetData>
    <row r="1" spans="1:2" x14ac:dyDescent="0.25">
      <c r="B1">
        <v>0.2228357195854187</v>
      </c>
    </row>
    <row r="2" spans="1:2" x14ac:dyDescent="0.25">
      <c r="B2">
        <v>45523.457199074073</v>
      </c>
    </row>
    <row r="6" spans="1:2" x14ac:dyDescent="0.25">
      <c r="A6" t="s">
        <v>0</v>
      </c>
      <c r="B6" t="b">
        <v>1</v>
      </c>
    </row>
    <row r="7" spans="1:2" x14ac:dyDescent="0.25">
      <c r="A7" t="s">
        <v>1</v>
      </c>
      <c r="B7" t="b">
        <v>1</v>
      </c>
    </row>
    <row r="8" spans="1:2" x14ac:dyDescent="0.25">
      <c r="A8" t="s">
        <v>2</v>
      </c>
      <c r="B8" t="b">
        <v>1</v>
      </c>
    </row>
    <row r="9" spans="1:2" x14ac:dyDescent="0.25">
      <c r="A9" t="s">
        <v>3</v>
      </c>
      <c r="B9" t="b">
        <v>1</v>
      </c>
    </row>
    <row r="20" spans="2:3" x14ac:dyDescent="0.25">
      <c r="B20" s="354"/>
    </row>
    <row r="21" spans="2:3" x14ac:dyDescent="0.25">
      <c r="B21" s="354">
        <v>1</v>
      </c>
      <c r="C21" t="s">
        <v>4</v>
      </c>
    </row>
    <row r="22" spans="2:3" x14ac:dyDescent="0.25">
      <c r="B22" s="354">
        <v>2</v>
      </c>
      <c r="C22" t="s">
        <v>5</v>
      </c>
    </row>
    <row r="23" spans="2:3" x14ac:dyDescent="0.25">
      <c r="B23" s="354">
        <v>3</v>
      </c>
      <c r="C23" t="s">
        <v>6</v>
      </c>
    </row>
    <row r="24" spans="2:3" x14ac:dyDescent="0.25">
      <c r="B24" s="354">
        <v>4</v>
      </c>
      <c r="C24" t="s">
        <v>7</v>
      </c>
    </row>
    <row r="25" spans="2:3" x14ac:dyDescent="0.25">
      <c r="B25" s="354">
        <v>5</v>
      </c>
      <c r="C25" t="s">
        <v>8</v>
      </c>
    </row>
    <row r="26" spans="2:3" x14ac:dyDescent="0.25">
      <c r="B26" s="354">
        <v>6</v>
      </c>
      <c r="C26" t="s">
        <v>9</v>
      </c>
    </row>
    <row r="27" spans="2:3" x14ac:dyDescent="0.25">
      <c r="B27" s="354">
        <v>7</v>
      </c>
      <c r="C27" t="s">
        <v>10</v>
      </c>
    </row>
    <row r="28" spans="2:3" x14ac:dyDescent="0.25">
      <c r="B28" s="354">
        <v>8</v>
      </c>
      <c r="C28" t="s">
        <v>11</v>
      </c>
    </row>
    <row r="29" spans="2:3" x14ac:dyDescent="0.25">
      <c r="B29" s="354">
        <v>9</v>
      </c>
      <c r="C29" t="s">
        <v>12</v>
      </c>
    </row>
    <row r="30" spans="2:3" x14ac:dyDescent="0.25">
      <c r="B30" s="354">
        <v>10</v>
      </c>
      <c r="C30" t="s">
        <v>13</v>
      </c>
    </row>
    <row r="31" spans="2:3" x14ac:dyDescent="0.25">
      <c r="B31" s="354">
        <v>11</v>
      </c>
      <c r="C31" t="s">
        <v>14</v>
      </c>
    </row>
    <row r="32" spans="2:3" x14ac:dyDescent="0.25">
      <c r="B32" s="354">
        <v>12</v>
      </c>
      <c r="C32" t="s">
        <v>15</v>
      </c>
    </row>
    <row r="33" spans="2:3" x14ac:dyDescent="0.25">
      <c r="B33" s="354">
        <v>13</v>
      </c>
      <c r="C33" t="s">
        <v>16</v>
      </c>
    </row>
    <row r="34" spans="2:3" x14ac:dyDescent="0.25">
      <c r="B34" s="354">
        <v>14</v>
      </c>
      <c r="C34" t="s">
        <v>17</v>
      </c>
    </row>
    <row r="35" spans="2:3" x14ac:dyDescent="0.25">
      <c r="B35" s="354">
        <v>15</v>
      </c>
      <c r="C35" t="s">
        <v>18</v>
      </c>
    </row>
    <row r="36" spans="2:3" x14ac:dyDescent="0.25">
      <c r="B36" s="354">
        <v>16</v>
      </c>
      <c r="C36" t="s">
        <v>19</v>
      </c>
    </row>
    <row r="37" spans="2:3" x14ac:dyDescent="0.25">
      <c r="B37" s="354">
        <v>17</v>
      </c>
      <c r="C37" t="s">
        <v>20</v>
      </c>
    </row>
    <row r="38" spans="2:3" x14ac:dyDescent="0.25">
      <c r="B38" s="354">
        <v>18</v>
      </c>
      <c r="C38" t="s">
        <v>21</v>
      </c>
    </row>
    <row r="39" spans="2:3" x14ac:dyDescent="0.25">
      <c r="B39" s="354">
        <v>19</v>
      </c>
      <c r="C39" t="s">
        <v>22</v>
      </c>
    </row>
    <row r="40" spans="2:3" x14ac:dyDescent="0.25">
      <c r="B40" s="354">
        <v>20</v>
      </c>
      <c r="C40" t="s">
        <v>23</v>
      </c>
    </row>
    <row r="41" spans="2:3" x14ac:dyDescent="0.25">
      <c r="B41" s="354">
        <v>21</v>
      </c>
      <c r="C41" t="s">
        <v>24</v>
      </c>
    </row>
    <row r="42" spans="2:3" x14ac:dyDescent="0.25">
      <c r="B42" s="354">
        <v>22</v>
      </c>
      <c r="C42" t="s">
        <v>25</v>
      </c>
    </row>
    <row r="43" spans="2:3" x14ac:dyDescent="0.25">
      <c r="B43" s="354">
        <v>23</v>
      </c>
      <c r="C43" t="s">
        <v>26</v>
      </c>
    </row>
    <row r="44" spans="2:3" x14ac:dyDescent="0.25">
      <c r="B44" s="354">
        <v>24</v>
      </c>
      <c r="C44" t="s">
        <v>27</v>
      </c>
    </row>
    <row r="45" spans="2:3" x14ac:dyDescent="0.25">
      <c r="B45" s="354">
        <v>25</v>
      </c>
      <c r="C45" t="s">
        <v>28</v>
      </c>
    </row>
    <row r="46" spans="2:3" x14ac:dyDescent="0.25">
      <c r="B46" s="354">
        <v>26</v>
      </c>
      <c r="C46" t="s">
        <v>29</v>
      </c>
    </row>
    <row r="47" spans="2:3" x14ac:dyDescent="0.25">
      <c r="B47" s="354">
        <v>27</v>
      </c>
      <c r="C47" t="s">
        <v>30</v>
      </c>
    </row>
    <row r="48" spans="2:3" x14ac:dyDescent="0.25">
      <c r="B48" s="354">
        <v>28</v>
      </c>
      <c r="C48" t="s">
        <v>31</v>
      </c>
    </row>
    <row r="49" spans="2:2" x14ac:dyDescent="0.25">
      <c r="B49" s="354"/>
    </row>
    <row r="50" spans="2:2" x14ac:dyDescent="0.25">
      <c r="B50" s="354"/>
    </row>
    <row r="51" spans="2:2" x14ac:dyDescent="0.25">
      <c r="B51" s="354"/>
    </row>
    <row r="52" spans="2:2" x14ac:dyDescent="0.25">
      <c r="B52" s="354"/>
    </row>
    <row r="53" spans="2:2" x14ac:dyDescent="0.25">
      <c r="B53" s="354"/>
    </row>
    <row r="54" spans="2:2" x14ac:dyDescent="0.25">
      <c r="B54" s="354"/>
    </row>
    <row r="55" spans="2:2" x14ac:dyDescent="0.25">
      <c r="B55" s="354"/>
    </row>
    <row r="56" spans="2:2" x14ac:dyDescent="0.25">
      <c r="B56" s="354"/>
    </row>
    <row r="57" spans="2:2" x14ac:dyDescent="0.25">
      <c r="B57" s="354"/>
    </row>
    <row r="58" spans="2:2" x14ac:dyDescent="0.25">
      <c r="B58" s="354"/>
    </row>
    <row r="59" spans="2:2" x14ac:dyDescent="0.25">
      <c r="B59" s="354"/>
    </row>
    <row r="60" spans="2:2" x14ac:dyDescent="0.25">
      <c r="B60" s="354"/>
    </row>
    <row r="61" spans="2:2" x14ac:dyDescent="0.25">
      <c r="B61" s="354"/>
    </row>
    <row r="62" spans="2:2" x14ac:dyDescent="0.25">
      <c r="B62" s="354"/>
    </row>
    <row r="63" spans="2:2" x14ac:dyDescent="0.25">
      <c r="B63" s="354"/>
    </row>
    <row r="64" spans="2:2" x14ac:dyDescent="0.25">
      <c r="B64" s="354"/>
    </row>
    <row r="65" spans="2:2" x14ac:dyDescent="0.25">
      <c r="B65" s="354"/>
    </row>
    <row r="66" spans="2:2" x14ac:dyDescent="0.25">
      <c r="B66" s="354"/>
    </row>
    <row r="67" spans="2:2" x14ac:dyDescent="0.25">
      <c r="B67" s="354"/>
    </row>
    <row r="68" spans="2:2" x14ac:dyDescent="0.25">
      <c r="B68" s="354"/>
    </row>
    <row r="69" spans="2:2" x14ac:dyDescent="0.25">
      <c r="B69" s="354"/>
    </row>
    <row r="70" spans="2:2" x14ac:dyDescent="0.25">
      <c r="B70" s="354"/>
    </row>
    <row r="71" spans="2:2" x14ac:dyDescent="0.25">
      <c r="B71" s="354"/>
    </row>
    <row r="72" spans="2:2" x14ac:dyDescent="0.25">
      <c r="B72" s="354"/>
    </row>
    <row r="73" spans="2:2" x14ac:dyDescent="0.25">
      <c r="B73" s="354"/>
    </row>
    <row r="74" spans="2:2" x14ac:dyDescent="0.25">
      <c r="B74" s="354"/>
    </row>
    <row r="75" spans="2:2" x14ac:dyDescent="0.25">
      <c r="B75" s="354"/>
    </row>
    <row r="76" spans="2:2" x14ac:dyDescent="0.25">
      <c r="B76" s="354"/>
    </row>
    <row r="77" spans="2:2" x14ac:dyDescent="0.25">
      <c r="B77" s="354"/>
    </row>
    <row r="78" spans="2:2" x14ac:dyDescent="0.25">
      <c r="B78" s="354"/>
    </row>
    <row r="79" spans="2:2" x14ac:dyDescent="0.25">
      <c r="B79" s="354"/>
    </row>
    <row r="80" spans="2:2" x14ac:dyDescent="0.25">
      <c r="B80" s="354"/>
    </row>
    <row r="81" spans="2:2" x14ac:dyDescent="0.25">
      <c r="B81" s="354"/>
    </row>
    <row r="82" spans="2:2" x14ac:dyDescent="0.25">
      <c r="B82" s="354"/>
    </row>
    <row r="83" spans="2:2" x14ac:dyDescent="0.25">
      <c r="B83" s="354"/>
    </row>
    <row r="84" spans="2:2" x14ac:dyDescent="0.25">
      <c r="B84" s="354"/>
    </row>
    <row r="85" spans="2:2" x14ac:dyDescent="0.25">
      <c r="B85" s="354"/>
    </row>
    <row r="86" spans="2:2" x14ac:dyDescent="0.25">
      <c r="B86" s="354"/>
    </row>
    <row r="87" spans="2:2" x14ac:dyDescent="0.25">
      <c r="B87" s="354"/>
    </row>
    <row r="88" spans="2:2" x14ac:dyDescent="0.25">
      <c r="B88" s="354"/>
    </row>
    <row r="89" spans="2:2" x14ac:dyDescent="0.25">
      <c r="B89" s="354"/>
    </row>
    <row r="90" spans="2:2" x14ac:dyDescent="0.25">
      <c r="B90" s="354"/>
    </row>
    <row r="91" spans="2:2" x14ac:dyDescent="0.25">
      <c r="B91" s="354"/>
    </row>
    <row r="92" spans="2:2" x14ac:dyDescent="0.25">
      <c r="B92" s="354"/>
    </row>
    <row r="93" spans="2:2" x14ac:dyDescent="0.25">
      <c r="B93" s="354"/>
    </row>
    <row r="94" spans="2:2" x14ac:dyDescent="0.25">
      <c r="B94" s="354"/>
    </row>
    <row r="95" spans="2:2" x14ac:dyDescent="0.25">
      <c r="B95" s="354"/>
    </row>
    <row r="96" spans="2:2" x14ac:dyDescent="0.25">
      <c r="B96" s="354"/>
    </row>
    <row r="97" spans="2:2" x14ac:dyDescent="0.25">
      <c r="B97" s="354"/>
    </row>
    <row r="98" spans="2:2" x14ac:dyDescent="0.25">
      <c r="B98" s="354"/>
    </row>
    <row r="99" spans="2:2" x14ac:dyDescent="0.25">
      <c r="B99" s="354"/>
    </row>
    <row r="100" spans="2:2" x14ac:dyDescent="0.25">
      <c r="B100" s="354"/>
    </row>
    <row r="101" spans="2:2" x14ac:dyDescent="0.25">
      <c r="B101" s="354"/>
    </row>
    <row r="102" spans="2:2" x14ac:dyDescent="0.25">
      <c r="B102" s="354"/>
    </row>
    <row r="103" spans="2:2" x14ac:dyDescent="0.25">
      <c r="B103" s="354"/>
    </row>
    <row r="104" spans="2:2" x14ac:dyDescent="0.25">
      <c r="B104" s="354"/>
    </row>
    <row r="105" spans="2:2" x14ac:dyDescent="0.25">
      <c r="B105" s="354"/>
    </row>
    <row r="106" spans="2:2" x14ac:dyDescent="0.25">
      <c r="B106" s="354"/>
    </row>
    <row r="107" spans="2:2" x14ac:dyDescent="0.25">
      <c r="B107" s="354"/>
    </row>
    <row r="108" spans="2:2" x14ac:dyDescent="0.25">
      <c r="B108" s="354"/>
    </row>
    <row r="109" spans="2:2" x14ac:dyDescent="0.25">
      <c r="B109" s="354"/>
    </row>
    <row r="110" spans="2:2" x14ac:dyDescent="0.25">
      <c r="B110" s="354"/>
    </row>
    <row r="111" spans="2:2" x14ac:dyDescent="0.25">
      <c r="B111" s="354"/>
    </row>
    <row r="112" spans="2:2" x14ac:dyDescent="0.25">
      <c r="B112" s="354"/>
    </row>
    <row r="113" spans="2:2" x14ac:dyDescent="0.25">
      <c r="B113" s="354"/>
    </row>
    <row r="114" spans="2:2" x14ac:dyDescent="0.25">
      <c r="B114" s="354"/>
    </row>
    <row r="115" spans="2:2" x14ac:dyDescent="0.25">
      <c r="B115" s="354"/>
    </row>
    <row r="116" spans="2:2" x14ac:dyDescent="0.25">
      <c r="B116" s="354"/>
    </row>
    <row r="117" spans="2:2" x14ac:dyDescent="0.25">
      <c r="B117" s="354"/>
    </row>
    <row r="118" spans="2:2" x14ac:dyDescent="0.25">
      <c r="B118" s="354"/>
    </row>
    <row r="119" spans="2:2" x14ac:dyDescent="0.25">
      <c r="B119" s="354"/>
    </row>
    <row r="120" spans="2:2" x14ac:dyDescent="0.25">
      <c r="B120" s="354"/>
    </row>
    <row r="121" spans="2:2" x14ac:dyDescent="0.25">
      <c r="B121" s="354"/>
    </row>
    <row r="122" spans="2:2" x14ac:dyDescent="0.25">
      <c r="B122" s="354"/>
    </row>
    <row r="123" spans="2:2" x14ac:dyDescent="0.25">
      <c r="B123" s="354"/>
    </row>
    <row r="124" spans="2:2" x14ac:dyDescent="0.25">
      <c r="B124" s="354"/>
    </row>
    <row r="125" spans="2:2" x14ac:dyDescent="0.25">
      <c r="B125" s="354"/>
    </row>
    <row r="126" spans="2:2" x14ac:dyDescent="0.25">
      <c r="B126" s="354"/>
    </row>
    <row r="127" spans="2:2" x14ac:dyDescent="0.25">
      <c r="B127" s="354"/>
    </row>
    <row r="128" spans="2:2" x14ac:dyDescent="0.25">
      <c r="B128" s="354"/>
    </row>
    <row r="129" spans="2:2" x14ac:dyDescent="0.25">
      <c r="B129" s="354"/>
    </row>
    <row r="130" spans="2:2" x14ac:dyDescent="0.25">
      <c r="B130" s="354"/>
    </row>
    <row r="131" spans="2:2" x14ac:dyDescent="0.25">
      <c r="B131" s="354"/>
    </row>
    <row r="132" spans="2:2" x14ac:dyDescent="0.25">
      <c r="B132" s="354"/>
    </row>
    <row r="133" spans="2:2" x14ac:dyDescent="0.25">
      <c r="B133" s="354"/>
    </row>
    <row r="134" spans="2:2" x14ac:dyDescent="0.25">
      <c r="B134" s="354"/>
    </row>
    <row r="135" spans="2:2" x14ac:dyDescent="0.25">
      <c r="B135" s="354"/>
    </row>
    <row r="136" spans="2:2" x14ac:dyDescent="0.25">
      <c r="B136" s="354"/>
    </row>
    <row r="137" spans="2:2" x14ac:dyDescent="0.25">
      <c r="B137" s="354"/>
    </row>
    <row r="138" spans="2:2" x14ac:dyDescent="0.25">
      <c r="B138" s="354"/>
    </row>
    <row r="139" spans="2:2" x14ac:dyDescent="0.25">
      <c r="B139" s="354"/>
    </row>
    <row r="140" spans="2:2" x14ac:dyDescent="0.25">
      <c r="B140" s="354"/>
    </row>
    <row r="141" spans="2:2" x14ac:dyDescent="0.25">
      <c r="B141" s="354"/>
    </row>
    <row r="142" spans="2:2" x14ac:dyDescent="0.25">
      <c r="B142" s="354"/>
    </row>
    <row r="143" spans="2:2" x14ac:dyDescent="0.25">
      <c r="B143" s="354"/>
    </row>
    <row r="144" spans="2:2" x14ac:dyDescent="0.25">
      <c r="B144" s="354"/>
    </row>
    <row r="145" spans="2:2" x14ac:dyDescent="0.25">
      <c r="B145" s="354"/>
    </row>
    <row r="146" spans="2:2" x14ac:dyDescent="0.25">
      <c r="B146" s="354"/>
    </row>
    <row r="147" spans="2:2" x14ac:dyDescent="0.25">
      <c r="B147" s="354"/>
    </row>
    <row r="148" spans="2:2" x14ac:dyDescent="0.25">
      <c r="B148" s="354"/>
    </row>
    <row r="149" spans="2:2" x14ac:dyDescent="0.25">
      <c r="B149" s="354"/>
    </row>
    <row r="150" spans="2:2" x14ac:dyDescent="0.25">
      <c r="B150" s="354"/>
    </row>
    <row r="151" spans="2:2" x14ac:dyDescent="0.25">
      <c r="B151" s="354"/>
    </row>
    <row r="152" spans="2:2" x14ac:dyDescent="0.25">
      <c r="B152" s="354"/>
    </row>
    <row r="153" spans="2:2" x14ac:dyDescent="0.25">
      <c r="B153" s="354"/>
    </row>
    <row r="154" spans="2:2" x14ac:dyDescent="0.25">
      <c r="B154" s="354"/>
    </row>
    <row r="155" spans="2:2" x14ac:dyDescent="0.25">
      <c r="B155" s="354"/>
    </row>
    <row r="156" spans="2:2" x14ac:dyDescent="0.25">
      <c r="B156" s="354"/>
    </row>
    <row r="157" spans="2:2" x14ac:dyDescent="0.25">
      <c r="B157" s="354"/>
    </row>
    <row r="158" spans="2:2" x14ac:dyDescent="0.25">
      <c r="B158" s="354"/>
    </row>
    <row r="159" spans="2:2" x14ac:dyDescent="0.25">
      <c r="B159" s="354"/>
    </row>
    <row r="160" spans="2:2" x14ac:dyDescent="0.25">
      <c r="B160" s="354"/>
    </row>
    <row r="161" spans="2:2" x14ac:dyDescent="0.25">
      <c r="B161" s="354"/>
    </row>
    <row r="162" spans="2:2" x14ac:dyDescent="0.25">
      <c r="B162" s="354"/>
    </row>
    <row r="163" spans="2:2" x14ac:dyDescent="0.25">
      <c r="B163" s="354"/>
    </row>
    <row r="164" spans="2:2" x14ac:dyDescent="0.25">
      <c r="B164" s="354"/>
    </row>
    <row r="165" spans="2:2" x14ac:dyDescent="0.25">
      <c r="B165" s="354"/>
    </row>
    <row r="166" spans="2:2" x14ac:dyDescent="0.25">
      <c r="B166" s="354"/>
    </row>
    <row r="167" spans="2:2" x14ac:dyDescent="0.25">
      <c r="B167" s="354"/>
    </row>
    <row r="168" spans="2:2" x14ac:dyDescent="0.25">
      <c r="B168" s="354"/>
    </row>
    <row r="169" spans="2:2" x14ac:dyDescent="0.25">
      <c r="B169" s="354"/>
    </row>
    <row r="170" spans="2:2" x14ac:dyDescent="0.25">
      <c r="B170" s="354"/>
    </row>
  </sheetData>
  <sheetProtection algorithmName="SHA-512" hashValue="bBqZxy9570eIKqYcirKab6OnxaJDHIW1dXdyQh+V0ySg4WbS40BsVzOYK5kkfpj4/0Bhg8BlIZ2jGLjhu+VdrQ==" saltValue="u5Wi/Q4eV9QIYBbSNQiXe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orksheet______3">
    <tabColor theme="9" tint="-0.249977111117893"/>
  </sheetPr>
  <dimension ref="A1:H34"/>
  <sheetViews>
    <sheetView rightToLeft="1" view="pageBreakPreview" topLeftCell="B1" zoomScaleNormal="100" zoomScaleSheetLayoutView="100" workbookViewId="0">
      <selection activeCell="B1" sqref="B1"/>
    </sheetView>
  </sheetViews>
  <sheetFormatPr defaultColWidth="9.140625" defaultRowHeight="15.75" x14ac:dyDescent="0.25"/>
  <cols>
    <col min="1" max="1" width="2.42578125" style="193" hidden="1" customWidth="1"/>
    <col min="2" max="2" width="20.42578125" style="193" customWidth="1"/>
    <col min="3" max="3" width="21.42578125" style="193" customWidth="1"/>
    <col min="4" max="4" width="41.140625" style="193" customWidth="1"/>
    <col min="5" max="7" width="16.85546875" style="193" customWidth="1"/>
    <col min="8" max="8" width="23.5703125" style="197" customWidth="1"/>
    <col min="9" max="10" width="9.140625" style="193"/>
    <col min="11" max="11" width="32.85546875" style="193" customWidth="1"/>
    <col min="12" max="16384" width="9.140625" style="193"/>
  </cols>
  <sheetData>
    <row r="1" spans="1:8" ht="16.5" thickBot="1" x14ac:dyDescent="0.3">
      <c r="H1" s="193"/>
    </row>
    <row r="2" spans="1:8" ht="30.75" customHeight="1" thickBot="1" x14ac:dyDescent="0.3">
      <c r="B2" s="517" t="s">
        <v>5</v>
      </c>
      <c r="C2" s="518"/>
      <c r="D2" s="518"/>
      <c r="E2" s="518"/>
      <c r="F2" s="518"/>
      <c r="G2" s="518"/>
      <c r="H2" s="519"/>
    </row>
    <row r="3" spans="1:8" ht="15.75" customHeight="1" x14ac:dyDescent="0.25">
      <c r="H3" s="193"/>
    </row>
    <row r="4" spans="1:8" ht="15.75" customHeight="1" x14ac:dyDescent="0.3">
      <c r="B4" s="387" t="s">
        <v>32</v>
      </c>
      <c r="C4" s="388">
        <v>43615</v>
      </c>
      <c r="D4" s="194"/>
      <c r="E4" s="194"/>
      <c r="F4" s="194"/>
      <c r="G4" s="194"/>
      <c r="H4" s="194"/>
    </row>
    <row r="5" spans="1:8" ht="15.75" customHeight="1" x14ac:dyDescent="0.3">
      <c r="B5" s="387" t="s">
        <v>33</v>
      </c>
      <c r="C5" s="388"/>
      <c r="D5" s="194"/>
      <c r="E5" s="194"/>
      <c r="F5" s="194"/>
      <c r="G5" s="194"/>
      <c r="H5" s="194"/>
    </row>
    <row r="6" spans="1:8" ht="15.75" customHeight="1" thickBot="1" x14ac:dyDescent="0.35">
      <c r="A6" s="194"/>
      <c r="B6" s="194"/>
      <c r="C6" s="194"/>
      <c r="D6" s="194"/>
      <c r="E6" s="194"/>
      <c r="F6" s="194"/>
      <c r="G6" s="194"/>
      <c r="H6" s="194"/>
    </row>
    <row r="7" spans="1:8" ht="95.25" customHeight="1" thickBot="1" x14ac:dyDescent="0.3">
      <c r="B7" s="523" t="s">
        <v>34</v>
      </c>
      <c r="C7" s="524"/>
      <c r="D7" s="524"/>
      <c r="E7" s="524"/>
      <c r="F7" s="524"/>
      <c r="G7" s="524"/>
      <c r="H7" s="525"/>
    </row>
    <row r="8" spans="1:8" ht="15.75" customHeight="1" x14ac:dyDescent="0.25">
      <c r="H8" s="193"/>
    </row>
    <row r="9" spans="1:8" ht="15.75" customHeight="1" x14ac:dyDescent="0.3">
      <c r="B9" s="389" t="s">
        <v>35</v>
      </c>
      <c r="C9" s="390" t="s">
        <v>36</v>
      </c>
      <c r="H9" s="193"/>
    </row>
    <row r="10" spans="1:8" ht="15.75" customHeight="1" x14ac:dyDescent="0.25">
      <c r="H10" s="193"/>
    </row>
    <row r="11" spans="1:8" ht="23.25" x14ac:dyDescent="0.35">
      <c r="B11" s="526" t="s">
        <v>37</v>
      </c>
      <c r="C11" s="527"/>
      <c r="D11" s="527"/>
      <c r="E11" s="527"/>
      <c r="F11" s="527"/>
      <c r="G11" s="527"/>
      <c r="H11" s="527"/>
    </row>
    <row r="12" spans="1:8" ht="18.75" x14ac:dyDescent="0.3">
      <c r="B12" s="391" t="s">
        <v>38</v>
      </c>
      <c r="C12" s="391" t="s">
        <v>39</v>
      </c>
      <c r="D12" s="528" t="s">
        <v>40</v>
      </c>
      <c r="E12" s="529"/>
      <c r="F12" s="529"/>
      <c r="G12" s="529"/>
      <c r="H12" s="530"/>
    </row>
    <row r="13" spans="1:8" ht="27.75" customHeight="1" x14ac:dyDescent="0.25">
      <c r="B13" s="392" t="s">
        <v>41</v>
      </c>
      <c r="C13" s="393" t="s">
        <v>42</v>
      </c>
      <c r="D13" s="531" t="s">
        <v>43</v>
      </c>
      <c r="E13" s="532"/>
      <c r="F13" s="532"/>
      <c r="G13" s="532"/>
      <c r="H13" s="533"/>
    </row>
    <row r="14" spans="1:8" x14ac:dyDescent="0.25">
      <c r="B14" s="394" t="s">
        <v>44</v>
      </c>
      <c r="C14" s="393" t="s">
        <v>45</v>
      </c>
      <c r="D14" s="520" t="s">
        <v>46</v>
      </c>
      <c r="E14" s="521"/>
      <c r="F14" s="521"/>
      <c r="G14" s="521"/>
      <c r="H14" s="522"/>
    </row>
    <row r="15" spans="1:8" x14ac:dyDescent="0.25">
      <c r="B15" s="395" t="s">
        <v>47</v>
      </c>
      <c r="C15" s="393" t="s">
        <v>48</v>
      </c>
      <c r="D15" s="520" t="s">
        <v>49</v>
      </c>
      <c r="E15" s="521"/>
      <c r="F15" s="521"/>
      <c r="G15" s="521"/>
      <c r="H15" s="522"/>
    </row>
    <row r="16" spans="1:8" x14ac:dyDescent="0.25">
      <c r="B16" s="362"/>
      <c r="C16" s="362"/>
      <c r="D16" s="363"/>
      <c r="E16" s="363"/>
      <c r="F16" s="363"/>
      <c r="G16" s="363"/>
      <c r="H16" s="363"/>
    </row>
    <row r="17" spans="2:8" ht="93" x14ac:dyDescent="0.25">
      <c r="B17" s="364" t="s">
        <v>50</v>
      </c>
      <c r="C17" s="364"/>
      <c r="D17" s="364"/>
      <c r="E17" s="364"/>
      <c r="F17" s="364"/>
      <c r="G17" s="364"/>
      <c r="H17" s="364"/>
    </row>
    <row r="18" spans="2:8" ht="63" customHeight="1" x14ac:dyDescent="0.25">
      <c r="B18" s="195"/>
      <c r="C18" s="195"/>
      <c r="D18" s="195"/>
      <c r="E18" s="195"/>
      <c r="F18" s="195"/>
      <c r="G18" s="195"/>
      <c r="H18" s="195"/>
    </row>
    <row r="19" spans="2:8" ht="23.25" x14ac:dyDescent="0.25">
      <c r="B19" s="364"/>
      <c r="C19" s="364"/>
      <c r="D19" s="364"/>
      <c r="E19" s="364"/>
      <c r="F19" s="364"/>
      <c r="G19" s="364"/>
      <c r="H19" s="364"/>
    </row>
    <row r="20" spans="2:8" ht="23.25" x14ac:dyDescent="0.25">
      <c r="B20" s="196"/>
      <c r="C20" s="196"/>
      <c r="D20" s="196"/>
      <c r="E20" s="196"/>
      <c r="F20" s="196"/>
      <c r="G20" s="196"/>
      <c r="H20" s="196"/>
    </row>
    <row r="21" spans="2:8" ht="23.25" x14ac:dyDescent="0.25">
      <c r="B21" s="196"/>
      <c r="C21" s="196"/>
      <c r="D21" s="196"/>
      <c r="E21" s="196"/>
      <c r="F21" s="196"/>
      <c r="G21" s="196"/>
      <c r="H21" s="196"/>
    </row>
    <row r="22" spans="2:8" ht="23.25" x14ac:dyDescent="0.25">
      <c r="B22" s="196"/>
      <c r="C22" s="196"/>
      <c r="D22" s="196"/>
      <c r="E22" s="196"/>
      <c r="F22" s="196"/>
      <c r="G22" s="196"/>
      <c r="H22" s="196"/>
    </row>
    <row r="23" spans="2:8" ht="23.25" x14ac:dyDescent="0.25">
      <c r="B23" s="196"/>
      <c r="C23" s="196"/>
      <c r="D23" s="196"/>
      <c r="E23" s="196"/>
      <c r="F23" s="196"/>
      <c r="G23" s="196"/>
      <c r="H23" s="196"/>
    </row>
    <row r="24" spans="2:8" ht="23.25" x14ac:dyDescent="0.25">
      <c r="B24" s="196"/>
      <c r="C24" s="196"/>
      <c r="D24" s="196"/>
      <c r="E24" s="196"/>
      <c r="F24" s="196"/>
      <c r="G24" s="196"/>
      <c r="H24" s="196"/>
    </row>
    <row r="25" spans="2:8" ht="23.25" x14ac:dyDescent="0.25">
      <c r="B25" s="196"/>
      <c r="C25" s="196"/>
      <c r="D25" s="196"/>
      <c r="E25" s="196"/>
      <c r="F25" s="196"/>
      <c r="G25" s="196"/>
      <c r="H25" s="196"/>
    </row>
    <row r="26" spans="2:8" ht="23.25" x14ac:dyDescent="0.25">
      <c r="B26" s="196"/>
      <c r="C26" s="196"/>
      <c r="D26" s="196"/>
      <c r="E26" s="196"/>
      <c r="F26" s="196"/>
      <c r="G26" s="196"/>
      <c r="H26" s="196"/>
    </row>
    <row r="27" spans="2:8" ht="23.25" x14ac:dyDescent="0.25">
      <c r="B27" s="196"/>
      <c r="C27" s="196"/>
      <c r="D27" s="196"/>
      <c r="E27" s="196"/>
      <c r="F27" s="196"/>
      <c r="G27" s="196"/>
      <c r="H27" s="196"/>
    </row>
    <row r="28" spans="2:8" ht="23.25" x14ac:dyDescent="0.25">
      <c r="B28" s="196"/>
      <c r="C28" s="196"/>
      <c r="D28" s="196"/>
      <c r="E28" s="196"/>
      <c r="F28" s="196"/>
      <c r="G28" s="196"/>
      <c r="H28" s="196"/>
    </row>
    <row r="29" spans="2:8" ht="23.25" x14ac:dyDescent="0.25">
      <c r="B29" s="196"/>
      <c r="C29" s="196"/>
      <c r="D29" s="196"/>
      <c r="E29" s="196"/>
      <c r="F29" s="196"/>
      <c r="G29" s="196"/>
      <c r="H29" s="196"/>
    </row>
    <row r="30" spans="2:8" ht="23.25" x14ac:dyDescent="0.25">
      <c r="B30" s="196"/>
      <c r="C30" s="196"/>
      <c r="D30" s="196"/>
      <c r="E30" s="196"/>
      <c r="F30" s="196"/>
      <c r="G30" s="196"/>
      <c r="H30" s="196"/>
    </row>
    <row r="31" spans="2:8" ht="23.25" x14ac:dyDescent="0.25">
      <c r="B31" s="196"/>
      <c r="C31" s="196"/>
      <c r="D31" s="196"/>
      <c r="E31" s="196"/>
      <c r="F31" s="196"/>
      <c r="G31" s="196"/>
      <c r="H31" s="196"/>
    </row>
    <row r="32" spans="2:8" ht="23.25" x14ac:dyDescent="0.25">
      <c r="B32" s="196"/>
      <c r="C32" s="196"/>
      <c r="D32" s="196"/>
      <c r="E32" s="196"/>
      <c r="F32" s="196"/>
      <c r="G32" s="196"/>
      <c r="H32" s="196"/>
    </row>
    <row r="33" spans="2:8" ht="18" hidden="1" customHeight="1" x14ac:dyDescent="0.25">
      <c r="B33" s="511" t="s">
        <v>51</v>
      </c>
      <c r="C33" s="512"/>
      <c r="D33" s="512"/>
      <c r="E33" s="512"/>
      <c r="F33" s="512"/>
      <c r="G33" s="512"/>
      <c r="H33" s="513"/>
    </row>
    <row r="34" spans="2:8" ht="15.75" hidden="1" customHeight="1" x14ac:dyDescent="0.25">
      <c r="B34" s="396" t="s">
        <v>52</v>
      </c>
      <c r="C34" s="396" t="s">
        <v>53</v>
      </c>
      <c r="D34" s="396" t="s">
        <v>54</v>
      </c>
      <c r="E34" s="514" t="s">
        <v>55</v>
      </c>
      <c r="F34" s="515"/>
      <c r="G34" s="515"/>
      <c r="H34" s="516"/>
    </row>
  </sheetData>
  <sheetProtection algorithmName="SHA-512" hashValue="tuUYobSE5hJeEXrK36UkQ7Ac5H0fUSjC4Zb1qYHugsN7tpfxaMjPeODa0NEse50zmcjybZrsCC1o5GBNDcLZWA==" saltValue="k8MpfYxnbdK+l1cxNP13WA==" spinCount="100000" sheet="1" scenarios="1" formatCells="0" formatColumns="0" formatRows="0" autoFilter="0"/>
  <mergeCells count="9">
    <mergeCell ref="B33:H33"/>
    <mergeCell ref="E34:H34"/>
    <mergeCell ref="B2:H2"/>
    <mergeCell ref="D15:H15"/>
    <mergeCell ref="B7:H7"/>
    <mergeCell ref="B11:H11"/>
    <mergeCell ref="D12:H12"/>
    <mergeCell ref="D13:H13"/>
    <mergeCell ref="D14:H14"/>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orksheet______2">
    <tabColor theme="2" tint="-0.499984740745262"/>
  </sheetPr>
  <dimension ref="A1:J339"/>
  <sheetViews>
    <sheetView rightToLeft="1" topLeftCell="B1" zoomScaleNormal="100" zoomScaleSheetLayoutView="80" workbookViewId="0">
      <selection activeCell="B1" sqref="B1"/>
    </sheetView>
  </sheetViews>
  <sheetFormatPr defaultColWidth="9.140625" defaultRowHeight="15.75" x14ac:dyDescent="0.25"/>
  <cols>
    <col min="1" max="1" width="2.42578125" style="193" hidden="1" customWidth="1"/>
    <col min="2" max="2" width="26.140625" style="193" customWidth="1"/>
    <col min="3" max="3" width="21.42578125" style="193" customWidth="1"/>
    <col min="4" max="4" width="18.5703125" style="193" customWidth="1"/>
    <col min="5" max="5" width="18.28515625" style="193" hidden="1" customWidth="1"/>
    <col min="6" max="6" width="11.85546875" style="193" hidden="1" customWidth="1"/>
    <col min="7" max="7" width="16.85546875" style="193" hidden="1" customWidth="1"/>
    <col min="8" max="8" width="10.85546875" style="193" hidden="1" customWidth="1"/>
    <col min="9" max="9" width="14.140625" style="193" customWidth="1"/>
    <col min="10" max="10" width="13.7109375" style="193" customWidth="1"/>
    <col min="11" max="11" width="32.85546875" style="193" customWidth="1"/>
    <col min="12" max="16384" width="9.140625" style="193"/>
  </cols>
  <sheetData>
    <row r="1" spans="2:10" ht="16.5" thickBot="1" x14ac:dyDescent="0.3"/>
    <row r="2" spans="2:10" ht="28.5" customHeight="1" thickBot="1" x14ac:dyDescent="0.3">
      <c r="B2" s="517" t="s">
        <v>56</v>
      </c>
      <c r="C2" s="518"/>
      <c r="D2" s="518"/>
      <c r="E2" s="518"/>
      <c r="F2" s="518"/>
      <c r="G2" s="518"/>
      <c r="H2" s="519"/>
    </row>
    <row r="3" spans="2:10" ht="16.5" thickBot="1" x14ac:dyDescent="0.3"/>
    <row r="4" spans="2:10" ht="20.100000000000001" customHeight="1" thickBot="1" x14ac:dyDescent="0.3">
      <c r="B4" s="198" t="s">
        <v>57</v>
      </c>
      <c r="C4" s="141">
        <v>2025</v>
      </c>
      <c r="I4" s="198" t="s">
        <v>430</v>
      </c>
      <c r="J4" s="459">
        <v>131.5830177391</v>
      </c>
    </row>
    <row r="5" spans="2:10" ht="20.100000000000001" customHeight="1" thickBot="1" x14ac:dyDescent="0.3">
      <c r="B5" s="463" t="s">
        <v>58</v>
      </c>
      <c r="C5" s="464">
        <v>3076367</v>
      </c>
      <c r="I5" s="458" t="s">
        <v>431</v>
      </c>
      <c r="J5" s="459">
        <v>143.1320592061</v>
      </c>
    </row>
    <row r="6" spans="2:10" ht="36" customHeight="1" thickBot="1" x14ac:dyDescent="0.3"/>
    <row r="7" spans="2:10" hidden="1" x14ac:dyDescent="0.25"/>
    <row r="8" spans="2:10" ht="16.5" hidden="1" thickBot="1" x14ac:dyDescent="0.3"/>
    <row r="9" spans="2:10" ht="19.5" thickBot="1" x14ac:dyDescent="0.3">
      <c r="B9" s="534" t="s">
        <v>59</v>
      </c>
      <c r="C9" s="536"/>
      <c r="D9" s="535"/>
    </row>
    <row r="10" spans="2:10" ht="16.5" thickBot="1" x14ac:dyDescent="0.3">
      <c r="B10" s="150" t="s">
        <v>60</v>
      </c>
      <c r="C10" s="150" t="s">
        <v>61</v>
      </c>
      <c r="D10" s="151" t="s">
        <v>62</v>
      </c>
    </row>
    <row r="11" spans="2:10" x14ac:dyDescent="0.25">
      <c r="B11" s="200" t="s">
        <v>63</v>
      </c>
      <c r="C11" s="152">
        <f>DATE($C$4,1,1)</f>
        <v>45658</v>
      </c>
      <c r="D11" s="153">
        <f>DATE($C$4,12,31)</f>
        <v>46022</v>
      </c>
    </row>
    <row r="12" spans="2:10" x14ac:dyDescent="0.25">
      <c r="B12" s="201" t="s">
        <v>64</v>
      </c>
      <c r="C12" s="397">
        <f>DATE($C$4-3,10,1)</f>
        <v>44835</v>
      </c>
      <c r="D12" s="154">
        <f>DATE($C$4-2,9,30)</f>
        <v>45199</v>
      </c>
      <c r="I12" s="449"/>
    </row>
    <row r="13" spans="2:10" x14ac:dyDescent="0.25">
      <c r="B13" s="201" t="s">
        <v>65</v>
      </c>
      <c r="C13" s="397">
        <f>DATE($C$4-3,1,1)</f>
        <v>44562</v>
      </c>
      <c r="D13" s="154">
        <f>DATE($C$4-3,12,31)</f>
        <v>44926</v>
      </c>
    </row>
    <row r="14" spans="2:10" ht="16.5" thickBot="1" x14ac:dyDescent="0.3">
      <c r="B14" s="202" t="s">
        <v>66</v>
      </c>
      <c r="C14" s="155">
        <f>DATE($C$4-1,1,1)</f>
        <v>45292</v>
      </c>
      <c r="D14" s="156">
        <f>DATE($C$4-1,12,31)</f>
        <v>45657</v>
      </c>
    </row>
    <row r="15" spans="2:10" ht="16.5" thickBot="1" x14ac:dyDescent="0.3"/>
    <row r="16" spans="2:10" ht="19.5" thickBot="1" x14ac:dyDescent="0.3">
      <c r="B16" s="534" t="s">
        <v>434</v>
      </c>
      <c r="C16" s="536"/>
      <c r="D16" s="535"/>
    </row>
    <row r="17" spans="2:9" x14ac:dyDescent="0.25">
      <c r="B17" s="142" t="s">
        <v>74</v>
      </c>
      <c r="C17" s="127" t="s">
        <v>432</v>
      </c>
      <c r="D17" s="149" t="s">
        <v>10</v>
      </c>
    </row>
    <row r="18" spans="2:9" x14ac:dyDescent="0.25">
      <c r="B18" s="201" t="s">
        <v>433</v>
      </c>
      <c r="C18" s="398">
        <f>50000/$J$4*$J$5</f>
        <v>54388.500000014894</v>
      </c>
      <c r="D18" s="460">
        <v>8</v>
      </c>
    </row>
    <row r="19" spans="2:9" ht="16.5" thickBot="1" x14ac:dyDescent="0.3">
      <c r="B19" s="202" t="s">
        <v>435</v>
      </c>
      <c r="C19" s="461">
        <f>35000/$J$4*$J$5</f>
        <v>38071.950000010424</v>
      </c>
      <c r="D19" s="462">
        <v>5</v>
      </c>
    </row>
    <row r="20" spans="2:9" ht="16.5" thickBot="1" x14ac:dyDescent="0.3"/>
    <row r="21" spans="2:9" hidden="1" x14ac:dyDescent="0.25"/>
    <row r="22" spans="2:9" hidden="1" x14ac:dyDescent="0.25"/>
    <row r="23" spans="2:9" ht="16.5" hidden="1" thickBot="1" x14ac:dyDescent="0.3"/>
    <row r="24" spans="2:9" ht="19.5" thickBot="1" x14ac:dyDescent="0.3">
      <c r="B24" s="534" t="s">
        <v>9</v>
      </c>
      <c r="C24" s="536"/>
      <c r="D24" s="536"/>
      <c r="E24" s="536"/>
      <c r="F24" s="536"/>
      <c r="G24" s="536"/>
      <c r="H24" s="535"/>
      <c r="I24" s="537" t="s">
        <v>67</v>
      </c>
    </row>
    <row r="25" spans="2:9" ht="16.5" thickBot="1" x14ac:dyDescent="0.3">
      <c r="B25" s="126" t="s">
        <v>9</v>
      </c>
      <c r="C25" s="127" t="s">
        <v>68</v>
      </c>
      <c r="D25" s="127" t="s">
        <v>69</v>
      </c>
      <c r="E25" s="127"/>
      <c r="F25" s="127"/>
      <c r="G25" s="127"/>
      <c r="H25" s="127"/>
      <c r="I25" s="538"/>
    </row>
    <row r="26" spans="2:9" x14ac:dyDescent="0.25">
      <c r="B26" s="128" t="s">
        <v>70</v>
      </c>
      <c r="C26" s="129">
        <f>0/$J$4*$J$5</f>
        <v>0</v>
      </c>
      <c r="D26" s="130">
        <v>0</v>
      </c>
      <c r="E26" s="130"/>
      <c r="F26" s="131"/>
      <c r="G26" s="131"/>
      <c r="H26" s="131"/>
      <c r="I26" s="132">
        <v>0.5</v>
      </c>
    </row>
    <row r="27" spans="2:9" x14ac:dyDescent="0.25">
      <c r="B27" s="133" t="s">
        <v>71</v>
      </c>
      <c r="C27" s="398">
        <f>80000/$J$4*$J$5</f>
        <v>87021.600000023827</v>
      </c>
      <c r="D27" s="399">
        <v>6</v>
      </c>
      <c r="E27" s="399"/>
      <c r="F27" s="400"/>
      <c r="G27" s="400"/>
      <c r="H27" s="400"/>
      <c r="I27" s="134">
        <v>0.8</v>
      </c>
    </row>
    <row r="28" spans="2:9" ht="16.5" thickBot="1" x14ac:dyDescent="0.3">
      <c r="B28" s="135" t="s">
        <v>72</v>
      </c>
      <c r="C28" s="136">
        <f>120000/$J$4*$J$5</f>
        <v>130532.40000003573</v>
      </c>
      <c r="D28" s="137">
        <v>8</v>
      </c>
      <c r="E28" s="137"/>
      <c r="F28" s="138"/>
      <c r="G28" s="138"/>
      <c r="H28" s="138"/>
      <c r="I28" s="139">
        <v>1</v>
      </c>
    </row>
    <row r="29" spans="2:9" ht="16.5" thickBot="1" x14ac:dyDescent="0.3"/>
    <row r="30" spans="2:9" ht="19.5" thickBot="1" x14ac:dyDescent="0.3">
      <c r="B30" s="534" t="s">
        <v>73</v>
      </c>
      <c r="C30" s="535"/>
    </row>
    <row r="31" spans="2:9" ht="32.25" thickBot="1" x14ac:dyDescent="0.3">
      <c r="B31" s="142" t="s">
        <v>74</v>
      </c>
      <c r="C31" s="143" t="s">
        <v>75</v>
      </c>
      <c r="D31" s="144" t="s">
        <v>76</v>
      </c>
    </row>
    <row r="32" spans="2:9" x14ac:dyDescent="0.25">
      <c r="B32" s="203" t="s">
        <v>10</v>
      </c>
      <c r="C32" s="145">
        <v>0.2</v>
      </c>
      <c r="D32" s="204">
        <v>1</v>
      </c>
    </row>
    <row r="33" spans="2:4" x14ac:dyDescent="0.25">
      <c r="B33" s="201" t="s">
        <v>11</v>
      </c>
      <c r="C33" s="146">
        <v>0.2</v>
      </c>
      <c r="D33" s="205">
        <v>1</v>
      </c>
    </row>
    <row r="34" spans="2:4" x14ac:dyDescent="0.25">
      <c r="B34" s="201" t="s">
        <v>12</v>
      </c>
      <c r="C34" s="146">
        <v>0.1</v>
      </c>
      <c r="D34" s="205">
        <v>0</v>
      </c>
    </row>
    <row r="35" spans="2:4" x14ac:dyDescent="0.25">
      <c r="B35" s="201" t="s">
        <v>13</v>
      </c>
      <c r="C35" s="146">
        <v>0.15</v>
      </c>
      <c r="D35" s="205">
        <v>1</v>
      </c>
    </row>
    <row r="36" spans="2:4" x14ac:dyDescent="0.25">
      <c r="B36" s="201" t="s">
        <v>14</v>
      </c>
      <c r="C36" s="146">
        <v>0.1</v>
      </c>
      <c r="D36" s="205">
        <v>0</v>
      </c>
    </row>
    <row r="37" spans="2:4" x14ac:dyDescent="0.25">
      <c r="B37" s="201" t="s">
        <v>15</v>
      </c>
      <c r="C37" s="146">
        <v>0.1</v>
      </c>
      <c r="D37" s="205">
        <v>0</v>
      </c>
    </row>
    <row r="38" spans="2:4" x14ac:dyDescent="0.25">
      <c r="B38" s="201" t="s">
        <v>16</v>
      </c>
      <c r="C38" s="146">
        <v>0.1</v>
      </c>
      <c r="D38" s="205">
        <v>0</v>
      </c>
    </row>
    <row r="39" spans="2:4" ht="16.5" thickBot="1" x14ac:dyDescent="0.3">
      <c r="B39" s="201" t="s">
        <v>17</v>
      </c>
      <c r="C39" s="146">
        <v>0.05</v>
      </c>
      <c r="D39" s="206">
        <v>0</v>
      </c>
    </row>
    <row r="40" spans="2:4" hidden="1" x14ac:dyDescent="0.25">
      <c r="B40" s="201"/>
      <c r="C40" s="146"/>
      <c r="D40" s="320">
        <v>0</v>
      </c>
    </row>
    <row r="41" spans="2:4" hidden="1" x14ac:dyDescent="0.25">
      <c r="B41" s="201"/>
      <c r="C41" s="146"/>
      <c r="D41" s="205">
        <v>0</v>
      </c>
    </row>
    <row r="42" spans="2:4" hidden="1" x14ac:dyDescent="0.25">
      <c r="B42" s="201"/>
      <c r="C42" s="146"/>
      <c r="D42" s="205">
        <v>0</v>
      </c>
    </row>
    <row r="43" spans="2:4" hidden="1" x14ac:dyDescent="0.25">
      <c r="B43" s="201"/>
      <c r="C43" s="146"/>
      <c r="D43" s="205">
        <v>0</v>
      </c>
    </row>
    <row r="44" spans="2:4" hidden="1" x14ac:dyDescent="0.25">
      <c r="B44" s="201"/>
      <c r="C44" s="146"/>
      <c r="D44" s="205">
        <v>0</v>
      </c>
    </row>
    <row r="45" spans="2:4" ht="16.5" hidden="1" thickBot="1" x14ac:dyDescent="0.3">
      <c r="B45" s="202"/>
      <c r="C45" s="147"/>
      <c r="D45" s="206">
        <v>0</v>
      </c>
    </row>
    <row r="46" spans="2:4" hidden="1" x14ac:dyDescent="0.25"/>
    <row r="47" spans="2:4" hidden="1" x14ac:dyDescent="0.25"/>
    <row r="48" spans="2:4" hidden="1" x14ac:dyDescent="0.25"/>
    <row r="49" spans="2:3" hidden="1" x14ac:dyDescent="0.25"/>
    <row r="50" spans="2:3" hidden="1" x14ac:dyDescent="0.25"/>
    <row r="51" spans="2:3" hidden="1" x14ac:dyDescent="0.25"/>
    <row r="52" spans="2:3" hidden="1" x14ac:dyDescent="0.25"/>
    <row r="53" spans="2:3" hidden="1" x14ac:dyDescent="0.25"/>
    <row r="54" spans="2:3" hidden="1" x14ac:dyDescent="0.25"/>
    <row r="55" spans="2:3" hidden="1" x14ac:dyDescent="0.25"/>
    <row r="56" spans="2:3" hidden="1" x14ac:dyDescent="0.25"/>
    <row r="57" spans="2:3" ht="16.5" hidden="1" thickBot="1" x14ac:dyDescent="0.3"/>
    <row r="58" spans="2:3" ht="16.5" thickBot="1" x14ac:dyDescent="0.3">
      <c r="B58" s="207" t="s">
        <v>77</v>
      </c>
      <c r="C58" s="148">
        <f>SUM(C32:C57)</f>
        <v>1</v>
      </c>
    </row>
    <row r="59" spans="2:3" ht="16.5" thickBot="1" x14ac:dyDescent="0.3"/>
    <row r="60" spans="2:3" ht="57" customHeight="1" thickBot="1" x14ac:dyDescent="0.3">
      <c r="B60" s="534" t="str">
        <f>"פרמטרים לחישוב ניקוד משתנה "&amp;$B$32</f>
        <v>פרמטרים לחישוב ניקוד משתנה מספר הרצות</v>
      </c>
      <c r="C60" s="535"/>
    </row>
    <row r="61" spans="2:3" ht="16.5" thickBot="1" x14ac:dyDescent="0.3">
      <c r="B61" s="126" t="s">
        <v>74</v>
      </c>
      <c r="C61" s="149" t="s">
        <v>78</v>
      </c>
    </row>
    <row r="62" spans="2:3" x14ac:dyDescent="0.25">
      <c r="B62" s="169" t="s">
        <v>79</v>
      </c>
      <c r="C62" s="172">
        <v>1</v>
      </c>
    </row>
    <row r="63" spans="2:3" ht="32.25" thickBot="1" x14ac:dyDescent="0.3">
      <c r="B63" s="171" t="s">
        <v>80</v>
      </c>
      <c r="C63" s="329">
        <v>0.15</v>
      </c>
    </row>
    <row r="64" spans="2:3" ht="16.5" thickBot="1" x14ac:dyDescent="0.3"/>
    <row r="65" spans="2:3" hidden="1" x14ac:dyDescent="0.25"/>
    <row r="66" spans="2:3" hidden="1" x14ac:dyDescent="0.25"/>
    <row r="67" spans="2:3" ht="16.5" hidden="1" thickBot="1" x14ac:dyDescent="0.3"/>
    <row r="68" spans="2:3" hidden="1" x14ac:dyDescent="0.25"/>
    <row r="69" spans="2:3" hidden="1" x14ac:dyDescent="0.25"/>
    <row r="70" spans="2:3" hidden="1" x14ac:dyDescent="0.25"/>
    <row r="71" spans="2:3" hidden="1" x14ac:dyDescent="0.25"/>
    <row r="72" spans="2:3" hidden="1" x14ac:dyDescent="0.25"/>
    <row r="73" spans="2:3" hidden="1" x14ac:dyDescent="0.25"/>
    <row r="74" spans="2:3" hidden="1" x14ac:dyDescent="0.25"/>
    <row r="75" spans="2:3" hidden="1" x14ac:dyDescent="0.25"/>
    <row r="76" spans="2:3" hidden="1" x14ac:dyDescent="0.25"/>
    <row r="77" spans="2:3" hidden="1" x14ac:dyDescent="0.25"/>
    <row r="78" spans="2:3" hidden="1" x14ac:dyDescent="0.25"/>
    <row r="79" spans="2:3" ht="16.5" hidden="1" thickBot="1" x14ac:dyDescent="0.3"/>
    <row r="80" spans="2:3" ht="45" customHeight="1" thickBot="1" x14ac:dyDescent="0.3">
      <c r="B80" s="534" t="str">
        <f>"פרמטרים לחישוב ניקוד משתנה "&amp;$B$33</f>
        <v>פרמטרים לחישוב ניקוד משתנה מספר מבצעים בתשלום</v>
      </c>
      <c r="C80" s="535"/>
    </row>
    <row r="81" spans="2:3" ht="16.5" customHeight="1" thickBot="1" x14ac:dyDescent="0.3">
      <c r="B81" s="327" t="s">
        <v>74</v>
      </c>
      <c r="C81" s="331" t="s">
        <v>78</v>
      </c>
    </row>
    <row r="82" spans="2:3" ht="16.5" thickBot="1" x14ac:dyDescent="0.3">
      <c r="B82" s="171" t="s">
        <v>81</v>
      </c>
      <c r="C82" s="174">
        <v>1</v>
      </c>
    </row>
    <row r="83" spans="2:3" hidden="1" x14ac:dyDescent="0.25"/>
    <row r="84" spans="2:3" hidden="1" x14ac:dyDescent="0.25"/>
    <row r="85" spans="2:3" hidden="1" x14ac:dyDescent="0.25"/>
    <row r="86" spans="2:3" hidden="1" x14ac:dyDescent="0.25"/>
    <row r="87" spans="2:3" ht="16.5" thickBot="1" x14ac:dyDescent="0.3"/>
    <row r="88" spans="2:3" hidden="1" x14ac:dyDescent="0.25"/>
    <row r="89" spans="2:3" hidden="1" x14ac:dyDescent="0.25"/>
    <row r="90" spans="2:3" ht="18.75" hidden="1" customHeight="1" x14ac:dyDescent="0.25"/>
    <row r="91" spans="2:3" hidden="1" x14ac:dyDescent="0.25"/>
    <row r="92" spans="2:3" hidden="1" x14ac:dyDescent="0.25"/>
    <row r="93" spans="2:3" hidden="1" x14ac:dyDescent="0.25"/>
    <row r="94" spans="2:3" hidden="1" x14ac:dyDescent="0.25"/>
    <row r="95" spans="2:3" hidden="1" x14ac:dyDescent="0.25"/>
    <row r="96" spans="2:3" hidden="1" x14ac:dyDescent="0.25"/>
    <row r="97" spans="2:4" hidden="1" x14ac:dyDescent="0.25"/>
    <row r="98" spans="2:4" hidden="1" x14ac:dyDescent="0.25"/>
    <row r="99" spans="2:4" ht="16.5" hidden="1" thickBot="1" x14ac:dyDescent="0.3"/>
    <row r="100" spans="2:4" ht="42.75" customHeight="1" thickBot="1" x14ac:dyDescent="0.3">
      <c r="B100" s="333" t="str">
        <f>"פרמטרים לחישוב ניקוד משתנה "&amp;$B$34</f>
        <v>פרמטרים לחישוב ניקוד משתנה מיקום ההרצות</v>
      </c>
      <c r="C100" s="175"/>
      <c r="D100" s="175"/>
    </row>
    <row r="101" spans="2:4" ht="16.5" thickBot="1" x14ac:dyDescent="0.3">
      <c r="B101" s="126" t="s">
        <v>82</v>
      </c>
      <c r="C101" s="149" t="s">
        <v>83</v>
      </c>
      <c r="D101" s="149" t="s">
        <v>84</v>
      </c>
    </row>
    <row r="102" spans="2:4" x14ac:dyDescent="0.25">
      <c r="B102" s="169" t="s">
        <v>85</v>
      </c>
      <c r="C102" s="172">
        <v>0</v>
      </c>
      <c r="D102" s="172">
        <v>0.5</v>
      </c>
    </row>
    <row r="103" spans="2:4" x14ac:dyDescent="0.25">
      <c r="B103" s="170" t="s">
        <v>86</v>
      </c>
      <c r="C103" s="173">
        <v>0.5</v>
      </c>
      <c r="D103" s="173">
        <v>1</v>
      </c>
    </row>
    <row r="104" spans="2:4" x14ac:dyDescent="0.25">
      <c r="B104" s="170" t="s">
        <v>87</v>
      </c>
      <c r="C104" s="173">
        <v>1</v>
      </c>
      <c r="D104" s="173">
        <v>1.5</v>
      </c>
    </row>
    <row r="105" spans="2:4" ht="16.5" thickBot="1" x14ac:dyDescent="0.3">
      <c r="B105" s="171" t="s">
        <v>88</v>
      </c>
      <c r="C105" s="174">
        <v>1.5</v>
      </c>
      <c r="D105" s="174">
        <v>3</v>
      </c>
    </row>
    <row r="106" spans="2:4" hidden="1" x14ac:dyDescent="0.25"/>
    <row r="107" spans="2:4" ht="16.5" thickBot="1" x14ac:dyDescent="0.3"/>
    <row r="108" spans="2:4" hidden="1" x14ac:dyDescent="0.25"/>
    <row r="109" spans="2:4" hidden="1" x14ac:dyDescent="0.25"/>
    <row r="110" spans="2:4" hidden="1" x14ac:dyDescent="0.25"/>
    <row r="111" spans="2:4" hidden="1" x14ac:dyDescent="0.25"/>
    <row r="112" spans="2:4" hidden="1" x14ac:dyDescent="0.25"/>
    <row r="113" spans="2:3" ht="15" hidden="1" customHeight="1" x14ac:dyDescent="0.25"/>
    <row r="114" spans="2:3" ht="15" hidden="1" customHeight="1" x14ac:dyDescent="0.25"/>
    <row r="115" spans="2:3" ht="15" hidden="1" customHeight="1" x14ac:dyDescent="0.25"/>
    <row r="116" spans="2:3" ht="15" hidden="1" customHeight="1" x14ac:dyDescent="0.25"/>
    <row r="117" spans="2:3" ht="15" hidden="1" customHeight="1" x14ac:dyDescent="0.25"/>
    <row r="118" spans="2:3" ht="15" hidden="1" customHeight="1" x14ac:dyDescent="0.25"/>
    <row r="119" spans="2:3" ht="15" hidden="1" customHeight="1" thickBot="1" x14ac:dyDescent="0.3"/>
    <row r="120" spans="2:3" ht="35.25" customHeight="1" thickBot="1" x14ac:dyDescent="0.3">
      <c r="B120" s="534" t="str">
        <f>"פרמטרים לחישוב ניקוד משתנה "&amp;$B$35</f>
        <v>פרמטרים לחישוב ניקוד משתנה רמה מקצועית ואמנותית</v>
      </c>
      <c r="C120" s="535"/>
    </row>
    <row r="121" spans="2:3" ht="16.5" thickBot="1" x14ac:dyDescent="0.3">
      <c r="B121" s="126" t="s">
        <v>13</v>
      </c>
      <c r="C121" s="149" t="s">
        <v>78</v>
      </c>
    </row>
    <row r="122" spans="2:3" x14ac:dyDescent="0.25">
      <c r="B122" s="169" t="s">
        <v>89</v>
      </c>
      <c r="C122" s="172">
        <v>2</v>
      </c>
    </row>
    <row r="123" spans="2:3" x14ac:dyDescent="0.25">
      <c r="B123" s="170" t="s">
        <v>90</v>
      </c>
      <c r="C123" s="173">
        <v>3</v>
      </c>
    </row>
    <row r="124" spans="2:3" x14ac:dyDescent="0.25">
      <c r="B124" s="170" t="s">
        <v>91</v>
      </c>
      <c r="C124" s="173">
        <v>4</v>
      </c>
    </row>
    <row r="125" spans="2:3" ht="16.5" thickBot="1" x14ac:dyDescent="0.3">
      <c r="B125" s="171" t="s">
        <v>92</v>
      </c>
      <c r="C125" s="174">
        <v>5</v>
      </c>
    </row>
    <row r="126" spans="2:3" hidden="1" x14ac:dyDescent="0.25"/>
    <row r="127" spans="2:3" ht="16.5" thickBot="1" x14ac:dyDescent="0.3"/>
    <row r="128" spans="2:3" hidden="1" x14ac:dyDescent="0.25"/>
    <row r="129" spans="2:3" hidden="1" x14ac:dyDescent="0.25"/>
    <row r="130" spans="2:3" hidden="1" x14ac:dyDescent="0.25"/>
    <row r="131" spans="2:3" hidden="1" x14ac:dyDescent="0.25"/>
    <row r="132" spans="2:3" hidden="1" x14ac:dyDescent="0.25"/>
    <row r="133" spans="2:3" hidden="1" x14ac:dyDescent="0.25"/>
    <row r="134" spans="2:3" hidden="1" x14ac:dyDescent="0.25"/>
    <row r="135" spans="2:3" hidden="1" x14ac:dyDescent="0.25"/>
    <row r="136" spans="2:3" hidden="1" x14ac:dyDescent="0.25"/>
    <row r="137" spans="2:3" hidden="1" x14ac:dyDescent="0.25"/>
    <row r="138" spans="2:3" hidden="1" x14ac:dyDescent="0.25"/>
    <row r="139" spans="2:3" ht="16.5" hidden="1" thickBot="1" x14ac:dyDescent="0.3"/>
    <row r="140" spans="2:3" ht="48.75" customHeight="1" thickBot="1" x14ac:dyDescent="0.3">
      <c r="B140" s="511" t="str">
        <f>"פרמטרים לחישוב ניקוד משתנה "&amp;$B$36</f>
        <v>פרמטרים לחישוב ניקוד משתנה מיקום גיאוגרפי</v>
      </c>
      <c r="C140" s="513"/>
    </row>
    <row r="141" spans="2:3" ht="16.5" thickBot="1" x14ac:dyDescent="0.3">
      <c r="B141" s="126" t="s">
        <v>93</v>
      </c>
      <c r="C141" s="149" t="s">
        <v>78</v>
      </c>
    </row>
    <row r="142" spans="2:3" ht="31.5" x14ac:dyDescent="0.25">
      <c r="B142" s="169" t="s">
        <v>94</v>
      </c>
      <c r="C142" s="172">
        <v>0</v>
      </c>
    </row>
    <row r="143" spans="2:3" ht="47.25" x14ac:dyDescent="0.25">
      <c r="B143" s="170" t="s">
        <v>95</v>
      </c>
      <c r="C143" s="173">
        <v>1</v>
      </c>
    </row>
    <row r="144" spans="2:3" ht="31.5" x14ac:dyDescent="0.25">
      <c r="B144" s="170" t="s">
        <v>96</v>
      </c>
      <c r="C144" s="173">
        <v>1.5</v>
      </c>
    </row>
    <row r="145" spans="2:3" ht="47.25" x14ac:dyDescent="0.25">
      <c r="B145" s="170" t="s">
        <v>97</v>
      </c>
      <c r="C145" s="173">
        <v>3</v>
      </c>
    </row>
    <row r="146" spans="2:3" ht="16.5" thickBot="1" x14ac:dyDescent="0.3">
      <c r="B146" s="171" t="s">
        <v>98</v>
      </c>
      <c r="C146" s="174">
        <v>2</v>
      </c>
    </row>
    <row r="147" spans="2:3" ht="16.5" thickBot="1" x14ac:dyDescent="0.3"/>
    <row r="148" spans="2:3" hidden="1" x14ac:dyDescent="0.25"/>
    <row r="149" spans="2:3" hidden="1" x14ac:dyDescent="0.25"/>
    <row r="150" spans="2:3" hidden="1" x14ac:dyDescent="0.25"/>
    <row r="151" spans="2:3" hidden="1" x14ac:dyDescent="0.25"/>
    <row r="152" spans="2:3" hidden="1" x14ac:dyDescent="0.25"/>
    <row r="153" spans="2:3" hidden="1" x14ac:dyDescent="0.25"/>
    <row r="154" spans="2:3" hidden="1" x14ac:dyDescent="0.25"/>
    <row r="155" spans="2:3" hidden="1" x14ac:dyDescent="0.25"/>
    <row r="156" spans="2:3" hidden="1" x14ac:dyDescent="0.25"/>
    <row r="157" spans="2:3" hidden="1" x14ac:dyDescent="0.25"/>
    <row r="158" spans="2:3" hidden="1" x14ac:dyDescent="0.25"/>
    <row r="159" spans="2:3" ht="16.5" hidden="1" thickBot="1" x14ac:dyDescent="0.3"/>
    <row r="160" spans="2:3" ht="54.75" customHeight="1" thickBot="1" x14ac:dyDescent="0.3">
      <c r="B160" s="511" t="str">
        <f>"פרמטרים לחישוב ניקוד משתנה "&amp;$B$37</f>
        <v>פרמטרים לחישוב ניקוד משתנה תקציב</v>
      </c>
      <c r="C160" s="513"/>
    </row>
    <row r="161" spans="2:3" ht="32.25" thickBot="1" x14ac:dyDescent="0.3">
      <c r="B161" s="126" t="s">
        <v>99</v>
      </c>
      <c r="C161" s="149" t="s">
        <v>78</v>
      </c>
    </row>
    <row r="162" spans="2:3" x14ac:dyDescent="0.25">
      <c r="B162" s="128">
        <v>0</v>
      </c>
      <c r="C162" s="172">
        <v>0</v>
      </c>
    </row>
    <row r="163" spans="2:3" x14ac:dyDescent="0.25">
      <c r="B163" s="133">
        <v>0.2</v>
      </c>
      <c r="C163" s="173">
        <v>1</v>
      </c>
    </row>
    <row r="164" spans="2:3" x14ac:dyDescent="0.25">
      <c r="B164" s="133">
        <v>0.4</v>
      </c>
      <c r="C164" s="173">
        <v>2</v>
      </c>
    </row>
    <row r="165" spans="2:3" x14ac:dyDescent="0.25">
      <c r="B165" s="133">
        <v>0.5</v>
      </c>
      <c r="C165" s="173">
        <v>4</v>
      </c>
    </row>
    <row r="166" spans="2:3" ht="16.5" thickBot="1" x14ac:dyDescent="0.3">
      <c r="B166" s="332">
        <v>0.6</v>
      </c>
      <c r="C166" s="174">
        <v>6</v>
      </c>
    </row>
    <row r="167" spans="2:3" ht="16.5" thickBot="1" x14ac:dyDescent="0.3"/>
    <row r="168" spans="2:3" hidden="1" x14ac:dyDescent="0.25"/>
    <row r="169" spans="2:3" hidden="1" x14ac:dyDescent="0.25"/>
    <row r="170" spans="2:3" hidden="1" x14ac:dyDescent="0.25"/>
    <row r="171" spans="2:3" hidden="1" x14ac:dyDescent="0.25"/>
    <row r="172" spans="2:3" hidden="1" x14ac:dyDescent="0.25"/>
    <row r="173" spans="2:3" hidden="1" x14ac:dyDescent="0.25"/>
    <row r="174" spans="2:3" hidden="1" x14ac:dyDescent="0.25"/>
    <row r="175" spans="2:3" hidden="1" x14ac:dyDescent="0.25"/>
    <row r="176" spans="2:3" hidden="1" x14ac:dyDescent="0.25"/>
    <row r="177" spans="2:3" hidden="1" x14ac:dyDescent="0.25"/>
    <row r="178" spans="2:3" hidden="1" x14ac:dyDescent="0.25"/>
    <row r="179" spans="2:3" ht="16.5" hidden="1" thickBot="1" x14ac:dyDescent="0.3"/>
    <row r="180" spans="2:3" ht="48" customHeight="1" thickBot="1" x14ac:dyDescent="0.3">
      <c r="B180" s="511" t="str">
        <f>"פרמטרים לחישוב ניקוד משתנה "&amp;$B$38</f>
        <v>פרמטרים לחישוב ניקוד משתנה עידוד יצירה ישראלית</v>
      </c>
      <c r="C180" s="513"/>
    </row>
    <row r="181" spans="2:3" ht="16.5" thickBot="1" x14ac:dyDescent="0.3">
      <c r="B181" s="327" t="s">
        <v>74</v>
      </c>
      <c r="C181" s="331" t="s">
        <v>78</v>
      </c>
    </row>
    <row r="182" spans="2:3" ht="16.5" thickBot="1" x14ac:dyDescent="0.3">
      <c r="B182" s="171" t="s">
        <v>100</v>
      </c>
      <c r="C182" s="174">
        <v>1</v>
      </c>
    </row>
    <row r="183" spans="2:3" hidden="1" x14ac:dyDescent="0.25"/>
    <row r="184" spans="2:3" hidden="1" x14ac:dyDescent="0.25"/>
    <row r="185" spans="2:3" hidden="1" x14ac:dyDescent="0.25"/>
    <row r="186" spans="2:3" hidden="1" x14ac:dyDescent="0.25"/>
    <row r="187" spans="2:3" ht="16.5" thickBot="1" x14ac:dyDescent="0.3"/>
    <row r="188" spans="2:3" hidden="1" x14ac:dyDescent="0.25"/>
    <row r="189" spans="2:3" hidden="1" x14ac:dyDescent="0.25"/>
    <row r="190" spans="2:3" hidden="1" x14ac:dyDescent="0.25"/>
    <row r="191" spans="2:3" hidden="1" x14ac:dyDescent="0.25"/>
    <row r="192" spans="2:3" hidden="1" x14ac:dyDescent="0.25"/>
    <row r="193" spans="2:3" hidden="1" x14ac:dyDescent="0.25"/>
    <row r="194" spans="2:3" hidden="1" x14ac:dyDescent="0.25"/>
    <row r="195" spans="2:3" hidden="1" x14ac:dyDescent="0.25"/>
    <row r="196" spans="2:3" hidden="1" x14ac:dyDescent="0.25"/>
    <row r="197" spans="2:3" hidden="1" x14ac:dyDescent="0.25"/>
    <row r="198" spans="2:3" hidden="1" x14ac:dyDescent="0.25"/>
    <row r="199" spans="2:3" ht="16.5" hidden="1" thickBot="1" x14ac:dyDescent="0.3"/>
    <row r="200" spans="2:3" ht="55.5" customHeight="1" thickBot="1" x14ac:dyDescent="0.3">
      <c r="B200" s="534" t="str">
        <f>"פרמטרים לחישוב ניקוד משתנה "&amp;$B$39</f>
        <v>פרמטרים לחישוב ניקוד משתנה תיעוד</v>
      </c>
      <c r="C200" s="535"/>
    </row>
    <row r="201" spans="2:3" ht="18.75" customHeight="1" thickBot="1" x14ac:dyDescent="0.3">
      <c r="B201" s="327" t="s">
        <v>101</v>
      </c>
      <c r="C201" s="331" t="s">
        <v>78</v>
      </c>
    </row>
    <row r="202" spans="2:3" x14ac:dyDescent="0.25">
      <c r="B202" s="169">
        <v>30</v>
      </c>
      <c r="C202" s="172">
        <v>1</v>
      </c>
    </row>
    <row r="203" spans="2:3" ht="16.5" thickBot="1" x14ac:dyDescent="0.3">
      <c r="B203" s="171">
        <v>50</v>
      </c>
      <c r="C203" s="174">
        <v>2</v>
      </c>
    </row>
    <row r="204" spans="2:3" hidden="1" x14ac:dyDescent="0.25"/>
    <row r="205" spans="2:3" hidden="1" x14ac:dyDescent="0.25"/>
    <row r="206" spans="2:3" hidden="1" x14ac:dyDescent="0.25"/>
    <row r="207" spans="2:3" hidden="1" x14ac:dyDescent="0.25"/>
    <row r="208" spans="2:3" hidden="1" x14ac:dyDescent="0.25"/>
    <row r="209" spans="2:3" hidden="1" x14ac:dyDescent="0.25"/>
    <row r="210" spans="2:3" hidden="1" x14ac:dyDescent="0.25"/>
    <row r="211" spans="2:3" hidden="1" x14ac:dyDescent="0.25"/>
    <row r="212" spans="2:3" hidden="1" x14ac:dyDescent="0.25"/>
    <row r="213" spans="2:3" hidden="1" x14ac:dyDescent="0.25"/>
    <row r="214" spans="2:3" hidden="1" x14ac:dyDescent="0.25"/>
    <row r="215" spans="2:3" hidden="1" x14ac:dyDescent="0.25"/>
    <row r="216" spans="2:3" hidden="1" x14ac:dyDescent="0.25"/>
    <row r="217" spans="2:3" hidden="1" x14ac:dyDescent="0.25"/>
    <row r="218" spans="2:3" hidden="1" x14ac:dyDescent="0.25"/>
    <row r="219" spans="2:3" ht="16.5" hidden="1" thickBot="1" x14ac:dyDescent="0.3"/>
    <row r="220" spans="2:3" ht="42.75" hidden="1" customHeight="1" thickBot="1" x14ac:dyDescent="0.3">
      <c r="B220" s="534" t="str">
        <f>"פרמטרים לחישוב ניקוד משתנה "&amp;$B$40</f>
        <v xml:space="preserve">פרמטרים לחישוב ניקוד משתנה </v>
      </c>
      <c r="C220" s="535"/>
    </row>
    <row r="221" spans="2:3" ht="19.5" hidden="1" customHeight="1" thickBot="1" x14ac:dyDescent="0.3">
      <c r="B221" s="126" t="s">
        <v>74</v>
      </c>
      <c r="C221" s="149" t="s">
        <v>78</v>
      </c>
    </row>
    <row r="222" spans="2:3" hidden="1" x14ac:dyDescent="0.25">
      <c r="B222" s="169" t="s">
        <v>102</v>
      </c>
      <c r="C222" s="172">
        <v>1</v>
      </c>
    </row>
    <row r="223" spans="2:3" hidden="1" x14ac:dyDescent="0.25">
      <c r="B223" s="170" t="s">
        <v>103</v>
      </c>
      <c r="C223" s="173">
        <v>2</v>
      </c>
    </row>
    <row r="224" spans="2:3" hidden="1" x14ac:dyDescent="0.25">
      <c r="B224" s="170" t="s">
        <v>104</v>
      </c>
      <c r="C224" s="173">
        <v>3</v>
      </c>
    </row>
    <row r="225" spans="2:3" hidden="1" x14ac:dyDescent="0.25">
      <c r="B225" s="170" t="s">
        <v>105</v>
      </c>
      <c r="C225" s="173">
        <v>4</v>
      </c>
    </row>
    <row r="226" spans="2:3" ht="16.5" hidden="1" thickBot="1" x14ac:dyDescent="0.3">
      <c r="B226" s="171" t="s">
        <v>106</v>
      </c>
      <c r="C226" s="174">
        <v>5</v>
      </c>
    </row>
    <row r="227" spans="2:3" hidden="1" x14ac:dyDescent="0.25"/>
    <row r="228" spans="2:3" ht="16.5" hidden="1" thickBot="1" x14ac:dyDescent="0.3"/>
    <row r="229" spans="2:3" hidden="1" x14ac:dyDescent="0.25"/>
    <row r="230" spans="2:3" hidden="1" x14ac:dyDescent="0.25"/>
    <row r="231" spans="2:3" hidden="1" x14ac:dyDescent="0.25"/>
    <row r="232" spans="2:3" hidden="1" x14ac:dyDescent="0.25"/>
    <row r="233" spans="2:3" hidden="1" x14ac:dyDescent="0.25"/>
    <row r="234" spans="2:3" hidden="1" x14ac:dyDescent="0.25"/>
    <row r="235" spans="2:3" hidden="1" x14ac:dyDescent="0.25"/>
    <row r="236" spans="2:3" hidden="1" x14ac:dyDescent="0.25"/>
    <row r="237" spans="2:3" hidden="1" x14ac:dyDescent="0.25"/>
    <row r="238" spans="2:3" hidden="1" x14ac:dyDescent="0.25"/>
    <row r="239" spans="2:3" ht="16.5" hidden="1" thickBot="1" x14ac:dyDescent="0.3"/>
    <row r="240" spans="2:3" ht="18.75" hidden="1" customHeight="1" thickBot="1" x14ac:dyDescent="0.3">
      <c r="B240" s="534" t="str">
        <f>"פרמטרים לחישוב ניקוד משתנה "&amp;$B$41</f>
        <v xml:space="preserve">פרמטרים לחישוב ניקוד משתנה </v>
      </c>
      <c r="C240" s="535"/>
    </row>
    <row r="241" spans="2:3" ht="16.5" hidden="1" thickBot="1" x14ac:dyDescent="0.3">
      <c r="B241" s="126" t="s">
        <v>74</v>
      </c>
      <c r="C241" s="149" t="s">
        <v>78</v>
      </c>
    </row>
    <row r="242" spans="2:3" hidden="1" x14ac:dyDescent="0.25">
      <c r="B242" s="169" t="s">
        <v>102</v>
      </c>
      <c r="C242" s="172">
        <v>1</v>
      </c>
    </row>
    <row r="243" spans="2:3" hidden="1" x14ac:dyDescent="0.25">
      <c r="B243" s="170" t="s">
        <v>103</v>
      </c>
      <c r="C243" s="173">
        <v>2</v>
      </c>
    </row>
    <row r="244" spans="2:3" hidden="1" x14ac:dyDescent="0.25">
      <c r="B244" s="170" t="s">
        <v>104</v>
      </c>
      <c r="C244" s="173">
        <v>3</v>
      </c>
    </row>
    <row r="245" spans="2:3" hidden="1" x14ac:dyDescent="0.25">
      <c r="B245" s="170" t="s">
        <v>105</v>
      </c>
      <c r="C245" s="173">
        <v>4</v>
      </c>
    </row>
    <row r="246" spans="2:3" ht="16.5" hidden="1" thickBot="1" x14ac:dyDescent="0.3">
      <c r="B246" s="171" t="s">
        <v>106</v>
      </c>
      <c r="C246" s="174">
        <v>5</v>
      </c>
    </row>
    <row r="247" spans="2:3" ht="16.5" hidden="1" thickBot="1" x14ac:dyDescent="0.3"/>
    <row r="248" spans="2:3" hidden="1" x14ac:dyDescent="0.25"/>
    <row r="249" spans="2:3" hidden="1" x14ac:dyDescent="0.25"/>
    <row r="250" spans="2:3" hidden="1" x14ac:dyDescent="0.25"/>
    <row r="251" spans="2:3" hidden="1" x14ac:dyDescent="0.25"/>
    <row r="252" spans="2:3" hidden="1" x14ac:dyDescent="0.25"/>
    <row r="253" spans="2:3" hidden="1" x14ac:dyDescent="0.25"/>
    <row r="254" spans="2:3" hidden="1" x14ac:dyDescent="0.25"/>
    <row r="255" spans="2:3" hidden="1" x14ac:dyDescent="0.25"/>
    <row r="256" spans="2:3" hidden="1" x14ac:dyDescent="0.25"/>
    <row r="257" spans="2:3" hidden="1" x14ac:dyDescent="0.25"/>
    <row r="258" spans="2:3" hidden="1" x14ac:dyDescent="0.25"/>
    <row r="259" spans="2:3" ht="16.5" hidden="1" thickBot="1" x14ac:dyDescent="0.3"/>
    <row r="260" spans="2:3" ht="19.5" hidden="1" thickBot="1" x14ac:dyDescent="0.3">
      <c r="B260" s="534" t="str">
        <f>"פרמטרים לחישוב ניקוד משתנה "&amp;$B$42</f>
        <v xml:space="preserve">פרמטרים לחישוב ניקוד משתנה </v>
      </c>
      <c r="C260" s="535"/>
    </row>
    <row r="261" spans="2:3" ht="16.5" hidden="1" thickBot="1" x14ac:dyDescent="0.3">
      <c r="B261" s="126" t="s">
        <v>74</v>
      </c>
      <c r="C261" s="149" t="s">
        <v>78</v>
      </c>
    </row>
    <row r="262" spans="2:3" hidden="1" x14ac:dyDescent="0.25">
      <c r="B262" s="169" t="s">
        <v>102</v>
      </c>
      <c r="C262" s="172">
        <v>1</v>
      </c>
    </row>
    <row r="263" spans="2:3" hidden="1" x14ac:dyDescent="0.25">
      <c r="B263" s="170" t="s">
        <v>103</v>
      </c>
      <c r="C263" s="173">
        <v>2</v>
      </c>
    </row>
    <row r="264" spans="2:3" hidden="1" x14ac:dyDescent="0.25">
      <c r="B264" s="170" t="s">
        <v>104</v>
      </c>
      <c r="C264" s="173">
        <v>3</v>
      </c>
    </row>
    <row r="265" spans="2:3" hidden="1" x14ac:dyDescent="0.25">
      <c r="B265" s="170" t="s">
        <v>105</v>
      </c>
      <c r="C265" s="173">
        <v>4</v>
      </c>
    </row>
    <row r="266" spans="2:3" ht="16.5" hidden="1" thickBot="1" x14ac:dyDescent="0.3">
      <c r="B266" s="171" t="s">
        <v>106</v>
      </c>
      <c r="C266" s="174">
        <v>5</v>
      </c>
    </row>
    <row r="267" spans="2:3" ht="16.5" hidden="1" thickBot="1" x14ac:dyDescent="0.3"/>
    <row r="268" spans="2:3" hidden="1" x14ac:dyDescent="0.25"/>
    <row r="269" spans="2:3" hidden="1" x14ac:dyDescent="0.25"/>
    <row r="270" spans="2:3" hidden="1" x14ac:dyDescent="0.25"/>
    <row r="271" spans="2:3" hidden="1" x14ac:dyDescent="0.25"/>
    <row r="272" spans="2:3" hidden="1" x14ac:dyDescent="0.25"/>
    <row r="273" spans="2:3" hidden="1" x14ac:dyDescent="0.25"/>
    <row r="274" spans="2:3" hidden="1" x14ac:dyDescent="0.25"/>
    <row r="275" spans="2:3" hidden="1" x14ac:dyDescent="0.25"/>
    <row r="276" spans="2:3" hidden="1" x14ac:dyDescent="0.25"/>
    <row r="277" spans="2:3" hidden="1" x14ac:dyDescent="0.25"/>
    <row r="278" spans="2:3" hidden="1" x14ac:dyDescent="0.25"/>
    <row r="279" spans="2:3" ht="16.5" hidden="1" thickBot="1" x14ac:dyDescent="0.3"/>
    <row r="280" spans="2:3" ht="19.5" hidden="1" thickBot="1" x14ac:dyDescent="0.3">
      <c r="B280" s="534" t="str">
        <f>"פרמטרים לחישוב ניקוד משתנה "&amp;$B$43</f>
        <v xml:space="preserve">פרמטרים לחישוב ניקוד משתנה </v>
      </c>
      <c r="C280" s="535"/>
    </row>
    <row r="281" spans="2:3" ht="16.5" hidden="1" thickBot="1" x14ac:dyDescent="0.3">
      <c r="B281" s="126" t="s">
        <v>74</v>
      </c>
      <c r="C281" s="149" t="s">
        <v>78</v>
      </c>
    </row>
    <row r="282" spans="2:3" hidden="1" x14ac:dyDescent="0.25">
      <c r="B282" s="169" t="s">
        <v>102</v>
      </c>
      <c r="C282" s="172">
        <v>1</v>
      </c>
    </row>
    <row r="283" spans="2:3" hidden="1" x14ac:dyDescent="0.25">
      <c r="B283" s="170" t="s">
        <v>103</v>
      </c>
      <c r="C283" s="173">
        <v>2</v>
      </c>
    </row>
    <row r="284" spans="2:3" hidden="1" x14ac:dyDescent="0.25">
      <c r="B284" s="170" t="s">
        <v>104</v>
      </c>
      <c r="C284" s="173">
        <v>3</v>
      </c>
    </row>
    <row r="285" spans="2:3" hidden="1" x14ac:dyDescent="0.25">
      <c r="B285" s="170" t="s">
        <v>105</v>
      </c>
      <c r="C285" s="173">
        <v>4</v>
      </c>
    </row>
    <row r="286" spans="2:3" ht="16.5" hidden="1" thickBot="1" x14ac:dyDescent="0.3">
      <c r="B286" s="171" t="s">
        <v>106</v>
      </c>
      <c r="C286" s="174">
        <v>5</v>
      </c>
    </row>
    <row r="287" spans="2:3" ht="16.5" hidden="1" thickBot="1" x14ac:dyDescent="0.3"/>
    <row r="288" spans="2:3" hidden="1" x14ac:dyDescent="0.25"/>
    <row r="289" spans="2:3" hidden="1" x14ac:dyDescent="0.25"/>
    <row r="290" spans="2:3" hidden="1" x14ac:dyDescent="0.25"/>
    <row r="291" spans="2:3" hidden="1" x14ac:dyDescent="0.25"/>
    <row r="292" spans="2:3" hidden="1" x14ac:dyDescent="0.25"/>
    <row r="293" spans="2:3" hidden="1" x14ac:dyDescent="0.25"/>
    <row r="294" spans="2:3" hidden="1" x14ac:dyDescent="0.25"/>
    <row r="295" spans="2:3" hidden="1" x14ac:dyDescent="0.25"/>
    <row r="296" spans="2:3" hidden="1" x14ac:dyDescent="0.25"/>
    <row r="297" spans="2:3" hidden="1" x14ac:dyDescent="0.25"/>
    <row r="298" spans="2:3" hidden="1" x14ac:dyDescent="0.25"/>
    <row r="299" spans="2:3" ht="16.5" hidden="1" thickBot="1" x14ac:dyDescent="0.3"/>
    <row r="300" spans="2:3" ht="19.5" hidden="1" thickBot="1" x14ac:dyDescent="0.3">
      <c r="B300" s="534" t="str">
        <f>"פרמטרים לחישוב ניקוד משתנה "&amp;$B$44</f>
        <v xml:space="preserve">פרמטרים לחישוב ניקוד משתנה </v>
      </c>
      <c r="C300" s="535"/>
    </row>
    <row r="301" spans="2:3" ht="16.5" hidden="1" thickBot="1" x14ac:dyDescent="0.3">
      <c r="B301" s="126" t="s">
        <v>74</v>
      </c>
      <c r="C301" s="149" t="s">
        <v>78</v>
      </c>
    </row>
    <row r="302" spans="2:3" hidden="1" x14ac:dyDescent="0.25">
      <c r="B302" s="169" t="s">
        <v>102</v>
      </c>
      <c r="C302" s="172">
        <v>1</v>
      </c>
    </row>
    <row r="303" spans="2:3" hidden="1" x14ac:dyDescent="0.25">
      <c r="B303" s="170" t="s">
        <v>103</v>
      </c>
      <c r="C303" s="173">
        <v>2</v>
      </c>
    </row>
    <row r="304" spans="2:3" hidden="1" x14ac:dyDescent="0.25">
      <c r="B304" s="170" t="s">
        <v>104</v>
      </c>
      <c r="C304" s="173">
        <v>3</v>
      </c>
    </row>
    <row r="305" spans="2:3" hidden="1" x14ac:dyDescent="0.25">
      <c r="B305" s="170" t="s">
        <v>105</v>
      </c>
      <c r="C305" s="173">
        <v>4</v>
      </c>
    </row>
    <row r="306" spans="2:3" ht="16.5" hidden="1" thickBot="1" x14ac:dyDescent="0.3">
      <c r="B306" s="171" t="s">
        <v>106</v>
      </c>
      <c r="C306" s="174">
        <v>5</v>
      </c>
    </row>
    <row r="307" spans="2:3" ht="16.5" hidden="1" thickBot="1" x14ac:dyDescent="0.3"/>
    <row r="308" spans="2:3" hidden="1" x14ac:dyDescent="0.25"/>
    <row r="309" spans="2:3" hidden="1" x14ac:dyDescent="0.25"/>
    <row r="310" spans="2:3" hidden="1" x14ac:dyDescent="0.25"/>
    <row r="311" spans="2:3" hidden="1" x14ac:dyDescent="0.25"/>
    <row r="312" spans="2:3" hidden="1" x14ac:dyDescent="0.25"/>
    <row r="313" spans="2:3" hidden="1" x14ac:dyDescent="0.25"/>
    <row r="314" spans="2:3" hidden="1" x14ac:dyDescent="0.25"/>
    <row r="315" spans="2:3" hidden="1" x14ac:dyDescent="0.25"/>
    <row r="316" spans="2:3" hidden="1" x14ac:dyDescent="0.25"/>
    <row r="317" spans="2:3" hidden="1" x14ac:dyDescent="0.25"/>
    <row r="318" spans="2:3" hidden="1" x14ac:dyDescent="0.25"/>
    <row r="319" spans="2:3" ht="16.5" hidden="1" thickBot="1" x14ac:dyDescent="0.3"/>
    <row r="320" spans="2:3" ht="19.5" hidden="1" thickBot="1" x14ac:dyDescent="0.3">
      <c r="B320" s="534" t="str">
        <f>"פרמטרים לחישוב ניקוד משתנה "&amp;$B$45</f>
        <v xml:space="preserve">פרמטרים לחישוב ניקוד משתנה </v>
      </c>
      <c r="C320" s="535"/>
    </row>
    <row r="321" spans="2:3" ht="16.5" hidden="1" thickBot="1" x14ac:dyDescent="0.3">
      <c r="B321" s="126" t="s">
        <v>74</v>
      </c>
      <c r="C321" s="149" t="s">
        <v>78</v>
      </c>
    </row>
    <row r="322" spans="2:3" hidden="1" x14ac:dyDescent="0.25">
      <c r="B322" s="169" t="s">
        <v>102</v>
      </c>
      <c r="C322" s="172">
        <v>1</v>
      </c>
    </row>
    <row r="323" spans="2:3" hidden="1" x14ac:dyDescent="0.25">
      <c r="B323" s="170" t="s">
        <v>103</v>
      </c>
      <c r="C323" s="173">
        <v>2</v>
      </c>
    </row>
    <row r="324" spans="2:3" hidden="1" x14ac:dyDescent="0.25">
      <c r="B324" s="170" t="s">
        <v>104</v>
      </c>
      <c r="C324" s="173">
        <v>3</v>
      </c>
    </row>
    <row r="325" spans="2:3" hidden="1" x14ac:dyDescent="0.25">
      <c r="B325" s="170" t="s">
        <v>105</v>
      </c>
      <c r="C325" s="173">
        <v>4</v>
      </c>
    </row>
    <row r="326" spans="2:3" ht="16.5" hidden="1" thickBot="1" x14ac:dyDescent="0.3">
      <c r="B326" s="171" t="s">
        <v>106</v>
      </c>
      <c r="C326" s="174">
        <v>5</v>
      </c>
    </row>
    <row r="327" spans="2:3" hidden="1" x14ac:dyDescent="0.25"/>
    <row r="328" spans="2:3" hidden="1" x14ac:dyDescent="0.25"/>
    <row r="329" spans="2:3" hidden="1" x14ac:dyDescent="0.25"/>
    <row r="330" spans="2:3" hidden="1" x14ac:dyDescent="0.25"/>
    <row r="331" spans="2:3" hidden="1" x14ac:dyDescent="0.25"/>
    <row r="332" spans="2:3" hidden="1" x14ac:dyDescent="0.25"/>
    <row r="333" spans="2:3" hidden="1" x14ac:dyDescent="0.25"/>
    <row r="334" spans="2:3" hidden="1" x14ac:dyDescent="0.25"/>
    <row r="335" spans="2:3" hidden="1" x14ac:dyDescent="0.25"/>
    <row r="336" spans="2:3" hidden="1" x14ac:dyDescent="0.25"/>
    <row r="337" hidden="1" x14ac:dyDescent="0.25"/>
    <row r="338" hidden="1" x14ac:dyDescent="0.25"/>
    <row r="339" hidden="1" x14ac:dyDescent="0.25"/>
  </sheetData>
  <sheetProtection algorithmName="SHA-512" hashValue="Bhrn3wJR/AiwKM1RN3D3v0HI7En/57TL2ZQPnQJYfXUkIfN7IsNCsAlo1rLkCRGKyHzcXbaqJym0NMCx+7qtEw==" saltValue="XfaPSen13XAaTgu5ZnJJ9A==" spinCount="100000" sheet="1" scenarios="1" formatCells="0" formatColumns="0" formatRows="0" autoFilter="0"/>
  <mergeCells count="19">
    <mergeCell ref="I24:I25"/>
    <mergeCell ref="B220:C220"/>
    <mergeCell ref="B120:C120"/>
    <mergeCell ref="B160:C160"/>
    <mergeCell ref="B200:C200"/>
    <mergeCell ref="B140:C140"/>
    <mergeCell ref="B180:C180"/>
    <mergeCell ref="B2:H2"/>
    <mergeCell ref="B60:C60"/>
    <mergeCell ref="B80:C80"/>
    <mergeCell ref="B30:C30"/>
    <mergeCell ref="B24:H24"/>
    <mergeCell ref="B9:D9"/>
    <mergeCell ref="B16:D16"/>
    <mergeCell ref="B240:C240"/>
    <mergeCell ref="B260:C260"/>
    <mergeCell ref="B280:C280"/>
    <mergeCell ref="B300:C300"/>
    <mergeCell ref="B320:C320"/>
  </mergeCells>
  <conditionalFormatting sqref="C4:C5 J4:J5">
    <cfRule type="containsBlanks" dxfId="402" priority="5">
      <formula>LEN(TRIM(C4))=0</formula>
    </cfRule>
  </conditionalFormatting>
  <conditionalFormatting sqref="C58">
    <cfRule type="cellIs" dxfId="401" priority="3" operator="notEqual">
      <formula>1</formula>
    </cfRule>
  </conditionalFormatting>
  <dataValidations count="2">
    <dataValidation type="whole" allowBlank="1" showInputMessage="1" showErrorMessage="1" sqref="C4" xr:uid="{00000000-0002-0000-0200-000000000000}">
      <formula1>2019</formula1>
      <formula2>2030</formula2>
    </dataValidation>
    <dataValidation type="decimal" operator="greaterThan" allowBlank="1" showInputMessage="1" showErrorMessage="1" sqref="J4 J5" xr:uid="{B0DE1AD5-0089-42BE-A762-3EA2E0EE13B1}">
      <formula1>0</formula1>
    </dataValidation>
  </dataValidation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6">
    <tabColor theme="1"/>
  </sheetPr>
  <dimension ref="A4:F22"/>
  <sheetViews>
    <sheetView rightToLeft="1" workbookViewId="0">
      <selection activeCell="B14" sqref="B14"/>
    </sheetView>
  </sheetViews>
  <sheetFormatPr defaultColWidth="9.140625" defaultRowHeight="15.75" x14ac:dyDescent="0.25"/>
  <cols>
    <col min="1" max="1" width="16.140625" style="193" bestFit="1" customWidth="1"/>
    <col min="2" max="2" width="44.5703125" style="192" customWidth="1"/>
    <col min="3" max="3" width="11.28515625" style="193" bestFit="1" customWidth="1"/>
    <col min="4" max="4" width="18.85546875" style="193" bestFit="1" customWidth="1"/>
    <col min="5" max="5" width="11.7109375" style="193" bestFit="1" customWidth="1"/>
    <col min="6" max="6" width="14.42578125" style="193" bestFit="1" customWidth="1"/>
    <col min="7" max="16384" width="9.140625" style="193"/>
  </cols>
  <sheetData>
    <row r="4" spans="1:6" x14ac:dyDescent="0.25">
      <c r="A4" s="539" t="s">
        <v>107</v>
      </c>
      <c r="B4" s="540"/>
      <c r="C4" s="541"/>
    </row>
    <row r="5" spans="1:6" ht="31.5" x14ac:dyDescent="0.25">
      <c r="A5" s="401" t="s">
        <v>108</v>
      </c>
      <c r="B5" s="401"/>
      <c r="C5" s="401" t="s">
        <v>109</v>
      </c>
      <c r="D5" s="401" t="s">
        <v>110</v>
      </c>
      <c r="E5" s="401" t="s">
        <v>111</v>
      </c>
      <c r="F5" s="401" t="s">
        <v>112</v>
      </c>
    </row>
    <row r="6" spans="1:6" ht="47.25" x14ac:dyDescent="0.25">
      <c r="A6" s="402">
        <v>2019</v>
      </c>
      <c r="B6" s="401" t="s">
        <v>113</v>
      </c>
      <c r="C6" s="403">
        <v>0.85</v>
      </c>
      <c r="D6" s="404">
        <v>20000</v>
      </c>
      <c r="E6" s="405">
        <v>0.7</v>
      </c>
      <c r="F6" s="404">
        <v>4</v>
      </c>
    </row>
    <row r="7" spans="1:6" x14ac:dyDescent="0.25">
      <c r="A7" s="402">
        <f>A6+1</f>
        <v>2020</v>
      </c>
      <c r="B7" s="401" t="s">
        <v>114</v>
      </c>
      <c r="C7" s="403">
        <v>0</v>
      </c>
      <c r="D7" s="393">
        <v>25000</v>
      </c>
      <c r="E7" s="405">
        <v>0.7</v>
      </c>
      <c r="F7" s="404">
        <v>4</v>
      </c>
    </row>
    <row r="8" spans="1:6" x14ac:dyDescent="0.25">
      <c r="A8" s="402">
        <f t="shared" ref="A8:A20" si="0">A7+1</f>
        <v>2021</v>
      </c>
      <c r="B8" s="401" t="s">
        <v>114</v>
      </c>
      <c r="C8" s="403">
        <v>0</v>
      </c>
      <c r="D8" s="393">
        <v>25000</v>
      </c>
      <c r="E8" s="405">
        <v>0.8</v>
      </c>
      <c r="F8" s="404">
        <v>0</v>
      </c>
    </row>
    <row r="9" spans="1:6" x14ac:dyDescent="0.25">
      <c r="A9" s="402">
        <f t="shared" si="0"/>
        <v>2022</v>
      </c>
      <c r="B9" s="401" t="s">
        <v>114</v>
      </c>
      <c r="C9" s="403">
        <v>0</v>
      </c>
      <c r="D9" s="393">
        <v>25000</v>
      </c>
      <c r="E9" s="405">
        <v>0.8</v>
      </c>
      <c r="F9" s="404">
        <v>0</v>
      </c>
    </row>
    <row r="10" spans="1:6" x14ac:dyDescent="0.25">
      <c r="A10" s="402">
        <f t="shared" si="0"/>
        <v>2023</v>
      </c>
      <c r="B10" s="401" t="s">
        <v>114</v>
      </c>
      <c r="C10" s="403">
        <v>0</v>
      </c>
      <c r="D10" s="393">
        <v>25000</v>
      </c>
      <c r="E10" s="405">
        <v>0.8</v>
      </c>
      <c r="F10" s="404">
        <v>0</v>
      </c>
    </row>
    <row r="11" spans="1:6" x14ac:dyDescent="0.25">
      <c r="A11" s="402">
        <f t="shared" si="0"/>
        <v>2024</v>
      </c>
      <c r="B11" s="401" t="s">
        <v>114</v>
      </c>
      <c r="C11" s="403">
        <v>0</v>
      </c>
      <c r="D11" s="393">
        <v>25000</v>
      </c>
      <c r="E11" s="405">
        <v>0.8</v>
      </c>
      <c r="F11" s="404">
        <v>0</v>
      </c>
    </row>
    <row r="12" spans="1:6" x14ac:dyDescent="0.25">
      <c r="A12" s="402">
        <f t="shared" si="0"/>
        <v>2025</v>
      </c>
      <c r="B12" s="401" t="s">
        <v>114</v>
      </c>
      <c r="C12" s="403">
        <v>0</v>
      </c>
      <c r="D12" s="393">
        <v>25000</v>
      </c>
      <c r="E12" s="405">
        <v>0.8</v>
      </c>
      <c r="F12" s="404">
        <v>0</v>
      </c>
    </row>
    <row r="13" spans="1:6" x14ac:dyDescent="0.25">
      <c r="A13" s="402">
        <f t="shared" si="0"/>
        <v>2026</v>
      </c>
      <c r="B13" s="401" t="s">
        <v>114</v>
      </c>
      <c r="C13" s="403">
        <v>0</v>
      </c>
      <c r="D13" s="393">
        <v>25000</v>
      </c>
      <c r="E13" s="405">
        <v>0.8</v>
      </c>
      <c r="F13" s="404">
        <v>0</v>
      </c>
    </row>
    <row r="14" spans="1:6" x14ac:dyDescent="0.25">
      <c r="A14" s="402">
        <f t="shared" si="0"/>
        <v>2027</v>
      </c>
      <c r="B14" s="401" t="s">
        <v>114</v>
      </c>
      <c r="C14" s="403">
        <v>0</v>
      </c>
      <c r="D14" s="393">
        <v>25000</v>
      </c>
      <c r="E14" s="405">
        <v>0.8</v>
      </c>
      <c r="F14" s="404">
        <v>0</v>
      </c>
    </row>
    <row r="15" spans="1:6" x14ac:dyDescent="0.25">
      <c r="A15" s="402">
        <f t="shared" si="0"/>
        <v>2028</v>
      </c>
      <c r="B15" s="401" t="s">
        <v>114</v>
      </c>
      <c r="C15" s="403">
        <v>0</v>
      </c>
      <c r="D15" s="393">
        <v>25000</v>
      </c>
      <c r="E15" s="405">
        <v>0.8</v>
      </c>
      <c r="F15" s="404">
        <v>0</v>
      </c>
    </row>
    <row r="16" spans="1:6" x14ac:dyDescent="0.25">
      <c r="A16" s="402">
        <f t="shared" si="0"/>
        <v>2029</v>
      </c>
      <c r="B16" s="401" t="s">
        <v>114</v>
      </c>
      <c r="C16" s="403">
        <v>0</v>
      </c>
      <c r="D16" s="393">
        <v>25000</v>
      </c>
      <c r="E16" s="405">
        <v>0.8</v>
      </c>
      <c r="F16" s="404">
        <v>0</v>
      </c>
    </row>
    <row r="17" spans="1:6" x14ac:dyDescent="0.25">
      <c r="A17" s="402">
        <f t="shared" si="0"/>
        <v>2030</v>
      </c>
      <c r="B17" s="401" t="s">
        <v>114</v>
      </c>
      <c r="C17" s="403">
        <v>0</v>
      </c>
      <c r="D17" s="393">
        <v>25000</v>
      </c>
      <c r="E17" s="405">
        <v>0.8</v>
      </c>
      <c r="F17" s="404">
        <v>0</v>
      </c>
    </row>
    <row r="18" spans="1:6" x14ac:dyDescent="0.25">
      <c r="A18" s="402">
        <f t="shared" si="0"/>
        <v>2031</v>
      </c>
      <c r="B18" s="401" t="s">
        <v>114</v>
      </c>
      <c r="C18" s="403">
        <v>0</v>
      </c>
      <c r="D18" s="393">
        <v>25000</v>
      </c>
      <c r="E18" s="405">
        <v>0.8</v>
      </c>
      <c r="F18" s="404">
        <v>0</v>
      </c>
    </row>
    <row r="19" spans="1:6" x14ac:dyDescent="0.25">
      <c r="A19" s="402">
        <f t="shared" si="0"/>
        <v>2032</v>
      </c>
      <c r="B19" s="401" t="s">
        <v>114</v>
      </c>
      <c r="C19" s="403">
        <v>0</v>
      </c>
      <c r="D19" s="393">
        <v>25000</v>
      </c>
      <c r="E19" s="405">
        <v>0.8</v>
      </c>
      <c r="F19" s="404">
        <v>0</v>
      </c>
    </row>
    <row r="20" spans="1:6" x14ac:dyDescent="0.25">
      <c r="A20" s="402">
        <f t="shared" si="0"/>
        <v>2033</v>
      </c>
      <c r="B20" s="401" t="s">
        <v>114</v>
      </c>
      <c r="C20" s="403">
        <v>0</v>
      </c>
      <c r="D20" s="393">
        <v>25000</v>
      </c>
      <c r="E20" s="405">
        <v>0.8</v>
      </c>
      <c r="F20" s="404">
        <v>0</v>
      </c>
    </row>
    <row r="22" spans="1:6" x14ac:dyDescent="0.25">
      <c r="B22" s="208"/>
      <c r="C22" s="209"/>
      <c r="D22" s="209"/>
    </row>
  </sheetData>
  <sheetProtection algorithmName="SHA-512" hashValue="WnMjMaFHmZlMAkLE62W4bUi+rAYxoKxI2z7N5xF7NkYRDibUbgZhjbTtyyqir48uZGLZKRb0OILqRv8aNioMFA==" saltValue="fi/YxgRkQq6k1Dip28OzEg==" spinCount="100000" sheet="1" scenarios="1" formatCells="0" formatColumns="0" formatRows="0" autoFilter="0"/>
  <mergeCells count="1">
    <mergeCell ref="A4: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4" tint="-0.249977111117893"/>
    <pageSetUpPr fitToPage="1"/>
  </sheetPr>
  <dimension ref="A1:CZ131"/>
  <sheetViews>
    <sheetView rightToLeft="1" view="pageBreakPreview" topLeftCell="B1" zoomScale="60" zoomScaleNormal="100" workbookViewId="0">
      <pane xSplit="5" topLeftCell="M1" activePane="topRight" state="frozen"/>
      <selection activeCell="I96" sqref="I96"/>
      <selection pane="topRight" activeCell="B1" sqref="B1:AP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46.28515625" style="193" customWidth="1"/>
    <col min="7" max="7" width="13.42578125" style="193" customWidth="1"/>
    <col min="8" max="8" width="13.85546875" style="193" customWidth="1"/>
    <col min="9" max="9" width="14.5703125" style="193" customWidth="1"/>
    <col min="10" max="10" width="13.140625" style="193" customWidth="1"/>
    <col min="11" max="11" width="13.7109375" style="193" customWidth="1"/>
    <col min="12" max="12" width="13.140625" style="193" customWidth="1"/>
    <col min="13" max="13" width="13.5703125" style="193" customWidth="1"/>
    <col min="14" max="14" width="12.7109375" style="193" customWidth="1"/>
    <col min="15" max="15" width="11" style="193" customWidth="1"/>
    <col min="16" max="16" width="12.85546875" style="193" customWidth="1"/>
    <col min="17" max="17" width="12.140625" style="193" customWidth="1"/>
    <col min="18" max="18" width="15.140625" style="193" customWidth="1"/>
    <col min="19" max="19" width="13" style="193" customWidth="1"/>
    <col min="20" max="20" width="11.7109375" style="193" customWidth="1"/>
    <col min="21" max="21" width="14.28515625" style="193" customWidth="1"/>
    <col min="22" max="22" width="27" style="193" hidden="1" customWidth="1"/>
    <col min="23" max="23" width="2.42578125" style="193" hidden="1" customWidth="1"/>
    <col min="24" max="24" width="16.140625" style="193" customWidth="1"/>
    <col min="25" max="25" width="16.28515625" style="193" customWidth="1"/>
    <col min="26" max="26" width="11.85546875" style="193" customWidth="1"/>
    <col min="27" max="27" width="16.7109375" style="193" bestFit="1" customWidth="1"/>
    <col min="28" max="28" width="17.85546875" style="193" customWidth="1"/>
    <col min="29" max="29" width="15.28515625" style="193" customWidth="1"/>
    <col min="30" max="30" width="17.85546875" style="193" customWidth="1"/>
    <col min="31" max="31" width="13.7109375" style="193" customWidth="1"/>
    <col min="32" max="32" width="6.85546875" style="193" hidden="1" customWidth="1"/>
    <col min="33" max="33" width="15.85546875" style="193" customWidth="1"/>
    <col min="34" max="34" width="25.7109375" style="193" customWidth="1"/>
    <col min="35" max="35" width="15.42578125" style="193" customWidth="1"/>
    <col min="36" max="36" width="13.7109375" style="193" hidden="1" customWidth="1"/>
    <col min="37" max="37" width="17.28515625" style="193" hidden="1" customWidth="1"/>
    <col min="38" max="40" width="21.42578125" style="193" hidden="1" customWidth="1"/>
    <col min="41" max="41" width="15.42578125" style="193" customWidth="1"/>
    <col min="42" max="42" width="80" style="193" bestFit="1" customWidth="1"/>
    <col min="43" max="45" width="9.140625" style="193" hidden="1" customWidth="1"/>
    <col min="46" max="46" width="11.85546875" style="193" hidden="1" customWidth="1"/>
    <col min="47" max="48" width="9.140625" style="193" hidden="1" customWidth="1"/>
    <col min="49" max="49" width="10.140625" style="193" hidden="1" customWidth="1"/>
    <col min="50" max="50" width="16.7109375" style="193" hidden="1" customWidth="1"/>
    <col min="51" max="51" width="8.85546875" style="193" hidden="1" customWidth="1"/>
    <col min="52" max="52" width="11.85546875" style="193" hidden="1" customWidth="1"/>
    <col min="53" max="53" width="17.7109375" style="193" hidden="1" customWidth="1"/>
    <col min="54" max="75" width="9.140625" style="193" hidden="1" customWidth="1"/>
    <col min="76" max="76" width="9.7109375" style="193" hidden="1" customWidth="1"/>
    <col min="77" max="80" width="9.140625" style="193" hidden="1" customWidth="1"/>
    <col min="81" max="81" width="10.7109375" style="193" hidden="1" customWidth="1"/>
    <col min="82" max="104" width="9.140625" style="193" hidden="1" customWidth="1"/>
    <col min="105" max="202" width="9.140625" style="193" customWidth="1"/>
    <col min="203" max="16384" width="9.140625" style="193"/>
  </cols>
  <sheetData>
    <row r="1" spans="2:101" ht="60" customHeight="1" thickBot="1" x14ac:dyDescent="0.3">
      <c r="B1" s="534" t="str">
        <f ca="1">MID(CELL("filename",AS2),FIND("]",CELL("filename",AS2),1)+1,99)</f>
        <v>תנאי סף</v>
      </c>
      <c r="C1" s="536"/>
      <c r="D1" s="536"/>
      <c r="E1" s="536"/>
      <c r="F1" s="536"/>
      <c r="G1" s="536"/>
      <c r="H1" s="536"/>
      <c r="I1" s="536"/>
      <c r="J1" s="536"/>
      <c r="K1" s="536"/>
      <c r="L1" s="536"/>
      <c r="M1" s="536"/>
      <c r="N1" s="536"/>
      <c r="O1" s="536"/>
      <c r="P1" s="536"/>
      <c r="Q1" s="536"/>
      <c r="R1" s="536"/>
      <c r="S1" s="536"/>
      <c r="T1" s="536"/>
      <c r="U1" s="536"/>
      <c r="V1" s="536"/>
      <c r="W1" s="536"/>
      <c r="X1" s="536"/>
      <c r="Y1" s="536"/>
      <c r="Z1" s="536"/>
      <c r="AA1" s="536"/>
      <c r="AB1" s="536"/>
      <c r="AC1" s="536"/>
      <c r="AD1" s="536"/>
      <c r="AE1" s="536"/>
      <c r="AF1" s="536"/>
      <c r="AG1" s="536"/>
      <c r="AH1" s="536"/>
      <c r="AI1" s="536"/>
      <c r="AJ1" s="536"/>
      <c r="AK1" s="536"/>
      <c r="AL1" s="536"/>
      <c r="AM1" s="536"/>
      <c r="AN1" s="536"/>
      <c r="AO1" s="536"/>
      <c r="AP1" s="536"/>
      <c r="AR1" s="193" t="s">
        <v>115</v>
      </c>
      <c r="AT1" s="210" t="s">
        <v>116</v>
      </c>
      <c r="AU1" s="211" t="s">
        <v>117</v>
      </c>
      <c r="AV1" s="211" t="s">
        <v>118</v>
      </c>
      <c r="AW1" s="211" t="s">
        <v>119</v>
      </c>
      <c r="AX1" s="211" t="s">
        <v>120</v>
      </c>
      <c r="AY1" s="211" t="s">
        <v>121</v>
      </c>
      <c r="AZ1" s="211" t="s">
        <v>122</v>
      </c>
      <c r="BA1" s="212" t="s">
        <v>123</v>
      </c>
      <c r="BB1" s="211" t="s">
        <v>124</v>
      </c>
      <c r="BC1" s="212" t="s">
        <v>125</v>
      </c>
      <c r="BD1" s="211"/>
      <c r="BE1" s="211"/>
      <c r="BF1" s="211"/>
      <c r="BG1" s="211"/>
      <c r="BH1" s="211"/>
      <c r="BI1" s="211"/>
      <c r="BJ1" s="211"/>
      <c r="BK1" s="211"/>
      <c r="BL1" s="211"/>
      <c r="BM1" s="211"/>
      <c r="BN1" s="211"/>
      <c r="BO1" s="211"/>
      <c r="BP1" s="211"/>
      <c r="BQ1" s="211"/>
      <c r="BR1" s="211"/>
      <c r="BS1" s="211"/>
      <c r="BT1" s="211"/>
      <c r="BU1" s="211"/>
      <c r="BV1" s="211"/>
      <c r="BW1" s="211"/>
      <c r="BX1" s="211"/>
      <c r="BY1" s="211"/>
      <c r="BZ1" s="211"/>
      <c r="CA1" s="211"/>
      <c r="CB1" s="211"/>
      <c r="CC1" s="211"/>
      <c r="CD1" s="211"/>
      <c r="CE1" s="211"/>
      <c r="CF1" s="212"/>
    </row>
    <row r="2" spans="2:101" ht="20.25" customHeight="1" x14ac:dyDescent="0.25">
      <c r="AO2" s="198" t="str">
        <f>'פרמטרים לקריטריונים'!$B$4</f>
        <v>שנת תקציב</v>
      </c>
      <c r="AP2" s="1">
        <f>'פרמטרים לקריטריונים'!$C$4</f>
        <v>2025</v>
      </c>
      <c r="AU2" s="193">
        <f>IF(ISNA(MATCH(G31,$AR$30:$AS$30,0)),0,1)</f>
        <v>1</v>
      </c>
      <c r="AV2" s="193">
        <f>IF(IFERROR(G31*1,"bad")="bad",0,1)</f>
        <v>1</v>
      </c>
      <c r="AW2" s="193">
        <f>IF(IFERROR(IF(G31=TRUNC(G31),1,"bad"),"bad")="bad",0,1)</f>
        <v>1</v>
      </c>
      <c r="AX2" s="193">
        <f>IF(AND(IF(IFERROR(G31*1,"bad")="bad",0,1)=1,G31&gt;=0),1,0)</f>
        <v>1</v>
      </c>
      <c r="AY2" s="193">
        <f>IF(AND(IF(IFERROR(IF(G31=TRUNC(G31),1,"bad"),"bad")="bad",0,1)=1,G31&gt;=0),1,0)</f>
        <v>1</v>
      </c>
      <c r="AZ2" s="193">
        <f>IF(AND(IF(IFERROR(G31*1,"bad")="bad",0,1)=1,G31&gt;0),1,0)</f>
        <v>1</v>
      </c>
      <c r="BA2" s="193">
        <f>IF(AND(IF(IFERROR(IF(G31=TRUNC(G31),1,"bad"),"bad")="bad",0,1)=1,G31&gt;0),1,0)</f>
        <v>1</v>
      </c>
      <c r="BB2" s="193">
        <v>1</v>
      </c>
      <c r="BC2" s="193">
        <f>IF(IFERROR(HLOOKUP(G31,$CG$30:$CQ$30,1,0),"bad")="bad",0,1)</f>
        <v>1</v>
      </c>
    </row>
    <row r="3" spans="2:101" ht="38.25" thickBot="1" x14ac:dyDescent="0.3">
      <c r="F3" s="213"/>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O3" s="199" t="str">
        <f>'פרמטרים לקריטריונים'!$B$5</f>
        <v>תקציב התמיכה</v>
      </c>
      <c r="AP3" s="2">
        <f>'פרמטרים לקריטריונים'!$C$5</f>
        <v>3076367</v>
      </c>
      <c r="AT3" s="193" t="s">
        <v>126</v>
      </c>
      <c r="AU3" s="193">
        <v>1</v>
      </c>
      <c r="AV3" s="193">
        <v>2</v>
      </c>
      <c r="AW3" s="193">
        <v>3</v>
      </c>
      <c r="AX3" s="193">
        <v>4</v>
      </c>
      <c r="AY3" s="193">
        <v>5</v>
      </c>
      <c r="AZ3" s="193">
        <v>6</v>
      </c>
      <c r="BA3" s="193">
        <v>7</v>
      </c>
      <c r="BB3" s="193">
        <v>8</v>
      </c>
      <c r="BC3" s="193">
        <v>9</v>
      </c>
    </row>
    <row r="4" spans="2:101" ht="46.5" hidden="1" customHeight="1" thickBot="1" x14ac:dyDescent="0.3">
      <c r="F4" s="215" t="s">
        <v>127</v>
      </c>
      <c r="G4" s="216">
        <v>1</v>
      </c>
      <c r="H4" s="216">
        <v>1</v>
      </c>
      <c r="I4" s="216">
        <v>1</v>
      </c>
      <c r="J4" s="216">
        <v>1</v>
      </c>
      <c r="K4" s="216">
        <v>1</v>
      </c>
      <c r="L4" s="216">
        <v>1</v>
      </c>
      <c r="M4" s="216">
        <v>1</v>
      </c>
      <c r="N4" s="216">
        <v>1</v>
      </c>
      <c r="O4" s="216">
        <v>0</v>
      </c>
      <c r="P4" s="216">
        <v>0</v>
      </c>
      <c r="Q4" s="216">
        <v>1</v>
      </c>
      <c r="R4" s="216">
        <v>1</v>
      </c>
      <c r="S4" s="216">
        <v>1</v>
      </c>
      <c r="T4" s="216">
        <v>1</v>
      </c>
      <c r="U4" s="216">
        <v>1</v>
      </c>
      <c r="V4" s="216"/>
      <c r="W4" s="216"/>
      <c r="X4" s="216">
        <v>99</v>
      </c>
      <c r="Y4" s="216">
        <v>99</v>
      </c>
      <c r="Z4" s="216">
        <v>0</v>
      </c>
      <c r="AA4" s="216">
        <v>0</v>
      </c>
      <c r="AB4" s="216">
        <v>0</v>
      </c>
      <c r="AC4" s="216">
        <v>0</v>
      </c>
      <c r="AD4" s="216">
        <v>0</v>
      </c>
      <c r="AE4" s="216">
        <v>1</v>
      </c>
      <c r="AF4" s="216"/>
      <c r="AG4" s="216">
        <v>1</v>
      </c>
      <c r="AH4" s="216">
        <v>1</v>
      </c>
      <c r="AI4" s="216">
        <v>1</v>
      </c>
      <c r="AJ4" s="216"/>
      <c r="AK4" s="217">
        <v>99</v>
      </c>
      <c r="AT4" s="193" t="s">
        <v>128</v>
      </c>
      <c r="AU4" s="210">
        <v>1</v>
      </c>
      <c r="AV4" s="211">
        <v>2</v>
      </c>
      <c r="AW4" s="211">
        <v>3</v>
      </c>
      <c r="AX4" s="211">
        <v>4</v>
      </c>
      <c r="AY4" s="211">
        <v>5</v>
      </c>
      <c r="AZ4" s="211">
        <v>6</v>
      </c>
      <c r="BA4" s="211">
        <v>7</v>
      </c>
      <c r="BB4" s="211">
        <v>8</v>
      </c>
      <c r="BC4" s="211">
        <v>9</v>
      </c>
      <c r="BD4" s="212">
        <v>10</v>
      </c>
      <c r="CS4" s="193" t="s">
        <v>111</v>
      </c>
      <c r="CT4" s="317">
        <f>INDEX('הוראת שעה'!$E$6:$E$20,MATCH($AP$2,'הוראת שעה'!$A$6:$A$20,1))</f>
        <v>0.8</v>
      </c>
    </row>
    <row r="5" spans="2:101" ht="16.5" hidden="1" thickBot="1" x14ac:dyDescent="0.3">
      <c r="F5" s="218" t="s">
        <v>129</v>
      </c>
      <c r="G5" s="219">
        <v>1</v>
      </c>
      <c r="H5" s="219">
        <v>1</v>
      </c>
      <c r="I5" s="219">
        <v>1</v>
      </c>
      <c r="J5" s="219">
        <v>1</v>
      </c>
      <c r="K5" s="219">
        <v>1</v>
      </c>
      <c r="L5" s="219">
        <v>1</v>
      </c>
      <c r="M5" s="219">
        <v>1</v>
      </c>
      <c r="N5" s="219">
        <v>1</v>
      </c>
      <c r="O5" s="219"/>
      <c r="P5" s="219">
        <v>3</v>
      </c>
      <c r="Q5" s="219">
        <v>1</v>
      </c>
      <c r="R5" s="219">
        <v>1</v>
      </c>
      <c r="S5" s="219">
        <v>1</v>
      </c>
      <c r="T5" s="219">
        <v>1</v>
      </c>
      <c r="U5" s="219">
        <v>1</v>
      </c>
      <c r="V5" s="219"/>
      <c r="W5" s="219"/>
      <c r="X5" s="219"/>
      <c r="Y5" s="219"/>
      <c r="Z5" s="219">
        <v>8</v>
      </c>
      <c r="AA5" s="219">
        <f>'פרמטרים לקריטריונים'!$C$18</f>
        <v>54388.500000014894</v>
      </c>
      <c r="AB5" s="219"/>
      <c r="AC5" s="219"/>
      <c r="AD5" s="219"/>
      <c r="AE5" s="219">
        <v>1</v>
      </c>
      <c r="AF5" s="219"/>
      <c r="AG5" s="219">
        <v>1</v>
      </c>
      <c r="AH5" s="219">
        <v>1</v>
      </c>
      <c r="AI5" s="219">
        <v>1</v>
      </c>
      <c r="AJ5" s="219"/>
      <c r="AK5" s="220"/>
      <c r="CS5" s="324" t="s">
        <v>130</v>
      </c>
      <c r="CT5" s="323"/>
      <c r="CU5" s="323"/>
      <c r="CV5" s="323"/>
      <c r="CW5" s="323"/>
    </row>
    <row r="6" spans="2:101" ht="16.5" hidden="1" thickBot="1" x14ac:dyDescent="0.3">
      <c r="CS6" s="324" t="s">
        <v>131</v>
      </c>
      <c r="CT6" s="323"/>
      <c r="CU6" s="323"/>
      <c r="CV6" s="323"/>
      <c r="CW6" s="323"/>
    </row>
    <row r="7" spans="2:101" ht="16.5" hidden="1" thickBot="1" x14ac:dyDescent="0.3">
      <c r="F7" s="213"/>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4"/>
      <c r="AK7" s="214"/>
      <c r="CS7" s="324">
        <f>ROUNDUP(Z5*$CT$4,0)</f>
        <v>7</v>
      </c>
      <c r="CT7" s="324">
        <f>ROUNDUP(AA5*$CT$4,2)</f>
        <v>43510.810000000005</v>
      </c>
      <c r="CU7" s="324"/>
      <c r="CV7" s="324"/>
      <c r="CW7" s="324"/>
    </row>
    <row r="8" spans="2:101" ht="16.5" hidden="1" thickBot="1" x14ac:dyDescent="0.3">
      <c r="CS8" s="323"/>
      <c r="CT8" s="323"/>
      <c r="CU8" s="323"/>
      <c r="CV8" s="323"/>
      <c r="CW8" s="323"/>
    </row>
    <row r="9" spans="2:101" ht="16.5" hidden="1" thickBot="1" x14ac:dyDescent="0.3">
      <c r="CS9" s="323"/>
      <c r="CT9" s="323"/>
      <c r="CU9" s="323"/>
      <c r="CV9" s="323"/>
      <c r="CW9" s="323"/>
    </row>
    <row r="10" spans="2:101" ht="16.5" hidden="1" thickBot="1" x14ac:dyDescent="0.3">
      <c r="CS10" s="323"/>
      <c r="CT10" s="323"/>
      <c r="CU10" s="323"/>
      <c r="CV10" s="323"/>
      <c r="CW10" s="323"/>
    </row>
    <row r="11" spans="2:101" ht="16.5" hidden="1" thickBot="1" x14ac:dyDescent="0.3">
      <c r="CS11" s="323"/>
      <c r="CT11" s="323"/>
      <c r="CU11" s="323"/>
      <c r="CV11" s="323"/>
      <c r="CW11" s="323"/>
    </row>
    <row r="12" spans="2:101" ht="16.5" hidden="1" thickBot="1" x14ac:dyDescent="0.3">
      <c r="CS12" s="323"/>
      <c r="CT12" s="323"/>
      <c r="CU12" s="323"/>
      <c r="CV12" s="323"/>
      <c r="CW12" s="323"/>
    </row>
    <row r="13" spans="2:101" ht="16.5" hidden="1" thickBot="1" x14ac:dyDescent="0.3">
      <c r="CS13" s="323"/>
      <c r="CT13" s="323"/>
      <c r="CU13" s="323"/>
      <c r="CV13" s="323"/>
      <c r="CW13" s="323"/>
    </row>
    <row r="14" spans="2:101" ht="16.5" hidden="1" thickBot="1" x14ac:dyDescent="0.3">
      <c r="CS14" s="323"/>
      <c r="CT14" s="323"/>
      <c r="CU14" s="323"/>
      <c r="CV14" s="323"/>
      <c r="CW14" s="323"/>
    </row>
    <row r="15" spans="2:101" ht="16.5" hidden="1" thickBot="1" x14ac:dyDescent="0.3">
      <c r="CS15" s="323"/>
      <c r="CT15" s="323"/>
      <c r="CU15" s="323"/>
      <c r="CV15" s="323"/>
      <c r="CW15" s="323"/>
    </row>
    <row r="16" spans="2:101" ht="16.5" hidden="1" thickBot="1" x14ac:dyDescent="0.3">
      <c r="CS16" s="323"/>
      <c r="CT16" s="323"/>
      <c r="CU16" s="323"/>
      <c r="CV16" s="323"/>
      <c r="CW16" s="323"/>
    </row>
    <row r="17" spans="1:102" ht="16.5" hidden="1" thickBot="1" x14ac:dyDescent="0.3">
      <c r="CS17" s="323"/>
      <c r="CT17" s="323"/>
      <c r="CU17" s="323"/>
      <c r="CV17" s="323"/>
      <c r="CW17" s="323"/>
      <c r="CX17" s="323"/>
    </row>
    <row r="18" spans="1:102" ht="16.5" hidden="1" thickBot="1" x14ac:dyDescent="0.3">
      <c r="CS18" s="323"/>
      <c r="CT18" s="323"/>
      <c r="CU18" s="323"/>
      <c r="CV18" s="323"/>
      <c r="CW18" s="323"/>
      <c r="CX18" s="323"/>
    </row>
    <row r="19" spans="1:102" ht="16.5" hidden="1" thickBot="1" x14ac:dyDescent="0.3">
      <c r="CS19" s="323"/>
      <c r="CT19" s="323"/>
      <c r="CU19" s="323"/>
      <c r="CV19" s="323"/>
      <c r="CW19" s="323"/>
      <c r="CX19" s="323"/>
    </row>
    <row r="20" spans="1:102" ht="16.5" hidden="1" thickBot="1" x14ac:dyDescent="0.3">
      <c r="CS20" s="323"/>
      <c r="CT20" s="323"/>
      <c r="CU20" s="323"/>
      <c r="CV20" s="323"/>
      <c r="CW20" s="323"/>
      <c r="CX20" s="323"/>
    </row>
    <row r="21" spans="1:102" ht="16.5" hidden="1" thickBot="1" x14ac:dyDescent="0.3">
      <c r="CS21" s="323"/>
      <c r="CT21" s="323"/>
      <c r="CU21" s="323"/>
      <c r="CV21" s="323"/>
      <c r="CW21" s="323"/>
      <c r="CX21" s="323"/>
    </row>
    <row r="22" spans="1:102" ht="16.5" hidden="1" thickBot="1" x14ac:dyDescent="0.3">
      <c r="CS22" s="323"/>
      <c r="CT22" s="323"/>
      <c r="CU22" s="323"/>
      <c r="CV22" s="323"/>
      <c r="CW22" s="323"/>
      <c r="CX22" s="323"/>
    </row>
    <row r="23" spans="1:102" ht="16.5" hidden="1" thickBot="1" x14ac:dyDescent="0.3">
      <c r="CS23" s="323"/>
      <c r="CT23" s="323"/>
      <c r="CU23" s="323"/>
      <c r="CV23" s="323"/>
      <c r="CW23" s="323"/>
      <c r="CX23" s="323"/>
    </row>
    <row r="24" spans="1:102" ht="16.5" hidden="1" thickBot="1" x14ac:dyDescent="0.3">
      <c r="B24" s="214"/>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CS24" s="323"/>
      <c r="CT24" s="323"/>
      <c r="CU24" s="323"/>
      <c r="CV24" s="323"/>
      <c r="CW24" s="323"/>
      <c r="CX24" s="323"/>
    </row>
    <row r="25" spans="1:102" ht="16.5" hidden="1" thickBot="1" x14ac:dyDescent="0.3">
      <c r="CS25" s="323"/>
      <c r="CT25" s="323"/>
      <c r="CU25" s="323"/>
      <c r="CV25" s="323"/>
      <c r="CW25" s="323"/>
      <c r="CX25" s="323"/>
    </row>
    <row r="26" spans="1:102" ht="16.5" hidden="1" thickBot="1" x14ac:dyDescent="0.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CS26" s="323"/>
      <c r="CT26" s="323"/>
      <c r="CU26" s="323"/>
      <c r="CV26" s="323"/>
      <c r="CW26" s="323"/>
      <c r="CX26" s="323"/>
    </row>
    <row r="27" spans="1:102" ht="16.5" hidden="1" thickBot="1" x14ac:dyDescent="0.3">
      <c r="B27" s="214"/>
      <c r="C27" s="214"/>
      <c r="D27" s="214"/>
      <c r="E27" s="214"/>
      <c r="F27" s="214"/>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CS27" s="323"/>
      <c r="CT27" s="323"/>
      <c r="CU27" s="323"/>
      <c r="CV27" s="323"/>
      <c r="CW27" s="323"/>
      <c r="CX27" s="323"/>
    </row>
    <row r="28" spans="1:102" ht="16.5" hidden="1"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Q28" s="3">
        <f>IF(SUM(AQ31:AQ130)=COUNT(AQ31:AQ130),1,0)</f>
        <v>0</v>
      </c>
      <c r="AT28" s="192">
        <f t="shared" ref="AT28:CB28" si="0">MATCH(G$30,$AU$1:$BC$1,0)</f>
        <v>1</v>
      </c>
      <c r="AU28" s="192">
        <f t="shared" si="0"/>
        <v>1</v>
      </c>
      <c r="AV28" s="192">
        <f t="shared" si="0"/>
        <v>1</v>
      </c>
      <c r="AW28" s="192">
        <f t="shared" si="0"/>
        <v>1</v>
      </c>
      <c r="AX28" s="192">
        <f t="shared" si="0"/>
        <v>1</v>
      </c>
      <c r="AY28" s="192">
        <f t="shared" si="0"/>
        <v>1</v>
      </c>
      <c r="AZ28" s="192">
        <f t="shared" si="0"/>
        <v>1</v>
      </c>
      <c r="BA28" s="192">
        <f t="shared" si="0"/>
        <v>1</v>
      </c>
      <c r="BB28" s="192">
        <f t="shared" si="0"/>
        <v>5</v>
      </c>
      <c r="BC28" s="192">
        <f t="shared" si="0"/>
        <v>5</v>
      </c>
      <c r="BD28" s="192" t="e">
        <f t="shared" si="0"/>
        <v>#N/A</v>
      </c>
      <c r="BE28" s="192">
        <f t="shared" si="0"/>
        <v>1</v>
      </c>
      <c r="BF28" s="192">
        <f t="shared" si="0"/>
        <v>1</v>
      </c>
      <c r="BG28" s="192">
        <f t="shared" si="0"/>
        <v>1</v>
      </c>
      <c r="BH28" s="192">
        <f t="shared" si="0"/>
        <v>1</v>
      </c>
      <c r="BI28" s="192" t="e">
        <f t="shared" si="0"/>
        <v>#N/A</v>
      </c>
      <c r="BJ28" s="192" t="e">
        <f t="shared" si="0"/>
        <v>#N/A</v>
      </c>
      <c r="BK28" s="192">
        <f t="shared" si="0"/>
        <v>1</v>
      </c>
      <c r="BL28" s="192">
        <f t="shared" si="0"/>
        <v>1</v>
      </c>
      <c r="BM28" s="192">
        <f t="shared" si="0"/>
        <v>5</v>
      </c>
      <c r="BN28" s="192">
        <f t="shared" si="0"/>
        <v>4</v>
      </c>
      <c r="BO28" s="192" t="e">
        <f t="shared" si="0"/>
        <v>#N/A</v>
      </c>
      <c r="BP28" s="192" t="e">
        <f t="shared" si="0"/>
        <v>#N/A</v>
      </c>
      <c r="BQ28" s="192" t="e">
        <f t="shared" si="0"/>
        <v>#N/A</v>
      </c>
      <c r="BR28" s="192" t="e">
        <f t="shared" si="0"/>
        <v>#N/A</v>
      </c>
      <c r="BS28" s="192" t="e">
        <f t="shared" si="0"/>
        <v>#N/A</v>
      </c>
      <c r="BT28" s="192">
        <f t="shared" si="0"/>
        <v>1</v>
      </c>
      <c r="BU28" s="192">
        <f t="shared" si="0"/>
        <v>1</v>
      </c>
      <c r="BV28" s="192">
        <f t="shared" si="0"/>
        <v>1</v>
      </c>
      <c r="BW28" s="192" t="e">
        <f t="shared" si="0"/>
        <v>#N/A</v>
      </c>
      <c r="BX28" s="192" t="e">
        <f t="shared" si="0"/>
        <v>#N/A</v>
      </c>
      <c r="BY28" s="192" t="e">
        <f t="shared" si="0"/>
        <v>#N/A</v>
      </c>
      <c r="BZ28" s="192" t="e">
        <f t="shared" si="0"/>
        <v>#N/A</v>
      </c>
      <c r="CA28" s="192" t="e">
        <f t="shared" si="0"/>
        <v>#N/A</v>
      </c>
      <c r="CB28" s="192" t="e">
        <f t="shared" si="0"/>
        <v>#N/A</v>
      </c>
      <c r="CS28" s="323"/>
      <c r="CT28" s="323"/>
      <c r="CU28" s="323"/>
      <c r="CV28" s="323"/>
      <c r="CW28" s="323"/>
      <c r="CX28" s="323"/>
    </row>
    <row r="29" spans="1:102" ht="141" customHeight="1" x14ac:dyDescent="0.25">
      <c r="A29" s="221">
        <v>100</v>
      </c>
      <c r="B29" s="544" t="s">
        <v>132</v>
      </c>
      <c r="C29" s="546">
        <f>COLUMN()</f>
        <v>3</v>
      </c>
      <c r="D29" s="546">
        <f>COLUMN()</f>
        <v>4</v>
      </c>
      <c r="E29" s="546">
        <f>COLUMN()</f>
        <v>5</v>
      </c>
      <c r="F29" s="542" t="s">
        <v>133</v>
      </c>
      <c r="G29" s="222" t="str">
        <f>INDEX('הוראת שעה'!$B$6:$B$20,MATCH($AP$2,'הוראת שעה'!$A$6:$A$20,1))</f>
        <v>מקיים פעילות מוסקלית מקצועית במשך שנתיים</v>
      </c>
      <c r="H29" s="222" t="s">
        <v>134</v>
      </c>
      <c r="I29" s="222" t="s">
        <v>135</v>
      </c>
      <c r="J29" s="222" t="s">
        <v>136</v>
      </c>
      <c r="K29" s="222" t="s">
        <v>137</v>
      </c>
      <c r="L29" s="222" t="s">
        <v>138</v>
      </c>
      <c r="M29" s="222" t="s">
        <v>139</v>
      </c>
      <c r="N29" s="222" t="s">
        <v>140</v>
      </c>
      <c r="O29" s="222" t="s">
        <v>141</v>
      </c>
      <c r="P29" s="222" t="s">
        <v>142</v>
      </c>
      <c r="Q29" s="542" t="s">
        <v>143</v>
      </c>
      <c r="R29" s="222" t="s">
        <v>144</v>
      </c>
      <c r="S29" s="222" t="s">
        <v>145</v>
      </c>
      <c r="T29" s="222" t="s">
        <v>146</v>
      </c>
      <c r="U29" s="222" t="s">
        <v>147</v>
      </c>
      <c r="V29" s="222"/>
      <c r="W29" s="222"/>
      <c r="X29" s="222" t="s">
        <v>428</v>
      </c>
      <c r="Y29" s="222" t="s">
        <v>436</v>
      </c>
      <c r="Z29" s="222" t="s">
        <v>148</v>
      </c>
      <c r="AA29" s="510" t="s">
        <v>1095</v>
      </c>
      <c r="AB29" s="542" t="s">
        <v>427</v>
      </c>
      <c r="AC29" s="542" t="s">
        <v>426</v>
      </c>
      <c r="AD29" s="542" t="str">
        <f>"האם עובר לפי הקלת מוסד שנתמך פעם ראשונה? (תקציב לפחות "&amp;'פרמטרים לקריטריונים'!$C$19&amp;" ₪ ולפחות "&amp;'פרמטרים לקריטריונים'!$D$19&amp;" הרצות)"</f>
        <v>האם עובר לפי הקלת מוסד שנתמך פעם ראשונה? (תקציב לפחות 38071.9500000104 ₪ ולפחות 5 הרצות)</v>
      </c>
      <c r="AE29" s="542" t="s">
        <v>152</v>
      </c>
      <c r="AF29" s="222"/>
      <c r="AG29" s="222" t="s">
        <v>153</v>
      </c>
      <c r="AH29" s="222" t="s">
        <v>429</v>
      </c>
      <c r="AI29" s="222" t="s">
        <v>154</v>
      </c>
      <c r="AJ29" s="546"/>
      <c r="AK29" s="319" t="s">
        <v>155</v>
      </c>
      <c r="AL29" s="548" t="s">
        <v>156</v>
      </c>
      <c r="AM29" s="546" t="s">
        <v>156</v>
      </c>
      <c r="AN29" s="546" t="s">
        <v>156</v>
      </c>
      <c r="AO29" s="542" t="s">
        <v>157</v>
      </c>
      <c r="AP29" s="223" t="s">
        <v>158</v>
      </c>
      <c r="AQ29" s="224" t="s">
        <v>159</v>
      </c>
      <c r="AT29" s="192" t="str">
        <f t="shared" ref="AT29:CB29" si="1">"בקרת "&amp;G29</f>
        <v>בקרת מקיים פעילות מוסקלית מקצועית במשך שנתיים</v>
      </c>
      <c r="AU29" s="192" t="str">
        <f t="shared" si="1"/>
        <v>בקרת התקציב מנוהל כמשק סגור ובאופן ישיר</v>
      </c>
      <c r="AV29" s="192" t="str">
        <f t="shared" si="1"/>
        <v>בקרת מטרות המוסד עולים בקנה אחד עם מטרות התמיכה</v>
      </c>
      <c r="AW29" s="192" t="str">
        <f t="shared" si="1"/>
        <v>בקרת עומד בדרישות הנוהל</v>
      </c>
      <c r="AX29" s="192" t="str">
        <f t="shared" si="1"/>
        <v>בקרת המוסד מציין בפרסומיו את תמיכת המשרד</v>
      </c>
      <c r="AY29" s="192" t="str">
        <f t="shared" si="1"/>
        <v>בקרת המוסד פועל שנתיים כקבוצה מוסקלית</v>
      </c>
      <c r="AZ29" s="192" t="str">
        <f t="shared" si="1"/>
        <v>בקרת גוף ביצוע בתחום המוסיקלי הכלית או רב תחומי כולל מוסיקה</v>
      </c>
      <c r="BA29" s="192" t="str">
        <f t="shared" si="1"/>
        <v>בקרת אינו מקבל תמיכה במסגרת מבחן גופים כליים</v>
      </c>
      <c r="BB29" s="192" t="str">
        <f t="shared" si="1"/>
        <v>בקרת סך מספר המבצעים בקבוצה</v>
      </c>
      <c r="BC29" s="192" t="str">
        <f t="shared" si="1"/>
        <v>בקרת מבצעים בקבוצה מתחום המוסיקה הכלית</v>
      </c>
      <c r="BD29" s="192" t="str">
        <f t="shared" si="1"/>
        <v>בקרת עומד בקריטריון מבצעים</v>
      </c>
      <c r="BE29" s="192" t="str">
        <f t="shared" si="1"/>
        <v>בקרת כל מבצע סיים הכשרה בתחומי המוסיקה במוסד מוכר או עבד כמוסיקאי במשך שנה לפחות</v>
      </c>
      <c r="BF29" s="192" t="str">
        <f t="shared" si="1"/>
        <v>בקרת בראש הקבוצה עומד מנהל מוסקלי העומד בדרישות</v>
      </c>
      <c r="BG29" s="192" t="str">
        <f t="shared" si="1"/>
        <v>בקרת פועל ברמה אמנותית נאותה</v>
      </c>
      <c r="BH29" s="192" t="str">
        <f t="shared" si="1"/>
        <v>בקרת מעלה הפקה מוסיקלית חדשה אחת לפחות בשנה</v>
      </c>
      <c r="BI29" s="192" t="str">
        <f t="shared" si="1"/>
        <v xml:space="preserve">בקרת </v>
      </c>
      <c r="BJ29" s="192" t="str">
        <f t="shared" si="1"/>
        <v xml:space="preserve">בקרת </v>
      </c>
      <c r="BK29" s="192" t="str">
        <f t="shared" si="1"/>
        <v>בקרת הוועדה המליצה מתן הקלות למוסד לפי סעיף 9ב' והמוסד אינו קיבל הקלות אלו בשנה קודמת</v>
      </c>
      <c r="BL29" s="192" t="str">
        <f t="shared" si="1"/>
        <v>בקרת מוסד חדש</v>
      </c>
      <c r="BM29" s="192" t="str">
        <f t="shared" si="1"/>
        <v>בקרת מספר הרצות בישראל</v>
      </c>
      <c r="BN29" s="192" t="str">
        <f t="shared" si="1"/>
        <v>בקרת התקציב השנתי של הקבוצה בשנת התקציב המבוקר</v>
      </c>
      <c r="BO29" s="192" t="str">
        <f t="shared" si="1"/>
        <v>בקרת האם עובר לפי הקלה 80% ממספר ההרצות?</v>
      </c>
      <c r="BP29" s="192" t="str">
        <f t="shared" si="1"/>
        <v>בקרת האם עובר לפי הקלה 80% מהתקציב השנתי?</v>
      </c>
      <c r="BQ29" s="192" t="str">
        <f t="shared" si="1"/>
        <v>בקרת האם עובר לפי הקלת מוסד שנתמך פעם ראשונה? (תקציב לפחות 38071.9500000104 ₪ ולפחות 5 הרצות)</v>
      </c>
      <c r="BR29" s="192" t="str">
        <f t="shared" si="1"/>
        <v>בקרת עומד בתנאים לאור הקלות</v>
      </c>
      <c r="BS29" s="192" t="str">
        <f t="shared" si="1"/>
        <v xml:space="preserve">בקרת </v>
      </c>
      <c r="BT29" s="192" t="str">
        <f t="shared" si="1"/>
        <v>בקרת התנאים צפוים להתקיים בשנת התמיכה על פי תכנית עבודה</v>
      </c>
      <c r="BU29" s="192" t="str">
        <f t="shared" si="1"/>
        <v>בקרת במוסד בו מועסקים עובדים ביחסי עבודה, המוסד קבע תקנון למניעת הטרדה מינית ועומד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v>
      </c>
      <c r="BV29" s="192" t="str">
        <f t="shared" si="1"/>
        <v>בקרת עומד בתנאי סף כלליים אחרים</v>
      </c>
      <c r="BW29" s="192" t="str">
        <f t="shared" si="1"/>
        <v xml:space="preserve">בקרת </v>
      </c>
      <c r="BX29" s="192" t="str">
        <f t="shared" si="1"/>
        <v>בקרת מעבר תנאי סף-אישור מיוחד</v>
      </c>
      <c r="BY29" s="192" t="str">
        <f t="shared" si="1"/>
        <v>בקרת ריק</v>
      </c>
      <c r="BZ29" s="192" t="str">
        <f t="shared" si="1"/>
        <v>בקרת ריק</v>
      </c>
      <c r="CA29" s="192" t="str">
        <f t="shared" si="1"/>
        <v>בקרת ריק</v>
      </c>
      <c r="CB29" s="192" t="str">
        <f t="shared" si="1"/>
        <v>בקרת מעבר תנאי סף</v>
      </c>
      <c r="CG29" s="193" t="s">
        <v>128</v>
      </c>
      <c r="CS29" s="326" t="s">
        <v>160</v>
      </c>
      <c r="CT29" s="326" t="s">
        <v>161</v>
      </c>
      <c r="CU29" s="326" t="s">
        <v>149</v>
      </c>
      <c r="CV29" s="326" t="s">
        <v>150</v>
      </c>
      <c r="CW29" s="326" t="s">
        <v>151</v>
      </c>
      <c r="CX29" s="324" t="s">
        <v>162</v>
      </c>
    </row>
    <row r="30" spans="1:102" ht="69" customHeight="1" thickBot="1" x14ac:dyDescent="0.3">
      <c r="A30" s="225"/>
      <c r="B30" s="545"/>
      <c r="C30" s="547"/>
      <c r="D30" s="547"/>
      <c r="E30" s="547"/>
      <c r="F30" s="543"/>
      <c r="G30" s="226" t="s">
        <v>117</v>
      </c>
      <c r="H30" s="226" t="s">
        <v>117</v>
      </c>
      <c r="I30" s="226" t="s">
        <v>117</v>
      </c>
      <c r="J30" s="226" t="s">
        <v>117</v>
      </c>
      <c r="K30" s="226" t="s">
        <v>117</v>
      </c>
      <c r="L30" s="226" t="s">
        <v>117</v>
      </c>
      <c r="M30" s="226" t="s">
        <v>117</v>
      </c>
      <c r="N30" s="226" t="s">
        <v>117</v>
      </c>
      <c r="O30" s="226" t="s">
        <v>121</v>
      </c>
      <c r="P30" s="226" t="s">
        <v>121</v>
      </c>
      <c r="Q30" s="550"/>
      <c r="R30" s="226" t="s">
        <v>117</v>
      </c>
      <c r="S30" s="226" t="s">
        <v>117</v>
      </c>
      <c r="T30" s="226" t="s">
        <v>117</v>
      </c>
      <c r="U30" s="226" t="s">
        <v>117</v>
      </c>
      <c r="V30" s="226"/>
      <c r="W30" s="226"/>
      <c r="X30" s="226" t="s">
        <v>117</v>
      </c>
      <c r="Y30" s="226" t="s">
        <v>117</v>
      </c>
      <c r="Z30" s="226" t="s">
        <v>121</v>
      </c>
      <c r="AA30" s="226" t="s">
        <v>120</v>
      </c>
      <c r="AB30" s="550"/>
      <c r="AC30" s="550"/>
      <c r="AD30" s="550"/>
      <c r="AE30" s="550"/>
      <c r="AF30" s="226"/>
      <c r="AG30" s="226" t="s">
        <v>117</v>
      </c>
      <c r="AH30" s="226" t="s">
        <v>117</v>
      </c>
      <c r="AI30" s="226" t="s">
        <v>117</v>
      </c>
      <c r="AJ30" s="547"/>
      <c r="AK30" s="227"/>
      <c r="AL30" s="549"/>
      <c r="AM30" s="547"/>
      <c r="AN30" s="547"/>
      <c r="AO30" s="543"/>
      <c r="AP30" s="228" t="s">
        <v>124</v>
      </c>
      <c r="AR30" s="193">
        <v>0</v>
      </c>
      <c r="AS30" s="193">
        <v>1</v>
      </c>
      <c r="AT30" s="192" t="str">
        <f t="shared" ref="AT30:CB30" si="2">G30</f>
        <v>0/1</v>
      </c>
      <c r="AU30" s="192" t="str">
        <f t="shared" si="2"/>
        <v>0/1</v>
      </c>
      <c r="AV30" s="192" t="str">
        <f t="shared" si="2"/>
        <v>0/1</v>
      </c>
      <c r="AW30" s="192" t="str">
        <f t="shared" si="2"/>
        <v>0/1</v>
      </c>
      <c r="AX30" s="192" t="str">
        <f t="shared" si="2"/>
        <v>0/1</v>
      </c>
      <c r="AY30" s="192" t="str">
        <f t="shared" si="2"/>
        <v>0/1</v>
      </c>
      <c r="AZ30" s="192" t="str">
        <f t="shared" si="2"/>
        <v>0/1</v>
      </c>
      <c r="BA30" s="192" t="str">
        <f t="shared" si="2"/>
        <v>0/1</v>
      </c>
      <c r="BB30" s="192" t="str">
        <f t="shared" si="2"/>
        <v>מספר שלם שאינו שלילי</v>
      </c>
      <c r="BC30" s="192" t="str">
        <f t="shared" si="2"/>
        <v>מספר שלם שאינו שלילי</v>
      </c>
      <c r="BD30" s="192">
        <f t="shared" si="2"/>
        <v>0</v>
      </c>
      <c r="BE30" s="192" t="str">
        <f t="shared" si="2"/>
        <v>0/1</v>
      </c>
      <c r="BF30" s="192" t="str">
        <f t="shared" si="2"/>
        <v>0/1</v>
      </c>
      <c r="BG30" s="192" t="str">
        <f t="shared" si="2"/>
        <v>0/1</v>
      </c>
      <c r="BH30" s="192" t="str">
        <f t="shared" si="2"/>
        <v>0/1</v>
      </c>
      <c r="BI30" s="192">
        <f t="shared" si="2"/>
        <v>0</v>
      </c>
      <c r="BJ30" s="192">
        <f t="shared" si="2"/>
        <v>0</v>
      </c>
      <c r="BK30" s="192" t="str">
        <f t="shared" si="2"/>
        <v>0/1</v>
      </c>
      <c r="BL30" s="192" t="str">
        <f t="shared" si="2"/>
        <v>0/1</v>
      </c>
      <c r="BM30" s="192" t="str">
        <f t="shared" si="2"/>
        <v>מספר שלם שאינו שלילי</v>
      </c>
      <c r="BN30" s="192" t="str">
        <f t="shared" si="2"/>
        <v>מספר שאינו שלילי</v>
      </c>
      <c r="BO30" s="192">
        <f t="shared" si="2"/>
        <v>0</v>
      </c>
      <c r="BP30" s="192">
        <f t="shared" si="2"/>
        <v>0</v>
      </c>
      <c r="BQ30" s="192">
        <f t="shared" si="2"/>
        <v>0</v>
      </c>
      <c r="BR30" s="192">
        <f t="shared" si="2"/>
        <v>0</v>
      </c>
      <c r="BS30" s="192">
        <f t="shared" si="2"/>
        <v>0</v>
      </c>
      <c r="BT30" s="192" t="str">
        <f t="shared" si="2"/>
        <v>0/1</v>
      </c>
      <c r="BU30" s="192" t="str">
        <f t="shared" si="2"/>
        <v>0/1</v>
      </c>
      <c r="BV30" s="192" t="str">
        <f t="shared" si="2"/>
        <v>0/1</v>
      </c>
      <c r="BW30" s="192">
        <f t="shared" si="2"/>
        <v>0</v>
      </c>
      <c r="BX30" s="192">
        <f t="shared" si="2"/>
        <v>0</v>
      </c>
      <c r="BY30" s="192">
        <f t="shared" si="2"/>
        <v>0</v>
      </c>
      <c r="BZ30" s="192">
        <f t="shared" si="2"/>
        <v>0</v>
      </c>
      <c r="CA30" s="192">
        <f t="shared" si="2"/>
        <v>0</v>
      </c>
      <c r="CB30" s="192">
        <f t="shared" si="2"/>
        <v>0</v>
      </c>
      <c r="CG30" s="193">
        <f t="shared" ref="CG30:CP30" si="3">AU4</f>
        <v>1</v>
      </c>
      <c r="CH30" s="193">
        <f t="shared" si="3"/>
        <v>2</v>
      </c>
      <c r="CI30" s="193">
        <f t="shared" si="3"/>
        <v>3</v>
      </c>
      <c r="CJ30" s="193">
        <f t="shared" si="3"/>
        <v>4</v>
      </c>
      <c r="CK30" s="193">
        <f t="shared" si="3"/>
        <v>5</v>
      </c>
      <c r="CL30" s="193">
        <f t="shared" si="3"/>
        <v>6</v>
      </c>
      <c r="CM30" s="193">
        <f t="shared" si="3"/>
        <v>7</v>
      </c>
      <c r="CN30" s="193">
        <f t="shared" si="3"/>
        <v>8</v>
      </c>
      <c r="CO30" s="193">
        <f t="shared" si="3"/>
        <v>9</v>
      </c>
      <c r="CP30" s="193">
        <f t="shared" si="3"/>
        <v>10</v>
      </c>
      <c r="CS30" s="323"/>
      <c r="CT30" s="323"/>
      <c r="CU30" s="323"/>
      <c r="CV30" s="323"/>
      <c r="CW30" s="323"/>
      <c r="CX30" s="323"/>
    </row>
    <row r="31" spans="1:102" ht="36.75" customHeight="1" x14ac:dyDescent="0.25">
      <c r="B31" s="7">
        <f>IF(F31="","",ROW()-30)</f>
        <v>1</v>
      </c>
      <c r="C31" s="7"/>
      <c r="D31" s="7"/>
      <c r="E31" s="7"/>
      <c r="F31" s="495" t="s">
        <v>163</v>
      </c>
      <c r="G31" s="6">
        <v>1</v>
      </c>
      <c r="H31" s="6">
        <v>1</v>
      </c>
      <c r="I31" s="6">
        <v>1</v>
      </c>
      <c r="J31" s="6">
        <v>1</v>
      </c>
      <c r="K31" s="6">
        <v>1</v>
      </c>
      <c r="L31" s="6">
        <v>1</v>
      </c>
      <c r="M31" s="6">
        <v>1</v>
      </c>
      <c r="N31" s="6">
        <v>1</v>
      </c>
      <c r="O31" s="6">
        <v>13</v>
      </c>
      <c r="P31" s="6">
        <v>11</v>
      </c>
      <c r="Q31" s="7">
        <f>IF($F31="","",IF(O31&lt;P31,$AR$1,IF(AND(P31&gt;O31*0.5,P31&gt;=$P$5),1,0)))</f>
        <v>1</v>
      </c>
      <c r="R31" s="6">
        <v>1</v>
      </c>
      <c r="S31" s="6">
        <v>1</v>
      </c>
      <c r="T31" s="6">
        <v>1</v>
      </c>
      <c r="U31" s="6">
        <v>1</v>
      </c>
      <c r="V31" s="6"/>
      <c r="W31" s="6"/>
      <c r="X31" s="6"/>
      <c r="Y31" s="6"/>
      <c r="Z31" s="450">
        <v>16</v>
      </c>
      <c r="AA31" s="6">
        <v>159879</v>
      </c>
      <c r="AB31" s="7">
        <f>IF(F31="","",IF(Z31&gt;=$Z$5*0.8,1,0))</f>
        <v>1</v>
      </c>
      <c r="AC31" s="7">
        <f>IF(F31="","",IF(AA31&gt;=$AA$5*0.8,1,0))</f>
        <v>1</v>
      </c>
      <c r="AD31" s="7">
        <f>IF(G31="","",IF(AND(Z31&gt;='פרמטרים לקריטריונים'!$D$19,AA31&gt;='פרמטרים לקריטריונים'!$C$19),1,0))</f>
        <v>1</v>
      </c>
      <c r="AE31" s="7" cm="1">
        <f t="array" ref="AE31">IF($F31="","",IF(OR(SUMPRODUCT(--(Z31:AA31&gt;=$Z$5:$AA$5))=COUNTA($Z$29:$AA$29),OR(AND(X31=1,OR(AB31=1,AC31=1)),AND(Y31=1,AD31=1))),1,0))</f>
        <v>1</v>
      </c>
      <c r="AF31" s="7" cm="1">
        <f t="array" ref="AF31">IF($F31="","",IF(OR(SUMPRODUCT(--(AA31:AB31&gt;=$Z$5:$AA$5))=COUNTA($Z$29:$AA$29),AND(Y31=1,Z31=1,OR(AC31=1,AD31=1,AE31=1))),1,0))</f>
        <v>0</v>
      </c>
      <c r="AG31" s="6">
        <v>1</v>
      </c>
      <c r="AH31" s="6">
        <v>1</v>
      </c>
      <c r="AI31" s="6">
        <v>1</v>
      </c>
      <c r="AJ31" s="7">
        <f t="shared" ref="AJ31:AJ62" si="4">IF(F31="","",IF(G31&gt;=$G$5,1,0))</f>
        <v>1</v>
      </c>
      <c r="AK31" s="7"/>
      <c r="AL31" s="7"/>
      <c r="AM31" s="7"/>
      <c r="AN31" s="7"/>
      <c r="AO31" s="229">
        <f t="shared" ref="AO31:AO62" si="5">IF($F31="","",IF(AK31=1,1,IF(AQ31&lt;&gt;1,$AR$1,IF(SUMPRODUCT(--(G31:AJ31&gt;=$G$5:$AJ$5)*($G$5:$AJ$5&lt;&gt;"")*($G$4:$AJ$4=1))=COUNTIF($G$4:$AJ$4,1),1,0))))</f>
        <v>1</v>
      </c>
      <c r="AP31" s="445" t="s">
        <v>164</v>
      </c>
      <c r="AQ31" s="193">
        <f t="shared" ref="AQ31:AQ62" si="6">IF(OR(SUM(AT31:CB31)&lt;&gt;COUNT(AT31:CB31),SUMPRODUCT(--(G31:AJ31=$AR$1))&lt;&gt;0),0,1)</f>
        <v>1</v>
      </c>
      <c r="AR31" s="193">
        <f>IF($F31="","",AR$30)</f>
        <v>0</v>
      </c>
      <c r="AS31" s="193">
        <f>IF($F31="","",AS$30)</f>
        <v>1</v>
      </c>
      <c r="AT31" s="192">
        <f>IF(OR(G$30="",G$4=99),1,IF(G31="",0,IFERROR(CHOOSE(AT$28,IF(ISNA(MATCH(G31,$AR$30:$AS$30,0)),0,1),IF(ISNUMBER(G31),1,0),IF(G31=TRUNC(G31),1,0),IF(AND(G31*1=G31,G31&gt;=0),1,0),IF(AND(G31=TRUNC(G31),G31&gt;=0),1,0),IF(AND(G31*1=G31,G31&gt;0),1,0),IF(AND(G31=TRUNC(G31),G31&gt;0),1,0),1,IF(ISNA(HLOOKUP(G31,$AU$4:$BD$4,1,0)),0,1)),0)))</f>
        <v>1</v>
      </c>
      <c r="AU31" s="192">
        <f t="shared" ref="AU31:AU94" si="7">IF(OR(H$30="",H$4=99),1,IF(H31="",0,IFERROR(CHOOSE(AU$28,IF(ISNA(MATCH(H31,$AR$30:$AS$30,0)),0,1),IF(ISNUMBER(H31),1,0),IF(H31=TRUNC(H31),1,0),IF(AND(H31*1=H31,H31&gt;=0),1,0),IF(AND(H31=TRUNC(H31),H31&gt;=0),1,0),IF(AND(H31*1=H31,H31&gt;0),1,0),IF(AND(H31=TRUNC(H31),H31&gt;0),1,0),1,IF(ISNA(HLOOKUP(H31,$AU$4:$BD$4,1,0)),0,1)),0)))</f>
        <v>1</v>
      </c>
      <c r="AV31" s="192">
        <f t="shared" ref="AV31:AV94" si="8">IF(OR(I$30="",I$4=99),1,IF(I31="",0,IFERROR(CHOOSE(AV$28,IF(ISNA(MATCH(I31,$AR$30:$AS$30,0)),0,1),IF(ISNUMBER(I31),1,0),IF(I31=TRUNC(I31),1,0),IF(AND(I31*1=I31,I31&gt;=0),1,0),IF(AND(I31=TRUNC(I31),I31&gt;=0),1,0),IF(AND(I31*1=I31,I31&gt;0),1,0),IF(AND(I31=TRUNC(I31),I31&gt;0),1,0),1,IF(ISNA(HLOOKUP(I31,$AU$4:$BD$4,1,0)),0,1)),0)))</f>
        <v>1</v>
      </c>
      <c r="AW31" s="192">
        <f t="shared" ref="AW31:AW94" si="9">IF(OR(J$30="",J$4=99),1,IF(J31="",0,IFERROR(CHOOSE(AW$28,IF(ISNA(MATCH(J31,$AR$30:$AS$30,0)),0,1),IF(ISNUMBER(J31),1,0),IF(J31=TRUNC(J31),1,0),IF(AND(J31*1=J31,J31&gt;=0),1,0),IF(AND(J31=TRUNC(J31),J31&gt;=0),1,0),IF(AND(J31*1=J31,J31&gt;0),1,0),IF(AND(J31=TRUNC(J31),J31&gt;0),1,0),1,IF(ISNA(HLOOKUP(J31,$AU$4:$BD$4,1,0)),0,1)),0)))</f>
        <v>1</v>
      </c>
      <c r="AX31" s="192">
        <f t="shared" ref="AX31:AX94" si="10">IF(OR(K$30="",K$4=99),1,IF(K31="",0,IFERROR(CHOOSE(AX$28,IF(ISNA(MATCH(K31,$AR$30:$AS$30,0)),0,1),IF(ISNUMBER(K31),1,0),IF(K31=TRUNC(K31),1,0),IF(AND(K31*1=K31,K31&gt;=0),1,0),IF(AND(K31=TRUNC(K31),K31&gt;=0),1,0),IF(AND(K31*1=K31,K31&gt;0),1,0),IF(AND(K31=TRUNC(K31),K31&gt;0),1,0),1,IF(ISNA(HLOOKUP(K31,$AU$4:$BD$4,1,0)),0,1)),0)))</f>
        <v>1</v>
      </c>
      <c r="AY31" s="192">
        <f t="shared" ref="AY31:AY94" si="11">IF(OR(L$30="",L$4=99),1,IF(L31="",0,IFERROR(CHOOSE(AY$28,IF(ISNA(MATCH(L31,$AR$30:$AS$30,0)),0,1),IF(ISNUMBER(L31),1,0),IF(L31=TRUNC(L31),1,0),IF(AND(L31*1=L31,L31&gt;=0),1,0),IF(AND(L31=TRUNC(L31),L31&gt;=0),1,0),IF(AND(L31*1=L31,L31&gt;0),1,0),IF(AND(L31=TRUNC(L31),L31&gt;0),1,0),1,IF(ISNA(HLOOKUP(L31,$AU$4:$BD$4,1,0)),0,1)),0)))</f>
        <v>1</v>
      </c>
      <c r="AZ31" s="192">
        <f t="shared" ref="AZ31:AZ94" si="12">IF(OR(M$30="",M$4=99),1,IF(M31="",0,IFERROR(CHOOSE(AZ$28,IF(ISNA(MATCH(M31,$AR$30:$AS$30,0)),0,1),IF(ISNUMBER(M31),1,0),IF(M31=TRUNC(M31),1,0),IF(AND(M31*1=M31,M31&gt;=0),1,0),IF(AND(M31=TRUNC(M31),M31&gt;=0),1,0),IF(AND(M31*1=M31,M31&gt;0),1,0),IF(AND(M31=TRUNC(M31),M31&gt;0),1,0),1,IF(ISNA(HLOOKUP(M31,$AU$4:$BD$4,1,0)),0,1)),0)))</f>
        <v>1</v>
      </c>
      <c r="BA31" s="192">
        <f t="shared" ref="BA31:BA94" si="13">IF(OR(N$30="",N$4=99),1,IF(N31="",0,IFERROR(CHOOSE(BA$28,IF(ISNA(MATCH(N31,$AR$30:$AS$30,0)),0,1),IF(ISNUMBER(N31),1,0),IF(N31=TRUNC(N31),1,0),IF(AND(N31*1=N31,N31&gt;=0),1,0),IF(AND(N31=TRUNC(N31),N31&gt;=0),1,0),IF(AND(N31*1=N31,N31&gt;0),1,0),IF(AND(N31=TRUNC(N31),N31&gt;0),1,0),1,IF(ISNA(HLOOKUP(N31,$AU$4:$BD$4,1,0)),0,1)),0)))</f>
        <v>1</v>
      </c>
      <c r="BB31" s="192">
        <f t="shared" ref="BB31:BB94" si="14">IF(OR(O$30="",O$4=99),1,IF(O31="",0,IFERROR(CHOOSE(BB$28,IF(ISNA(MATCH(O31,$AR$30:$AS$30,0)),0,1),IF(ISNUMBER(O31),1,0),IF(O31=TRUNC(O31),1,0),IF(AND(O31*1=O31,O31&gt;=0),1,0),IF(AND(O31=TRUNC(O31),O31&gt;=0),1,0),IF(AND(O31*1=O31,O31&gt;0),1,0),IF(AND(O31=TRUNC(O31),O31&gt;0),1,0),1,IF(ISNA(HLOOKUP(O31,$AU$4:$BD$4,1,0)),0,1)),0)))</f>
        <v>1</v>
      </c>
      <c r="BC31" s="192">
        <f t="shared" ref="BC31:BC94" si="15">IF(OR(P$30="",P$4=99),1,IF(P31="",0,IFERROR(CHOOSE(BC$28,IF(ISNA(MATCH(P31,$AR$30:$AS$30,0)),0,1),IF(ISNUMBER(P31),1,0),IF(P31=TRUNC(P31),1,0),IF(AND(P31*1=P31,P31&gt;=0),1,0),IF(AND(P31=TRUNC(P31),P31&gt;=0),1,0),IF(AND(P31*1=P31,P31&gt;0),1,0),IF(AND(P31=TRUNC(P31),P31&gt;0),1,0),1,IF(ISNA(HLOOKUP(P31,$AU$4:$BD$4,1,0)),0,1)),0)))</f>
        <v>1</v>
      </c>
      <c r="BD31" s="192">
        <f t="shared" ref="BD31:BD94" si="16">IF(OR(Q$30="",Q$4=99),1,IF(Q31="",0,IFERROR(CHOOSE(BD$28,IF(ISNA(MATCH(Q31,$AR$30:$AS$30,0)),0,1),IF(ISNUMBER(Q31),1,0),IF(Q31=TRUNC(Q31),1,0),IF(AND(Q31*1=Q31,Q31&gt;=0),1,0),IF(AND(Q31=TRUNC(Q31),Q31&gt;=0),1,0),IF(AND(Q31*1=Q31,Q31&gt;0),1,0),IF(AND(Q31=TRUNC(Q31),Q31&gt;0),1,0),1,IF(ISNA(HLOOKUP(Q31,$AU$4:$BD$4,1,0)),0,1)),0)))</f>
        <v>1</v>
      </c>
      <c r="BE31" s="192">
        <f t="shared" ref="BE31:BE94" si="17">IF(OR(R$30="",R$4=99),1,IF(R31="",0,IFERROR(CHOOSE(BE$28,IF(ISNA(MATCH(R31,$AR$30:$AS$30,0)),0,1),IF(ISNUMBER(R31),1,0),IF(R31=TRUNC(R31),1,0),IF(AND(R31*1=R31,R31&gt;=0),1,0),IF(AND(R31=TRUNC(R31),R31&gt;=0),1,0),IF(AND(R31*1=R31,R31&gt;0),1,0),IF(AND(R31=TRUNC(R31),R31&gt;0),1,0),1,IF(ISNA(HLOOKUP(R31,$AU$4:$BD$4,1,0)),0,1)),0)))</f>
        <v>1</v>
      </c>
      <c r="BF31" s="192">
        <f t="shared" ref="BF31:BF94" si="18">IF(OR(S$30="",S$4=99),1,IF(S31="",0,IFERROR(CHOOSE(BF$28,IF(ISNA(MATCH(S31,$AR$30:$AS$30,0)),0,1),IF(ISNUMBER(S31),1,0),IF(S31=TRUNC(S31),1,0),IF(AND(S31*1=S31,S31&gt;=0),1,0),IF(AND(S31=TRUNC(S31),S31&gt;=0),1,0),IF(AND(S31*1=S31,S31&gt;0),1,0),IF(AND(S31=TRUNC(S31),S31&gt;0),1,0),1,IF(ISNA(HLOOKUP(S31,$AU$4:$BD$4,1,0)),0,1)),0)))</f>
        <v>1</v>
      </c>
      <c r="BG31" s="192">
        <f t="shared" ref="BG31:BG94" si="19">IF(OR(T$30="",T$4=99),1,IF(T31="",0,IFERROR(CHOOSE(BG$28,IF(ISNA(MATCH(T31,$AR$30:$AS$30,0)),0,1),IF(ISNUMBER(T31),1,0),IF(T31=TRUNC(T31),1,0),IF(AND(T31*1=T31,T31&gt;=0),1,0),IF(AND(T31=TRUNC(T31),T31&gt;=0),1,0),IF(AND(T31*1=T31,T31&gt;0),1,0),IF(AND(T31=TRUNC(T31),T31&gt;0),1,0),1,IF(ISNA(HLOOKUP(T31,$AU$4:$BD$4,1,0)),0,1)),0)))</f>
        <v>1</v>
      </c>
      <c r="BH31" s="192">
        <f t="shared" ref="BH31:BH94" si="20">IF(OR(U$30="",U$4=99),1,IF(U31="",0,IFERROR(CHOOSE(BH$28,IF(ISNA(MATCH(U31,$AR$30:$AS$30,0)),0,1),IF(ISNUMBER(U31),1,0),IF(U31=TRUNC(U31),1,0),IF(AND(U31*1=U31,U31&gt;=0),1,0),IF(AND(U31=TRUNC(U31),U31&gt;=0),1,0),IF(AND(U31*1=U31,U31&gt;0),1,0),IF(AND(U31=TRUNC(U31),U31&gt;0),1,0),1,IF(ISNA(HLOOKUP(U31,$AU$4:$BD$4,1,0)),0,1)),0)))</f>
        <v>1</v>
      </c>
      <c r="BI31" s="192">
        <f t="shared" ref="BI31:BI94" si="21">IF(OR(V$30="",V$4=99),1,IF(V31="",0,IFERROR(CHOOSE(BI$28,IF(ISNA(MATCH(V31,$AR$30:$AS$30,0)),0,1),IF(ISNUMBER(V31),1,0),IF(V31=TRUNC(V31),1,0),IF(AND(V31*1=V31,V31&gt;=0),1,0),IF(AND(V31=TRUNC(V31),V31&gt;=0),1,0),IF(AND(V31*1=V31,V31&gt;0),1,0),IF(AND(V31=TRUNC(V31),V31&gt;0),1,0),1,IF(ISNA(HLOOKUP(V31,$AU$4:$BD$4,1,0)),0,1)),0)))</f>
        <v>1</v>
      </c>
      <c r="BJ31" s="192">
        <f t="shared" ref="BJ31:BJ94" si="22">IF(OR(W$30="",W$4=99),1,IF(W31="",0,IFERROR(CHOOSE(BJ$28,IF(ISNA(MATCH(W31,$AR$30:$AS$30,0)),0,1),IF(ISNUMBER(W31),1,0),IF(W31=TRUNC(W31),1,0),IF(AND(W31*1=W31,W31&gt;=0),1,0),IF(AND(W31=TRUNC(W31),W31&gt;=0),1,0),IF(AND(W31*1=W31,W31&gt;0),1,0),IF(AND(W31=TRUNC(W31),W31&gt;0),1,0),1,IF(ISNA(HLOOKUP(W31,$AU$4:$BD$4,1,0)),0,1)),0)))</f>
        <v>1</v>
      </c>
      <c r="BK31" s="192">
        <f t="shared" ref="BK31:BK94" si="23">IF(OR(X$30="",X$4=99),1,IF(X31="",0,IFERROR(CHOOSE(BK$28,IF(ISNA(MATCH(X31,$AR$30:$AS$30,0)),0,1),IF(ISNUMBER(X31),1,0),IF(X31=TRUNC(X31),1,0),IF(AND(X31*1=X31,X31&gt;=0),1,0),IF(AND(X31=TRUNC(X31),X31&gt;=0),1,0),IF(AND(X31*1=X31,X31&gt;0),1,0),IF(AND(X31=TRUNC(X31),X31&gt;0),1,0),1,IF(ISNA(HLOOKUP(X31,$AU$4:$BD$4,1,0)),0,1)),0)))</f>
        <v>1</v>
      </c>
      <c r="BL31" s="192">
        <f t="shared" ref="BL31:BL94" si="24">IF(OR(Y$30="",Y$4=99),1,IF(Y31="",0,IFERROR(CHOOSE(BL$28,IF(ISNA(MATCH(Y31,$AR$30:$AS$30,0)),0,1),IF(ISNUMBER(Y31),1,0),IF(Y31=TRUNC(Y31),1,0),IF(AND(Y31*1=Y31,Y31&gt;=0),1,0),IF(AND(Y31=TRUNC(Y31),Y31&gt;=0),1,0),IF(AND(Y31*1=Y31,Y31&gt;0),1,0),IF(AND(Y31=TRUNC(Y31),Y31&gt;0),1,0),1,IF(ISNA(HLOOKUP(Y31,$AU$4:$BD$4,1,0)),0,1)),0)))</f>
        <v>1</v>
      </c>
      <c r="BM31" s="192">
        <f t="shared" ref="BM31:BM94" si="25">IF(OR(Z$30="",Z$4=99),1,IF(Z31="",0,IFERROR(CHOOSE(BM$28,IF(ISNA(MATCH(Z31,$AR$30:$AS$30,0)),0,1),IF(ISNUMBER(Z31),1,0),IF(Z31=TRUNC(Z31),1,0),IF(AND(Z31*1=Z31,Z31&gt;=0),1,0),IF(AND(Z31=TRUNC(Z31),Z31&gt;=0),1,0),IF(AND(Z31*1=Z31,Z31&gt;0),1,0),IF(AND(Z31=TRUNC(Z31),Z31&gt;0),1,0),1,IF(ISNA(HLOOKUP(Z31,$AU$4:$BD$4,1,0)),0,1)),0)))</f>
        <v>1</v>
      </c>
      <c r="BN31" s="192">
        <f t="shared" ref="BN31:BN94" si="26">IF(OR(AA$30="",AA$4=99),1,IF(AA31="",0,IFERROR(CHOOSE(BN$28,IF(ISNA(MATCH(AA31,$AR$30:$AS$30,0)),0,1),IF(ISNUMBER(AA31),1,0),IF(AA31=TRUNC(AA31),1,0),IF(AND(AA31*1=AA31,AA31&gt;=0),1,0),IF(AND(AA31=TRUNC(AA31),AA31&gt;=0),1,0),IF(AND(AA31*1=AA31,AA31&gt;0),1,0),IF(AND(AA31=TRUNC(AA31),AA31&gt;0),1,0),1,IF(ISNA(HLOOKUP(AA31,$AU$4:$BD$4,1,0)),0,1)),0)))</f>
        <v>1</v>
      </c>
      <c r="BO31" s="192">
        <f t="shared" ref="BO31:BO94" si="27">IF(OR(AB$30="",AB$4=99),1,IF(AB31="",0,IFERROR(CHOOSE(BO$28,IF(ISNA(MATCH(AB31,$AR$30:$AS$30,0)),0,1),IF(ISNUMBER(AB31),1,0),IF(AB31=TRUNC(AB31),1,0),IF(AND(AB31*1=AB31,AB31&gt;=0),1,0),IF(AND(AB31=TRUNC(AB31),AB31&gt;=0),1,0),IF(AND(AB31*1=AB31,AB31&gt;0),1,0),IF(AND(AB31=TRUNC(AB31),AB31&gt;0),1,0),1,IF(ISNA(HLOOKUP(AB31,$AU$4:$BD$4,1,0)),0,1)),0)))</f>
        <v>1</v>
      </c>
      <c r="BP31" s="192">
        <f t="shared" ref="BP31:BP94" si="28">IF(OR(AC$30="",AC$4=99),1,IF(AC31="",0,IFERROR(CHOOSE(BP$28,IF(ISNA(MATCH(AC31,$AR$30:$AS$30,0)),0,1),IF(ISNUMBER(AC31),1,0),IF(AC31=TRUNC(AC31),1,0),IF(AND(AC31*1=AC31,AC31&gt;=0),1,0),IF(AND(AC31=TRUNC(AC31),AC31&gt;=0),1,0),IF(AND(AC31*1=AC31,AC31&gt;0),1,0),IF(AND(AC31=TRUNC(AC31),AC31&gt;0),1,0),1,IF(ISNA(HLOOKUP(AC31,$AU$4:$BD$4,1,0)),0,1)),0)))</f>
        <v>1</v>
      </c>
      <c r="BQ31" s="192">
        <f t="shared" ref="BQ31:BQ94" si="29">IF(OR(AD$30="",AD$4=99),1,IF(AD31="",0,IFERROR(CHOOSE(BQ$28,IF(ISNA(MATCH(AD31,$AR$30:$AS$30,0)),0,1),IF(ISNUMBER(AD31),1,0),IF(AD31=TRUNC(AD31),1,0),IF(AND(AD31*1=AD31,AD31&gt;=0),1,0),IF(AND(AD31=TRUNC(AD31),AD31&gt;=0),1,0),IF(AND(AD31*1=AD31,AD31&gt;0),1,0),IF(AND(AD31=TRUNC(AD31),AD31&gt;0),1,0),1,IF(ISNA(HLOOKUP(AD31,$AU$4:$BD$4,1,0)),0,1)),0)))</f>
        <v>1</v>
      </c>
      <c r="BR31" s="192">
        <f t="shared" ref="BR31:BR94" si="30">IF(OR(AE$30="",AE$4=99),1,IF(AE31="",0,IFERROR(CHOOSE(BR$28,IF(ISNA(MATCH(AE31,$AR$30:$AS$30,0)),0,1),IF(ISNUMBER(AE31),1,0),IF(AE31=TRUNC(AE31),1,0),IF(AND(AE31*1=AE31,AE31&gt;=0),1,0),IF(AND(AE31=TRUNC(AE31),AE31&gt;=0),1,0),IF(AND(AE31*1=AE31,AE31&gt;0),1,0),IF(AND(AE31=TRUNC(AE31),AE31&gt;0),1,0),1,IF(ISNA(HLOOKUP(AE31,$AU$4:$BD$4,1,0)),0,1)),0)))</f>
        <v>1</v>
      </c>
      <c r="BS31" s="192">
        <f t="shared" ref="BS31:BS94" si="31">IF(OR(AF$30="",AF$4=99),1,IF(AF31="",0,IFERROR(CHOOSE(BS$28,IF(ISNA(MATCH(AF31,$AR$30:$AS$30,0)),0,1),IF(ISNUMBER(AF31),1,0),IF(AF31=TRUNC(AF31),1,0),IF(AND(AF31*1=AF31,AF31&gt;=0),1,0),IF(AND(AF31=TRUNC(AF31),AF31&gt;=0),1,0),IF(AND(AF31*1=AF31,AF31&gt;0),1,0),IF(AND(AF31=TRUNC(AF31),AF31&gt;0),1,0),1,IF(ISNA(HLOOKUP(AF31,$AU$4:$BD$4,1,0)),0,1)),0)))</f>
        <v>1</v>
      </c>
      <c r="BT31" s="192">
        <f t="shared" ref="BT31:BU94" si="32">IF(OR(AG$30="",AG$4=99),1,IF(AG31="",0,IFERROR(CHOOSE(BT$28,IF(ISNA(MATCH(AG31,$AR$30:$AS$30,0)),0,1),IF(ISNUMBER(AG31),1,0),IF(AG31=TRUNC(AG31),1,0),IF(AND(AG31*1=AG31,AG31&gt;=0),1,0),IF(AND(AG31=TRUNC(AG31),AG31&gt;=0),1,0),IF(AND(AG31*1=AG31,AG31&gt;0),1,0),IF(AND(AG31=TRUNC(AG31),AG31&gt;0),1,0),1,IF(ISNA(HLOOKUP(AG31,$AU$4:$BD$4,1,0)),0,1)),0)))</f>
        <v>1</v>
      </c>
      <c r="BU31" s="192">
        <f t="shared" si="32"/>
        <v>1</v>
      </c>
      <c r="BV31" s="192">
        <f t="shared" ref="BV31:BV94" si="33">IF(OR(AI$30="",AI$4=99),1,IF(AI31="",0,IFERROR(CHOOSE(BV$28,IF(ISNA(MATCH(AI31,$AR$30:$AS$30,0)),0,1),IF(ISNUMBER(AI31),1,0),IF(AI31=TRUNC(AI31),1,0),IF(AND(AI31*1=AI31,AI31&gt;=0),1,0),IF(AND(AI31=TRUNC(AI31),AI31&gt;=0),1,0),IF(AND(AI31*1=AI31,AI31&gt;0),1,0),IF(AND(AI31=TRUNC(AI31),AI31&gt;0),1,0),1,IF(ISNA(HLOOKUP(AI31,$AU$4:$BD$4,1,0)),0,1)),0)))</f>
        <v>1</v>
      </c>
      <c r="BW31" s="192">
        <f t="shared" ref="BW31:BW94" si="34">IF(OR(AJ$30="",AJ$4=99),1,IF(AJ31="",0,IFERROR(CHOOSE(BW$28,IF(ISNA(MATCH(AJ31,$AR$30:$AS$30,0)),0,1),IF(ISNUMBER(AJ31),1,0),IF(AJ31=TRUNC(AJ31),1,0),IF(AND(AJ31*1=AJ31,AJ31&gt;=0),1,0),IF(AND(AJ31=TRUNC(AJ31),AJ31&gt;=0),1,0),IF(AND(AJ31*1=AJ31,AJ31&gt;0),1,0),IF(AND(AJ31=TRUNC(AJ31),AJ31&gt;0),1,0),1,IF(ISNA(HLOOKUP(AJ31,$AU$4:$BD$4,1,0)),0,1)),0)))</f>
        <v>1</v>
      </c>
      <c r="BX31" s="192">
        <f t="shared" ref="BX31:BX94" si="35">IF(OR(AK$30="",AK$4=99),1,IF(AK31="",0,IFERROR(CHOOSE(BX$28,IF(ISNA(MATCH(AK31,$AR$30:$AS$30,0)),0,1),IF(ISNUMBER(AK31),1,0),IF(AK31=TRUNC(AK31),1,0),IF(AND(AK31*1=AK31,AK31&gt;=0),1,0),IF(AND(AK31=TRUNC(AK31),AK31&gt;=0),1,0),IF(AND(AK31*1=AK31,AK31&gt;0),1,0),IF(AND(AK31=TRUNC(AK31),AK31&gt;0),1,0),1,IF(ISNA(HLOOKUP(AK31,$AU$4:$BD$4,1,0)),0,1)),0)))</f>
        <v>1</v>
      </c>
      <c r="BY31" s="192">
        <f t="shared" ref="BY31:BY94" si="36">IF(OR(AL$30="",AL$4=99),1,IF(AL31="",0,IFERROR(CHOOSE(BY$28,IF(ISNA(MATCH(AL31,$AR$30:$AS$30,0)),0,1),IF(ISNUMBER(AL31),1,0),IF(AL31=TRUNC(AL31),1,0),IF(AND(AL31*1=AL31,AL31&gt;=0),1,0),IF(AND(AL31=TRUNC(AL31),AL31&gt;=0),1,0),IF(AND(AL31*1=AL31,AL31&gt;0),1,0),IF(AND(AL31=TRUNC(AL31),AL31&gt;0),1,0),1,IF(ISNA(HLOOKUP(AL31,$AU$4:$BD$4,1,0)),0,1)),0)))</f>
        <v>1</v>
      </c>
      <c r="BZ31" s="192">
        <f t="shared" ref="BZ31:BZ94" si="37">IF(OR(AM$30="",AM$4=99),1,IF(AM31="",0,IFERROR(CHOOSE(BZ$28,IF(ISNA(MATCH(AM31,$AR$30:$AS$30,0)),0,1),IF(ISNUMBER(AM31),1,0),IF(AM31=TRUNC(AM31),1,0),IF(AND(AM31*1=AM31,AM31&gt;=0),1,0),IF(AND(AM31=TRUNC(AM31),AM31&gt;=0),1,0),IF(AND(AM31*1=AM31,AM31&gt;0),1,0),IF(AND(AM31=TRUNC(AM31),AM31&gt;0),1,0),1,IF(ISNA(HLOOKUP(AM31,$AU$4:$BD$4,1,0)),0,1)),0)))</f>
        <v>1</v>
      </c>
      <c r="CA31" s="192">
        <f t="shared" ref="CA31:CA94" si="38">IF(OR(AN$30="",AN$4=99),1,IF(AN31="",0,IFERROR(CHOOSE(CA$28,IF(ISNA(MATCH(AN31,$AR$30:$AS$30,0)),0,1),IF(ISNUMBER(AN31),1,0),IF(AN31=TRUNC(AN31),1,0),IF(AND(AN31*1=AN31,AN31&gt;=0),1,0),IF(AND(AN31=TRUNC(AN31),AN31&gt;=0),1,0),IF(AND(AN31*1=AN31,AN31&gt;0),1,0),IF(AND(AN31=TRUNC(AN31),AN31&gt;0),1,0),1,IF(ISNA(HLOOKUP(AN31,$AU$4:$BD$4,1,0)),0,1)),0)))</f>
        <v>1</v>
      </c>
      <c r="CB31" s="192">
        <f t="shared" ref="CB31:CB94" si="39">IF(OR(AO$30="",AO$4=99),1,IF(AO31="",0,IFERROR(CHOOSE(CB$28,IF(ISNA(MATCH(AO31,$AR$30:$AS$30,0)),0,1),IF(ISNUMBER(AO31),1,0),IF(AO31=TRUNC(AO31),1,0),IF(AND(AO31*1=AO31,AO31&gt;=0),1,0),IF(AND(AO31=TRUNC(AO31),AO31&gt;=0),1,0),IF(AND(AO31*1=AO31,AO31&gt;0),1,0),IF(AND(AO31=TRUNC(AO31),AO31&gt;0),1,0),1,IF(ISNA(HLOOKUP(AO31,$AU$4:$BD$4,1,0)),0,1)),0)))</f>
        <v>1</v>
      </c>
      <c r="CG31" s="193">
        <f>IF($F31="","",CG$30)</f>
        <v>1</v>
      </c>
      <c r="CS31" s="324" t="b">
        <f>Z31&gt;=CS$7</f>
        <v>1</v>
      </c>
      <c r="CT31" s="324" t="b">
        <f t="shared" ref="CT31:CT94" si="40">AA31&gt;=CT$7</f>
        <v>1</v>
      </c>
      <c r="CU31" s="324" t="b">
        <f t="shared" ref="CU31:CU94" si="41">AB31&gt;=CU$7</f>
        <v>1</v>
      </c>
      <c r="CV31" s="324" t="b">
        <f t="shared" ref="CV31:CV94" si="42">AC31&gt;=CV$7</f>
        <v>1</v>
      </c>
      <c r="CW31" s="324" t="b">
        <f t="shared" ref="CW31:CW94" si="43">AD31&gt;=CW$7</f>
        <v>1</v>
      </c>
      <c r="CX31" s="324">
        <f>IF($F31="","",IF(SUMPRODUCT(--(CS31:CW31=TRUE))=COUNTA(CS31:CW31),1,0))</f>
        <v>1</v>
      </c>
    </row>
    <row r="32" spans="1:102" ht="9.75" customHeight="1" x14ac:dyDescent="0.25">
      <c r="B32" s="7" t="str">
        <f t="shared" ref="B32:B95" si="44">IF(F32="","",ROW()-30)</f>
        <v/>
      </c>
      <c r="C32" s="7"/>
      <c r="D32" s="7"/>
      <c r="E32" s="7"/>
      <c r="F32" s="495"/>
      <c r="G32" s="6"/>
      <c r="H32" s="6"/>
      <c r="I32" s="6"/>
      <c r="J32" s="6"/>
      <c r="K32" s="6"/>
      <c r="L32" s="6"/>
      <c r="M32" s="6"/>
      <c r="N32" s="6"/>
      <c r="O32" s="6"/>
      <c r="P32" s="6"/>
      <c r="Q32" s="7" t="str">
        <f t="shared" ref="Q32:Q95" si="45">IF($F32="","",IF(O32&lt;P32,$AR$1,IF(AND(P32&gt;O32*0.5,P32&gt;=$P$5),1,0)))</f>
        <v/>
      </c>
      <c r="R32" s="6"/>
      <c r="S32" s="6"/>
      <c r="T32" s="6"/>
      <c r="U32" s="6"/>
      <c r="V32" s="6"/>
      <c r="W32" s="6"/>
      <c r="X32" s="6"/>
      <c r="Y32" s="6"/>
      <c r="Z32" s="450"/>
      <c r="AA32" s="6"/>
      <c r="AB32" s="7" t="str">
        <f t="shared" ref="AB32:AB95" si="46">IF(F32="","",IF(Z32&gt;=$Z$5*0.8,1,0))</f>
        <v/>
      </c>
      <c r="AC32" s="7" t="str">
        <f t="shared" ref="AC32:AC95" si="47">IF(F32="","",IF(AA32&gt;=$AA$5*0.8,1,0))</f>
        <v/>
      </c>
      <c r="AD32" s="7" t="str">
        <f>IF(G32="","",IF(AND(Z32&gt;='פרמטרים לקריטריונים'!$D$19,AA32&gt;='פרמטרים לקריטריונים'!$C$19),1,0))</f>
        <v/>
      </c>
      <c r="AE32" s="7" t="str" cm="1">
        <f t="array" ref="AE32">IF($F32="","",IF(OR(SUMPRODUCT(--(Z32:AA32&gt;=$Z$5:$AA$5))=COUNTA($Z$29:$AA$29),OR(AND(X32=1,OR(AB32=1,AC32=1)),AND(Y32=1,AD32=1))),1,0))</f>
        <v/>
      </c>
      <c r="AF32" s="6"/>
      <c r="AG32" s="6"/>
      <c r="AH32" s="6"/>
      <c r="AI32" s="6"/>
      <c r="AJ32" s="7" t="str">
        <f t="shared" si="4"/>
        <v/>
      </c>
      <c r="AK32" s="7"/>
      <c r="AL32" s="7"/>
      <c r="AM32" s="7"/>
      <c r="AN32" s="7"/>
      <c r="AO32" s="229" t="str">
        <f t="shared" si="5"/>
        <v/>
      </c>
      <c r="AP32" s="357"/>
      <c r="AQ32" s="193">
        <f t="shared" si="6"/>
        <v>0</v>
      </c>
      <c r="AR32" s="193" t="str">
        <f t="shared" ref="AR32:AS63" si="48">IF($F32="","",AR$30)</f>
        <v/>
      </c>
      <c r="AS32" s="193" t="str">
        <f t="shared" si="48"/>
        <v/>
      </c>
      <c r="AT32" s="192">
        <f t="shared" ref="AT32:AT95" si="49">IF(OR(G$30="",G$4=99),1,IF(G32="",0,IFERROR(CHOOSE(AT$28,IF(ISNA(MATCH(G32,$AR$30:$AS$30,0)),0,1),IF(ISNUMBER(G32),1,0),IF(G32=TRUNC(G32),1,0),IF(AND(G32*1=G32,G32&gt;=0),1,0),IF(AND(G32=TRUNC(G32),G32&gt;=0),1,0),IF(AND(G32*1=G32,G32&gt;0),1,0),IF(AND(G32=TRUNC(G32),G32&gt;0),1,0),1,IF(ISNA(HLOOKUP(G32,$AU$4:$BD$4,1,0)),0,1)),0)))</f>
        <v>0</v>
      </c>
      <c r="AU32" s="192">
        <f t="shared" si="7"/>
        <v>0</v>
      </c>
      <c r="AV32" s="192">
        <f t="shared" si="8"/>
        <v>0</v>
      </c>
      <c r="AW32" s="192">
        <f t="shared" si="9"/>
        <v>0</v>
      </c>
      <c r="AX32" s="192">
        <f t="shared" si="10"/>
        <v>0</v>
      </c>
      <c r="AY32" s="192">
        <f t="shared" si="11"/>
        <v>0</v>
      </c>
      <c r="AZ32" s="192">
        <f t="shared" si="12"/>
        <v>0</v>
      </c>
      <c r="BA32" s="192">
        <f t="shared" si="13"/>
        <v>0</v>
      </c>
      <c r="BB32" s="192">
        <f t="shared" si="14"/>
        <v>0</v>
      </c>
      <c r="BC32" s="192">
        <f t="shared" si="15"/>
        <v>0</v>
      </c>
      <c r="BD32" s="192">
        <f t="shared" si="16"/>
        <v>1</v>
      </c>
      <c r="BE32" s="192">
        <f t="shared" si="17"/>
        <v>0</v>
      </c>
      <c r="BF32" s="192">
        <f t="shared" si="18"/>
        <v>0</v>
      </c>
      <c r="BG32" s="192">
        <f t="shared" si="19"/>
        <v>0</v>
      </c>
      <c r="BH32" s="192">
        <f t="shared" si="20"/>
        <v>0</v>
      </c>
      <c r="BI32" s="192">
        <f t="shared" si="21"/>
        <v>1</v>
      </c>
      <c r="BJ32" s="192">
        <f t="shared" si="22"/>
        <v>1</v>
      </c>
      <c r="BK32" s="192">
        <f t="shared" si="23"/>
        <v>1</v>
      </c>
      <c r="BL32" s="192">
        <f t="shared" si="24"/>
        <v>1</v>
      </c>
      <c r="BM32" s="192">
        <f t="shared" si="25"/>
        <v>0</v>
      </c>
      <c r="BN32" s="192">
        <f t="shared" si="26"/>
        <v>0</v>
      </c>
      <c r="BO32" s="192">
        <f t="shared" si="27"/>
        <v>1</v>
      </c>
      <c r="BP32" s="192">
        <f t="shared" si="28"/>
        <v>1</v>
      </c>
      <c r="BQ32" s="192">
        <f t="shared" si="29"/>
        <v>1</v>
      </c>
      <c r="BR32" s="192">
        <f t="shared" si="30"/>
        <v>1</v>
      </c>
      <c r="BS32" s="192">
        <f t="shared" si="31"/>
        <v>1</v>
      </c>
      <c r="BT32" s="192">
        <f t="shared" si="32"/>
        <v>0</v>
      </c>
      <c r="BU32" s="192">
        <f t="shared" si="32"/>
        <v>0</v>
      </c>
      <c r="BV32" s="192">
        <f t="shared" si="33"/>
        <v>0</v>
      </c>
      <c r="BW32" s="192">
        <f t="shared" si="34"/>
        <v>1</v>
      </c>
      <c r="BX32" s="192">
        <f t="shared" si="35"/>
        <v>1</v>
      </c>
      <c r="BY32" s="192">
        <f t="shared" si="36"/>
        <v>1</v>
      </c>
      <c r="BZ32" s="192">
        <f t="shared" si="37"/>
        <v>1</v>
      </c>
      <c r="CA32" s="192">
        <f t="shared" si="38"/>
        <v>1</v>
      </c>
      <c r="CB32" s="192">
        <f t="shared" si="39"/>
        <v>1</v>
      </c>
      <c r="CS32" s="324" t="b">
        <f t="shared" ref="CS32:CS95" si="50">Z32&gt;=CS$7</f>
        <v>0</v>
      </c>
      <c r="CT32" s="324" t="b">
        <f t="shared" si="40"/>
        <v>0</v>
      </c>
      <c r="CU32" s="324" t="b">
        <f t="shared" si="41"/>
        <v>1</v>
      </c>
      <c r="CV32" s="324" t="b">
        <f t="shared" si="42"/>
        <v>1</v>
      </c>
      <c r="CW32" s="324" t="b">
        <f t="shared" si="43"/>
        <v>1</v>
      </c>
      <c r="CX32" s="324" t="str">
        <f t="shared" ref="CX32:CX95" si="51">IF($F32="","",IF(SUMPRODUCT(--(CS32:CW32=TRUE))=COUNTA(CS32:CW32),1,0))</f>
        <v/>
      </c>
    </row>
    <row r="33" spans="1:102" ht="46.5" customHeight="1" x14ac:dyDescent="0.25">
      <c r="B33" s="7">
        <f t="shared" si="44"/>
        <v>3</v>
      </c>
      <c r="C33" s="7"/>
      <c r="D33" s="7"/>
      <c r="E33" s="7"/>
      <c r="F33" s="498" t="s">
        <v>411</v>
      </c>
      <c r="G33" s="6">
        <v>1</v>
      </c>
      <c r="H33" s="6">
        <v>1</v>
      </c>
      <c r="I33" s="6">
        <v>1</v>
      </c>
      <c r="J33" s="6">
        <v>1</v>
      </c>
      <c r="K33" s="6">
        <v>1</v>
      </c>
      <c r="L33" s="6">
        <v>1</v>
      </c>
      <c r="M33" s="6">
        <v>1</v>
      </c>
      <c r="N33" s="6">
        <v>1</v>
      </c>
      <c r="O33" s="6">
        <v>12</v>
      </c>
      <c r="P33" s="6">
        <v>9</v>
      </c>
      <c r="Q33" s="7">
        <f t="shared" si="45"/>
        <v>1</v>
      </c>
      <c r="R33" s="6">
        <v>1</v>
      </c>
      <c r="S33" s="6">
        <v>1</v>
      </c>
      <c r="T33" s="6">
        <v>1</v>
      </c>
      <c r="U33" s="6">
        <v>1</v>
      </c>
      <c r="V33" s="6"/>
      <c r="W33" s="6"/>
      <c r="X33" s="6"/>
      <c r="Y33" s="6"/>
      <c r="Z33" s="450">
        <v>4</v>
      </c>
      <c r="AA33" s="6">
        <v>253627</v>
      </c>
      <c r="AB33" s="7">
        <f t="shared" si="46"/>
        <v>0</v>
      </c>
      <c r="AC33" s="7">
        <f t="shared" si="47"/>
        <v>1</v>
      </c>
      <c r="AD33" s="7">
        <f>IF(G33="","",IF(AND(Z33&gt;='פרמטרים לקריטריונים'!$D$19,AA33&gt;='פרמטרים לקריטריונים'!$C$19),1,0))</f>
        <v>0</v>
      </c>
      <c r="AE33" s="7" cm="1">
        <f t="array" ref="AE33">IF($F33="","",IF(OR(SUMPRODUCT(--(Z33:AA33&gt;=$Z$5:$AA$5))=COUNTA($Z$29:$AA$29),OR(AND(X33=1,OR(AB33=1,AC33=1)),AND(Y33=1,AD33=1))),1,0))</f>
        <v>0</v>
      </c>
      <c r="AF33" s="6"/>
      <c r="AG33" s="6">
        <v>1</v>
      </c>
      <c r="AH33" s="6">
        <v>1</v>
      </c>
      <c r="AI33" s="6">
        <v>1</v>
      </c>
      <c r="AJ33" s="7">
        <f t="shared" si="4"/>
        <v>1</v>
      </c>
      <c r="AK33" s="7"/>
      <c r="AL33" s="7"/>
      <c r="AM33" s="7"/>
      <c r="AN33" s="7"/>
      <c r="AO33" s="229">
        <f t="shared" si="5"/>
        <v>0</v>
      </c>
      <c r="AP33" s="502" t="s">
        <v>1086</v>
      </c>
      <c r="AQ33" s="193">
        <f t="shared" si="6"/>
        <v>1</v>
      </c>
      <c r="AR33" s="193">
        <f t="shared" si="48"/>
        <v>0</v>
      </c>
      <c r="AS33" s="193">
        <f t="shared" si="48"/>
        <v>1</v>
      </c>
      <c r="AT33" s="192">
        <f t="shared" si="49"/>
        <v>1</v>
      </c>
      <c r="AU33" s="192">
        <f t="shared" si="7"/>
        <v>1</v>
      </c>
      <c r="AV33" s="192">
        <f t="shared" si="8"/>
        <v>1</v>
      </c>
      <c r="AW33" s="192">
        <f t="shared" si="9"/>
        <v>1</v>
      </c>
      <c r="AX33" s="192">
        <f t="shared" si="10"/>
        <v>1</v>
      </c>
      <c r="AY33" s="192">
        <f t="shared" si="11"/>
        <v>1</v>
      </c>
      <c r="AZ33" s="192">
        <f t="shared" si="12"/>
        <v>1</v>
      </c>
      <c r="BA33" s="192">
        <f t="shared" si="13"/>
        <v>1</v>
      </c>
      <c r="BB33" s="192">
        <f t="shared" si="14"/>
        <v>1</v>
      </c>
      <c r="BC33" s="192">
        <f t="shared" si="15"/>
        <v>1</v>
      </c>
      <c r="BD33" s="192">
        <f t="shared" si="16"/>
        <v>1</v>
      </c>
      <c r="BE33" s="192">
        <f t="shared" si="17"/>
        <v>1</v>
      </c>
      <c r="BF33" s="192">
        <f t="shared" si="18"/>
        <v>1</v>
      </c>
      <c r="BG33" s="192">
        <f t="shared" si="19"/>
        <v>1</v>
      </c>
      <c r="BH33" s="192">
        <f t="shared" si="20"/>
        <v>1</v>
      </c>
      <c r="BI33" s="192">
        <f t="shared" si="21"/>
        <v>1</v>
      </c>
      <c r="BJ33" s="192">
        <f t="shared" si="22"/>
        <v>1</v>
      </c>
      <c r="BK33" s="192">
        <f t="shared" si="23"/>
        <v>1</v>
      </c>
      <c r="BL33" s="192">
        <f t="shared" si="24"/>
        <v>1</v>
      </c>
      <c r="BM33" s="192">
        <f t="shared" si="25"/>
        <v>1</v>
      </c>
      <c r="BN33" s="192">
        <f t="shared" si="26"/>
        <v>1</v>
      </c>
      <c r="BO33" s="192">
        <f t="shared" si="27"/>
        <v>1</v>
      </c>
      <c r="BP33" s="192">
        <f t="shared" si="28"/>
        <v>1</v>
      </c>
      <c r="BQ33" s="192">
        <f t="shared" si="29"/>
        <v>1</v>
      </c>
      <c r="BR33" s="192">
        <f t="shared" si="30"/>
        <v>1</v>
      </c>
      <c r="BS33" s="192">
        <f t="shared" si="31"/>
        <v>1</v>
      </c>
      <c r="BT33" s="192">
        <f t="shared" si="32"/>
        <v>1</v>
      </c>
      <c r="BU33" s="192">
        <f t="shared" si="32"/>
        <v>1</v>
      </c>
      <c r="BV33" s="192">
        <f t="shared" si="33"/>
        <v>1</v>
      </c>
      <c r="BW33" s="192">
        <f t="shared" si="34"/>
        <v>1</v>
      </c>
      <c r="BX33" s="192">
        <f t="shared" si="35"/>
        <v>1</v>
      </c>
      <c r="BY33" s="192">
        <f t="shared" si="36"/>
        <v>1</v>
      </c>
      <c r="BZ33" s="192">
        <f t="shared" si="37"/>
        <v>1</v>
      </c>
      <c r="CA33" s="192">
        <f t="shared" si="38"/>
        <v>1</v>
      </c>
      <c r="CB33" s="192">
        <f t="shared" si="39"/>
        <v>1</v>
      </c>
      <c r="CS33" s="324" t="b">
        <f t="shared" si="50"/>
        <v>0</v>
      </c>
      <c r="CT33" s="324" t="b">
        <f t="shared" si="40"/>
        <v>1</v>
      </c>
      <c r="CU33" s="324" t="b">
        <f t="shared" si="41"/>
        <v>1</v>
      </c>
      <c r="CV33" s="324" t="b">
        <f t="shared" si="42"/>
        <v>1</v>
      </c>
      <c r="CW33" s="324" t="b">
        <f t="shared" si="43"/>
        <v>1</v>
      </c>
      <c r="CX33" s="324">
        <f t="shared" si="51"/>
        <v>0</v>
      </c>
    </row>
    <row r="34" spans="1:102" ht="36.75" customHeight="1" x14ac:dyDescent="0.25">
      <c r="B34" s="7">
        <f t="shared" si="44"/>
        <v>4</v>
      </c>
      <c r="C34" s="7"/>
      <c r="D34" s="7"/>
      <c r="E34" s="7"/>
      <c r="F34" s="495" t="s">
        <v>167</v>
      </c>
      <c r="G34" s="6">
        <v>1</v>
      </c>
      <c r="H34" s="6">
        <v>1</v>
      </c>
      <c r="I34" s="6">
        <v>1</v>
      </c>
      <c r="J34" s="6">
        <v>1</v>
      </c>
      <c r="K34" s="6">
        <v>1</v>
      </c>
      <c r="L34" s="6">
        <v>1</v>
      </c>
      <c r="M34" s="6">
        <v>1</v>
      </c>
      <c r="N34" s="6">
        <v>1</v>
      </c>
      <c r="O34" s="6">
        <v>7</v>
      </c>
      <c r="P34" s="6">
        <v>6</v>
      </c>
      <c r="Q34" s="7">
        <f t="shared" si="45"/>
        <v>1</v>
      </c>
      <c r="R34" s="6">
        <v>1</v>
      </c>
      <c r="S34" s="6">
        <v>1</v>
      </c>
      <c r="T34" s="6">
        <v>1</v>
      </c>
      <c r="U34" s="6">
        <v>1</v>
      </c>
      <c r="V34" s="6"/>
      <c r="W34" s="6"/>
      <c r="X34" s="6"/>
      <c r="Y34" s="6"/>
      <c r="Z34" s="450">
        <v>8</v>
      </c>
      <c r="AA34" s="6">
        <v>124104</v>
      </c>
      <c r="AB34" s="7">
        <f t="shared" si="46"/>
        <v>1</v>
      </c>
      <c r="AC34" s="7">
        <f t="shared" si="47"/>
        <v>1</v>
      </c>
      <c r="AD34" s="7">
        <f>IF(G34="","",IF(AND(Z34&gt;='פרמטרים לקריטריונים'!$D$19,AA34&gt;='פרמטרים לקריטריונים'!$C$19),1,0))</f>
        <v>1</v>
      </c>
      <c r="AE34" s="7" cm="1">
        <f t="array" ref="AE34">IF($F34="","",IF(OR(SUMPRODUCT(--(Z34:AA34&gt;=$Z$5:$AA$5))=COUNTA($Z$29:$AA$29),OR(AND(X34=1,OR(AB34=1,AC34=1)),AND(Y34=1,AD34=1))),1,0))</f>
        <v>1</v>
      </c>
      <c r="AF34" s="6"/>
      <c r="AG34" s="6">
        <v>1</v>
      </c>
      <c r="AH34" s="6">
        <v>1</v>
      </c>
      <c r="AI34" s="6">
        <v>1</v>
      </c>
      <c r="AJ34" s="7">
        <f t="shared" si="4"/>
        <v>1</v>
      </c>
      <c r="AK34" s="7"/>
      <c r="AL34" s="7"/>
      <c r="AM34" s="7"/>
      <c r="AN34" s="7"/>
      <c r="AO34" s="229">
        <f t="shared" si="5"/>
        <v>1</v>
      </c>
      <c r="AP34" s="357" t="s">
        <v>166</v>
      </c>
      <c r="AQ34" s="193">
        <f t="shared" si="6"/>
        <v>1</v>
      </c>
      <c r="AR34" s="193">
        <f t="shared" si="48"/>
        <v>0</v>
      </c>
      <c r="AS34" s="193">
        <f t="shared" si="48"/>
        <v>1</v>
      </c>
      <c r="AT34" s="192">
        <f t="shared" si="49"/>
        <v>1</v>
      </c>
      <c r="AU34" s="192">
        <f t="shared" si="7"/>
        <v>1</v>
      </c>
      <c r="AV34" s="192">
        <f t="shared" si="8"/>
        <v>1</v>
      </c>
      <c r="AW34" s="192">
        <f t="shared" si="9"/>
        <v>1</v>
      </c>
      <c r="AX34" s="192">
        <f t="shared" si="10"/>
        <v>1</v>
      </c>
      <c r="AY34" s="192">
        <f t="shared" si="11"/>
        <v>1</v>
      </c>
      <c r="AZ34" s="192">
        <f t="shared" si="12"/>
        <v>1</v>
      </c>
      <c r="BA34" s="192">
        <f t="shared" si="13"/>
        <v>1</v>
      </c>
      <c r="BB34" s="192">
        <f t="shared" si="14"/>
        <v>1</v>
      </c>
      <c r="BC34" s="192">
        <f t="shared" si="15"/>
        <v>1</v>
      </c>
      <c r="BD34" s="192">
        <f t="shared" si="16"/>
        <v>1</v>
      </c>
      <c r="BE34" s="192">
        <f t="shared" si="17"/>
        <v>1</v>
      </c>
      <c r="BF34" s="192">
        <f t="shared" si="18"/>
        <v>1</v>
      </c>
      <c r="BG34" s="192">
        <f t="shared" si="19"/>
        <v>1</v>
      </c>
      <c r="BH34" s="192">
        <f t="shared" si="20"/>
        <v>1</v>
      </c>
      <c r="BI34" s="192">
        <f t="shared" si="21"/>
        <v>1</v>
      </c>
      <c r="BJ34" s="192">
        <f t="shared" si="22"/>
        <v>1</v>
      </c>
      <c r="BK34" s="192">
        <f t="shared" si="23"/>
        <v>1</v>
      </c>
      <c r="BL34" s="192">
        <f t="shared" si="24"/>
        <v>1</v>
      </c>
      <c r="BM34" s="192">
        <f t="shared" si="25"/>
        <v>1</v>
      </c>
      <c r="BN34" s="192">
        <f t="shared" si="26"/>
        <v>1</v>
      </c>
      <c r="BO34" s="192">
        <f t="shared" si="27"/>
        <v>1</v>
      </c>
      <c r="BP34" s="192">
        <f t="shared" si="28"/>
        <v>1</v>
      </c>
      <c r="BQ34" s="192">
        <f t="shared" si="29"/>
        <v>1</v>
      </c>
      <c r="BR34" s="192">
        <f t="shared" si="30"/>
        <v>1</v>
      </c>
      <c r="BS34" s="192">
        <f t="shared" si="31"/>
        <v>1</v>
      </c>
      <c r="BT34" s="192">
        <f t="shared" si="32"/>
        <v>1</v>
      </c>
      <c r="BU34" s="192">
        <f t="shared" si="32"/>
        <v>1</v>
      </c>
      <c r="BV34" s="192">
        <f t="shared" si="33"/>
        <v>1</v>
      </c>
      <c r="BW34" s="192">
        <f t="shared" si="34"/>
        <v>1</v>
      </c>
      <c r="BX34" s="192">
        <f t="shared" si="35"/>
        <v>1</v>
      </c>
      <c r="BY34" s="192">
        <f t="shared" si="36"/>
        <v>1</v>
      </c>
      <c r="BZ34" s="192">
        <f t="shared" si="37"/>
        <v>1</v>
      </c>
      <c r="CA34" s="192">
        <f t="shared" si="38"/>
        <v>1</v>
      </c>
      <c r="CB34" s="192">
        <f t="shared" si="39"/>
        <v>1</v>
      </c>
      <c r="CS34" s="324" t="b">
        <f t="shared" si="50"/>
        <v>1</v>
      </c>
      <c r="CT34" s="324" t="b">
        <f t="shared" si="40"/>
        <v>1</v>
      </c>
      <c r="CU34" s="324" t="b">
        <f t="shared" si="41"/>
        <v>1</v>
      </c>
      <c r="CV34" s="324" t="b">
        <f t="shared" si="42"/>
        <v>1</v>
      </c>
      <c r="CW34" s="324" t="b">
        <f t="shared" si="43"/>
        <v>1</v>
      </c>
      <c r="CX34" s="324">
        <f t="shared" si="51"/>
        <v>1</v>
      </c>
    </row>
    <row r="35" spans="1:102" ht="36.75" customHeight="1" x14ac:dyDescent="0.25">
      <c r="B35" s="7" t="str">
        <f t="shared" si="44"/>
        <v/>
      </c>
      <c r="C35" s="7"/>
      <c r="D35" s="7"/>
      <c r="E35" s="7"/>
      <c r="F35" s="495"/>
      <c r="G35" s="6"/>
      <c r="H35" s="6"/>
      <c r="I35" s="6"/>
      <c r="J35" s="6"/>
      <c r="K35" s="6"/>
      <c r="L35" s="6"/>
      <c r="M35" s="6"/>
      <c r="N35" s="6"/>
      <c r="O35" s="6"/>
      <c r="P35" s="6"/>
      <c r="Q35" s="7" t="str">
        <f t="shared" si="45"/>
        <v/>
      </c>
      <c r="R35" s="6"/>
      <c r="S35" s="6"/>
      <c r="T35" s="6"/>
      <c r="U35" s="6"/>
      <c r="V35" s="6"/>
      <c r="W35" s="6"/>
      <c r="X35" s="6"/>
      <c r="Y35" s="6"/>
      <c r="Z35" s="450"/>
      <c r="AA35" s="6"/>
      <c r="AB35" s="7" t="str">
        <f t="shared" si="46"/>
        <v/>
      </c>
      <c r="AC35" s="7" t="str">
        <f t="shared" si="47"/>
        <v/>
      </c>
      <c r="AD35" s="7" t="str">
        <f>IF(G35="","",IF(AND(Z35&gt;='פרמטרים לקריטריונים'!$D$19,AA35&gt;='פרמטרים לקריטריונים'!$C$19),1,0))</f>
        <v/>
      </c>
      <c r="AE35" s="7" t="str" cm="1">
        <f t="array" ref="AE35">IF($F35="","",IF(OR(SUMPRODUCT(--(Z35:AA35&gt;=$Z$5:$AA$5))=COUNTA($Z$29:$AA$29),OR(AND(X35=1,OR(AB35=1,AC35=1)),AND(Y35=1,AD35=1))),1,0))</f>
        <v/>
      </c>
      <c r="AF35" s="6"/>
      <c r="AG35" s="6"/>
      <c r="AH35" s="6"/>
      <c r="AI35" s="6"/>
      <c r="AJ35" s="7" t="str">
        <f t="shared" si="4"/>
        <v/>
      </c>
      <c r="AK35" s="7"/>
      <c r="AL35" s="7"/>
      <c r="AM35" s="7"/>
      <c r="AN35" s="7"/>
      <c r="AO35" s="229" t="str">
        <f t="shared" si="5"/>
        <v/>
      </c>
      <c r="AP35" s="357"/>
      <c r="AQ35" s="193">
        <f t="shared" si="6"/>
        <v>0</v>
      </c>
      <c r="AR35" s="193" t="str">
        <f t="shared" si="48"/>
        <v/>
      </c>
      <c r="AS35" s="193" t="str">
        <f t="shared" si="48"/>
        <v/>
      </c>
      <c r="AT35" s="192">
        <f t="shared" si="49"/>
        <v>0</v>
      </c>
      <c r="AU35" s="192">
        <f t="shared" si="7"/>
        <v>0</v>
      </c>
      <c r="AV35" s="192">
        <f t="shared" si="8"/>
        <v>0</v>
      </c>
      <c r="AW35" s="192">
        <f t="shared" si="9"/>
        <v>0</v>
      </c>
      <c r="AX35" s="192">
        <f t="shared" si="10"/>
        <v>0</v>
      </c>
      <c r="AY35" s="192">
        <f t="shared" si="11"/>
        <v>0</v>
      </c>
      <c r="AZ35" s="192">
        <f t="shared" si="12"/>
        <v>0</v>
      </c>
      <c r="BA35" s="192">
        <f t="shared" si="13"/>
        <v>0</v>
      </c>
      <c r="BB35" s="192">
        <f t="shared" si="14"/>
        <v>0</v>
      </c>
      <c r="BC35" s="192">
        <f t="shared" si="15"/>
        <v>0</v>
      </c>
      <c r="BD35" s="192">
        <f t="shared" si="16"/>
        <v>1</v>
      </c>
      <c r="BE35" s="192">
        <f t="shared" si="17"/>
        <v>0</v>
      </c>
      <c r="BF35" s="192">
        <f t="shared" si="18"/>
        <v>0</v>
      </c>
      <c r="BG35" s="192">
        <f t="shared" si="19"/>
        <v>0</v>
      </c>
      <c r="BH35" s="192">
        <f t="shared" si="20"/>
        <v>0</v>
      </c>
      <c r="BI35" s="192">
        <f t="shared" si="21"/>
        <v>1</v>
      </c>
      <c r="BJ35" s="192">
        <f t="shared" si="22"/>
        <v>1</v>
      </c>
      <c r="BK35" s="192">
        <f t="shared" si="23"/>
        <v>1</v>
      </c>
      <c r="BL35" s="192">
        <f t="shared" si="24"/>
        <v>1</v>
      </c>
      <c r="BM35" s="192">
        <f t="shared" si="25"/>
        <v>0</v>
      </c>
      <c r="BN35" s="192">
        <f t="shared" si="26"/>
        <v>0</v>
      </c>
      <c r="BO35" s="192">
        <f t="shared" si="27"/>
        <v>1</v>
      </c>
      <c r="BP35" s="192">
        <f t="shared" si="28"/>
        <v>1</v>
      </c>
      <c r="BQ35" s="192">
        <f t="shared" si="29"/>
        <v>1</v>
      </c>
      <c r="BR35" s="192">
        <f t="shared" si="30"/>
        <v>1</v>
      </c>
      <c r="BS35" s="192">
        <f t="shared" si="31"/>
        <v>1</v>
      </c>
      <c r="BT35" s="192">
        <f t="shared" si="32"/>
        <v>0</v>
      </c>
      <c r="BU35" s="192">
        <f t="shared" si="32"/>
        <v>0</v>
      </c>
      <c r="BV35" s="192">
        <f t="shared" si="33"/>
        <v>0</v>
      </c>
      <c r="BW35" s="192">
        <f t="shared" si="34"/>
        <v>1</v>
      </c>
      <c r="BX35" s="192">
        <f t="shared" si="35"/>
        <v>1</v>
      </c>
      <c r="BY35" s="192">
        <f t="shared" si="36"/>
        <v>1</v>
      </c>
      <c r="BZ35" s="192">
        <f t="shared" si="37"/>
        <v>1</v>
      </c>
      <c r="CA35" s="192">
        <f t="shared" si="38"/>
        <v>1</v>
      </c>
      <c r="CB35" s="192">
        <f t="shared" si="39"/>
        <v>1</v>
      </c>
      <c r="CS35" s="324" t="b">
        <f t="shared" si="50"/>
        <v>0</v>
      </c>
      <c r="CT35" s="324" t="b">
        <f t="shared" si="40"/>
        <v>0</v>
      </c>
      <c r="CU35" s="324" t="b">
        <f t="shared" si="41"/>
        <v>1</v>
      </c>
      <c r="CV35" s="324" t="b">
        <f t="shared" si="42"/>
        <v>1</v>
      </c>
      <c r="CW35" s="324" t="b">
        <f t="shared" si="43"/>
        <v>1</v>
      </c>
      <c r="CX35" s="324" t="str">
        <f t="shared" si="51"/>
        <v/>
      </c>
    </row>
    <row r="36" spans="1:102" ht="36.75" customHeight="1" x14ac:dyDescent="0.25">
      <c r="B36" s="7">
        <f t="shared" si="44"/>
        <v>6</v>
      </c>
      <c r="C36" s="7"/>
      <c r="D36" s="7"/>
      <c r="E36" s="7"/>
      <c r="F36" s="495" t="s">
        <v>168</v>
      </c>
      <c r="G36" s="6">
        <v>1</v>
      </c>
      <c r="H36" s="6">
        <v>1</v>
      </c>
      <c r="I36" s="6">
        <v>1</v>
      </c>
      <c r="J36" s="6">
        <v>1</v>
      </c>
      <c r="K36" s="6">
        <v>1</v>
      </c>
      <c r="L36" s="6">
        <v>1</v>
      </c>
      <c r="M36" s="6">
        <v>1</v>
      </c>
      <c r="N36" s="6">
        <v>1</v>
      </c>
      <c r="O36" s="6">
        <v>18</v>
      </c>
      <c r="P36" s="6">
        <v>18</v>
      </c>
      <c r="Q36" s="7">
        <f t="shared" si="45"/>
        <v>1</v>
      </c>
      <c r="R36" s="6">
        <v>1</v>
      </c>
      <c r="S36" s="6">
        <v>1</v>
      </c>
      <c r="T36" s="6">
        <v>1</v>
      </c>
      <c r="U36" s="6">
        <v>1</v>
      </c>
      <c r="V36" s="6"/>
      <c r="W36" s="6"/>
      <c r="X36" s="6"/>
      <c r="Y36" s="6"/>
      <c r="Z36" s="450">
        <v>8</v>
      </c>
      <c r="AA36" s="6">
        <v>276882</v>
      </c>
      <c r="AB36" s="7">
        <f t="shared" si="46"/>
        <v>1</v>
      </c>
      <c r="AC36" s="7">
        <f t="shared" si="47"/>
        <v>1</v>
      </c>
      <c r="AD36" s="7">
        <f>IF(G36="","",IF(AND(Z36&gt;='פרמטרים לקריטריונים'!$D$19,AA36&gt;='פרמטרים לקריטריונים'!$C$19),1,0))</f>
        <v>1</v>
      </c>
      <c r="AE36" s="7" cm="1">
        <f t="array" ref="AE36">IF($F36="","",IF(OR(SUMPRODUCT(--(Z36:AA36&gt;=$Z$5:$AA$5))=COUNTA($Z$29:$AA$29),OR(AND(X36=1,OR(AB36=1,AC36=1)),AND(Y36=1,AD36=1))),1,0))</f>
        <v>1</v>
      </c>
      <c r="AF36" s="6"/>
      <c r="AG36" s="6">
        <v>1</v>
      </c>
      <c r="AH36" s="6">
        <v>1</v>
      </c>
      <c r="AI36" s="6">
        <v>1</v>
      </c>
      <c r="AJ36" s="7">
        <f t="shared" si="4"/>
        <v>1</v>
      </c>
      <c r="AK36" s="7"/>
      <c r="AL36" s="7"/>
      <c r="AM36" s="7"/>
      <c r="AN36" s="7"/>
      <c r="AO36" s="229">
        <f t="shared" si="5"/>
        <v>1</v>
      </c>
      <c r="AP36" s="357" t="s">
        <v>166</v>
      </c>
      <c r="AQ36" s="193">
        <f t="shared" si="6"/>
        <v>1</v>
      </c>
      <c r="AR36" s="193">
        <f t="shared" si="48"/>
        <v>0</v>
      </c>
      <c r="AS36" s="193">
        <f t="shared" si="48"/>
        <v>1</v>
      </c>
      <c r="AT36" s="192">
        <f t="shared" si="49"/>
        <v>1</v>
      </c>
      <c r="AU36" s="192">
        <f t="shared" si="7"/>
        <v>1</v>
      </c>
      <c r="AV36" s="192">
        <f t="shared" si="8"/>
        <v>1</v>
      </c>
      <c r="AW36" s="192">
        <f t="shared" si="9"/>
        <v>1</v>
      </c>
      <c r="AX36" s="192">
        <f t="shared" si="10"/>
        <v>1</v>
      </c>
      <c r="AY36" s="192">
        <f t="shared" si="11"/>
        <v>1</v>
      </c>
      <c r="AZ36" s="192">
        <f t="shared" si="12"/>
        <v>1</v>
      </c>
      <c r="BA36" s="192">
        <f t="shared" si="13"/>
        <v>1</v>
      </c>
      <c r="BB36" s="192">
        <f t="shared" si="14"/>
        <v>1</v>
      </c>
      <c r="BC36" s="192">
        <f t="shared" si="15"/>
        <v>1</v>
      </c>
      <c r="BD36" s="192">
        <f t="shared" si="16"/>
        <v>1</v>
      </c>
      <c r="BE36" s="192">
        <f t="shared" si="17"/>
        <v>1</v>
      </c>
      <c r="BF36" s="192">
        <f t="shared" si="18"/>
        <v>1</v>
      </c>
      <c r="BG36" s="192">
        <f t="shared" si="19"/>
        <v>1</v>
      </c>
      <c r="BH36" s="192">
        <f t="shared" si="20"/>
        <v>1</v>
      </c>
      <c r="BI36" s="192">
        <f t="shared" si="21"/>
        <v>1</v>
      </c>
      <c r="BJ36" s="192">
        <f t="shared" si="22"/>
        <v>1</v>
      </c>
      <c r="BK36" s="192">
        <f t="shared" si="23"/>
        <v>1</v>
      </c>
      <c r="BL36" s="192">
        <f t="shared" si="24"/>
        <v>1</v>
      </c>
      <c r="BM36" s="192">
        <f t="shared" si="25"/>
        <v>1</v>
      </c>
      <c r="BN36" s="192">
        <f t="shared" si="26"/>
        <v>1</v>
      </c>
      <c r="BO36" s="192">
        <f t="shared" si="27"/>
        <v>1</v>
      </c>
      <c r="BP36" s="192">
        <f t="shared" si="28"/>
        <v>1</v>
      </c>
      <c r="BQ36" s="192">
        <f t="shared" si="29"/>
        <v>1</v>
      </c>
      <c r="BR36" s="192">
        <f t="shared" si="30"/>
        <v>1</v>
      </c>
      <c r="BS36" s="192">
        <f t="shared" si="31"/>
        <v>1</v>
      </c>
      <c r="BT36" s="192">
        <f t="shared" si="32"/>
        <v>1</v>
      </c>
      <c r="BU36" s="192">
        <f t="shared" si="32"/>
        <v>1</v>
      </c>
      <c r="BV36" s="192">
        <f t="shared" si="33"/>
        <v>1</v>
      </c>
      <c r="BW36" s="192">
        <f t="shared" si="34"/>
        <v>1</v>
      </c>
      <c r="BX36" s="192">
        <f t="shared" si="35"/>
        <v>1</v>
      </c>
      <c r="BY36" s="192">
        <f t="shared" si="36"/>
        <v>1</v>
      </c>
      <c r="BZ36" s="192">
        <f t="shared" si="37"/>
        <v>1</v>
      </c>
      <c r="CA36" s="192">
        <f t="shared" si="38"/>
        <v>1</v>
      </c>
      <c r="CB36" s="192">
        <f t="shared" si="39"/>
        <v>1</v>
      </c>
      <c r="CS36" s="324" t="b">
        <f t="shared" si="50"/>
        <v>1</v>
      </c>
      <c r="CT36" s="324" t="b">
        <f t="shared" si="40"/>
        <v>1</v>
      </c>
      <c r="CU36" s="324" t="b">
        <f t="shared" si="41"/>
        <v>1</v>
      </c>
      <c r="CV36" s="324" t="b">
        <f t="shared" si="42"/>
        <v>1</v>
      </c>
      <c r="CW36" s="324" t="b">
        <f t="shared" si="43"/>
        <v>1</v>
      </c>
      <c r="CX36" s="324">
        <f t="shared" si="51"/>
        <v>1</v>
      </c>
    </row>
    <row r="37" spans="1:102" ht="59.25" customHeight="1" x14ac:dyDescent="0.25">
      <c r="B37" s="7">
        <f t="shared" si="44"/>
        <v>7</v>
      </c>
      <c r="C37" s="7"/>
      <c r="D37" s="7"/>
      <c r="E37" s="7"/>
      <c r="F37" s="495" t="s">
        <v>386</v>
      </c>
      <c r="G37" s="6">
        <v>1</v>
      </c>
      <c r="H37" s="6">
        <v>1</v>
      </c>
      <c r="I37" s="6">
        <v>1</v>
      </c>
      <c r="J37" s="6">
        <v>1</v>
      </c>
      <c r="K37" s="6">
        <v>1</v>
      </c>
      <c r="L37" s="6">
        <v>1</v>
      </c>
      <c r="M37" s="6">
        <v>1</v>
      </c>
      <c r="N37" s="6">
        <v>1</v>
      </c>
      <c r="O37" s="6">
        <v>17</v>
      </c>
      <c r="P37" s="6">
        <v>16</v>
      </c>
      <c r="Q37" s="7">
        <f t="shared" si="45"/>
        <v>1</v>
      </c>
      <c r="R37" s="6">
        <v>1</v>
      </c>
      <c r="S37" s="6">
        <v>1</v>
      </c>
      <c r="T37" s="6">
        <v>1</v>
      </c>
      <c r="U37" s="6">
        <v>1</v>
      </c>
      <c r="V37" s="6"/>
      <c r="W37" s="6"/>
      <c r="X37" s="6"/>
      <c r="Y37" s="6"/>
      <c r="Z37" s="450">
        <v>29</v>
      </c>
      <c r="AA37" s="6">
        <v>395082</v>
      </c>
      <c r="AB37" s="7">
        <f t="shared" si="46"/>
        <v>1</v>
      </c>
      <c r="AC37" s="7">
        <f t="shared" si="47"/>
        <v>1</v>
      </c>
      <c r="AD37" s="7">
        <f>IF(G37="","",IF(AND(Z37&gt;='פרמטרים לקריטריונים'!$D$19,AA37&gt;='פרמטרים לקריטריונים'!$C$19),1,0))</f>
        <v>1</v>
      </c>
      <c r="AE37" s="7" cm="1">
        <f t="array" ref="AE37">IF($F37="","",IF(OR(SUMPRODUCT(--(Z37:AA37&gt;=$Z$5:$AA$5))=COUNTA($Z$29:$AA$29),OR(AND(X37=1,OR(AB37=1,AC37=1)),AND(Y37=1,AD37=1))),1,0))</f>
        <v>1</v>
      </c>
      <c r="AF37" s="6"/>
      <c r="AG37" s="6">
        <v>1</v>
      </c>
      <c r="AH37" s="6">
        <v>1</v>
      </c>
      <c r="AI37" s="6">
        <v>1</v>
      </c>
      <c r="AJ37" s="7">
        <f t="shared" si="4"/>
        <v>1</v>
      </c>
      <c r="AK37" s="7"/>
      <c r="AL37" s="7"/>
      <c r="AM37" s="7"/>
      <c r="AN37" s="7"/>
      <c r="AO37" s="229">
        <f t="shared" si="5"/>
        <v>1</v>
      </c>
      <c r="AP37" s="357" t="s">
        <v>166</v>
      </c>
      <c r="AQ37" s="193">
        <f t="shared" si="6"/>
        <v>1</v>
      </c>
      <c r="AR37" s="193">
        <f t="shared" si="48"/>
        <v>0</v>
      </c>
      <c r="AS37" s="193">
        <f t="shared" si="48"/>
        <v>1</v>
      </c>
      <c r="AT37" s="192">
        <f t="shared" si="49"/>
        <v>1</v>
      </c>
      <c r="AU37" s="192">
        <f t="shared" si="7"/>
        <v>1</v>
      </c>
      <c r="AV37" s="192">
        <f t="shared" si="8"/>
        <v>1</v>
      </c>
      <c r="AW37" s="192">
        <f t="shared" si="9"/>
        <v>1</v>
      </c>
      <c r="AX37" s="192">
        <f t="shared" si="10"/>
        <v>1</v>
      </c>
      <c r="AY37" s="192">
        <f t="shared" si="11"/>
        <v>1</v>
      </c>
      <c r="AZ37" s="192">
        <f t="shared" si="12"/>
        <v>1</v>
      </c>
      <c r="BA37" s="192">
        <f t="shared" si="13"/>
        <v>1</v>
      </c>
      <c r="BB37" s="192">
        <f t="shared" si="14"/>
        <v>1</v>
      </c>
      <c r="BC37" s="192">
        <f t="shared" si="15"/>
        <v>1</v>
      </c>
      <c r="BD37" s="192">
        <f t="shared" si="16"/>
        <v>1</v>
      </c>
      <c r="BE37" s="192">
        <f t="shared" si="17"/>
        <v>1</v>
      </c>
      <c r="BF37" s="192">
        <f t="shared" si="18"/>
        <v>1</v>
      </c>
      <c r="BG37" s="192">
        <f t="shared" si="19"/>
        <v>1</v>
      </c>
      <c r="BH37" s="192">
        <f t="shared" si="20"/>
        <v>1</v>
      </c>
      <c r="BI37" s="192">
        <f t="shared" si="21"/>
        <v>1</v>
      </c>
      <c r="BJ37" s="192">
        <f t="shared" si="22"/>
        <v>1</v>
      </c>
      <c r="BK37" s="192">
        <f t="shared" si="23"/>
        <v>1</v>
      </c>
      <c r="BL37" s="192">
        <f t="shared" si="24"/>
        <v>1</v>
      </c>
      <c r="BM37" s="192">
        <f t="shared" si="25"/>
        <v>1</v>
      </c>
      <c r="BN37" s="192">
        <f t="shared" si="26"/>
        <v>1</v>
      </c>
      <c r="BO37" s="192">
        <f t="shared" si="27"/>
        <v>1</v>
      </c>
      <c r="BP37" s="192">
        <f t="shared" si="28"/>
        <v>1</v>
      </c>
      <c r="BQ37" s="192">
        <f t="shared" si="29"/>
        <v>1</v>
      </c>
      <c r="BR37" s="192">
        <f t="shared" si="30"/>
        <v>1</v>
      </c>
      <c r="BS37" s="192">
        <f t="shared" si="31"/>
        <v>1</v>
      </c>
      <c r="BT37" s="192">
        <f t="shared" si="32"/>
        <v>1</v>
      </c>
      <c r="BU37" s="192">
        <f t="shared" si="32"/>
        <v>1</v>
      </c>
      <c r="BV37" s="192">
        <f t="shared" si="33"/>
        <v>1</v>
      </c>
      <c r="BW37" s="192">
        <f t="shared" si="34"/>
        <v>1</v>
      </c>
      <c r="BX37" s="192">
        <f t="shared" si="35"/>
        <v>1</v>
      </c>
      <c r="BY37" s="192">
        <f t="shared" si="36"/>
        <v>1</v>
      </c>
      <c r="BZ37" s="192">
        <f t="shared" si="37"/>
        <v>1</v>
      </c>
      <c r="CA37" s="192">
        <f t="shared" si="38"/>
        <v>1</v>
      </c>
      <c r="CB37" s="192">
        <f t="shared" si="39"/>
        <v>1</v>
      </c>
      <c r="CS37" s="324" t="b">
        <f t="shared" si="50"/>
        <v>1</v>
      </c>
      <c r="CT37" s="324" t="b">
        <f t="shared" si="40"/>
        <v>1</v>
      </c>
      <c r="CU37" s="324" t="b">
        <f t="shared" si="41"/>
        <v>1</v>
      </c>
      <c r="CV37" s="324" t="b">
        <f t="shared" si="42"/>
        <v>1</v>
      </c>
      <c r="CW37" s="324" t="b">
        <f t="shared" si="43"/>
        <v>1</v>
      </c>
      <c r="CX37" s="324">
        <f t="shared" si="51"/>
        <v>1</v>
      </c>
    </row>
    <row r="38" spans="1:102" ht="49.5" customHeight="1" x14ac:dyDescent="0.25">
      <c r="B38" s="7">
        <f t="shared" si="44"/>
        <v>8</v>
      </c>
      <c r="C38" s="7"/>
      <c r="D38" s="7"/>
      <c r="E38" s="7"/>
      <c r="F38" s="495" t="s">
        <v>387</v>
      </c>
      <c r="G38" s="6">
        <v>1</v>
      </c>
      <c r="H38" s="6">
        <v>1</v>
      </c>
      <c r="I38" s="6">
        <v>1</v>
      </c>
      <c r="J38" s="6">
        <v>1</v>
      </c>
      <c r="K38" s="6">
        <v>1</v>
      </c>
      <c r="L38" s="6">
        <v>1</v>
      </c>
      <c r="M38" s="6">
        <v>1</v>
      </c>
      <c r="N38" s="6">
        <v>1</v>
      </c>
      <c r="O38" s="6">
        <v>11</v>
      </c>
      <c r="P38" s="6">
        <v>11</v>
      </c>
      <c r="Q38" s="7">
        <f t="shared" si="45"/>
        <v>1</v>
      </c>
      <c r="R38" s="6">
        <v>1</v>
      </c>
      <c r="S38" s="6">
        <v>1</v>
      </c>
      <c r="T38" s="6">
        <v>1</v>
      </c>
      <c r="U38" s="6">
        <v>1</v>
      </c>
      <c r="V38" s="6"/>
      <c r="W38" s="6"/>
      <c r="X38" s="6">
        <v>1</v>
      </c>
      <c r="Y38" s="6"/>
      <c r="Z38" s="450">
        <v>13</v>
      </c>
      <c r="AA38" s="6">
        <v>44838</v>
      </c>
      <c r="AB38" s="7">
        <f t="shared" si="46"/>
        <v>1</v>
      </c>
      <c r="AC38" s="7">
        <f t="shared" si="47"/>
        <v>1</v>
      </c>
      <c r="AD38" s="7">
        <f>IF(G38="","",IF(AND(Z38&gt;='פרמטרים לקריטריונים'!$D$19,AA38&gt;='פרמטרים לקריטריונים'!$C$19),1,0))</f>
        <v>1</v>
      </c>
      <c r="AE38" s="7" cm="1">
        <f t="array" ref="AE38">IF($F38="","",IF(OR(SUMPRODUCT(--(Z38:AA38&gt;=$Z$5:$AA$5))=COUNTA($Z$29:$AA$29),OR(AND(X38=1,OR(AB38=1,AC38=1)),AND(Y38=1,AD38=1))),1,0))</f>
        <v>1</v>
      </c>
      <c r="AF38" s="6"/>
      <c r="AG38" s="6">
        <v>1</v>
      </c>
      <c r="AH38" s="6">
        <v>1</v>
      </c>
      <c r="AI38" s="6">
        <v>1</v>
      </c>
      <c r="AJ38" s="7">
        <f t="shared" si="4"/>
        <v>1</v>
      </c>
      <c r="AK38" s="7"/>
      <c r="AL38" s="7"/>
      <c r="AM38" s="7"/>
      <c r="AN38" s="7"/>
      <c r="AO38" s="229">
        <f t="shared" si="5"/>
        <v>1</v>
      </c>
      <c r="AP38" s="357" t="s">
        <v>1080</v>
      </c>
      <c r="AQ38" s="193">
        <f t="shared" si="6"/>
        <v>1</v>
      </c>
      <c r="AR38" s="193">
        <f t="shared" si="48"/>
        <v>0</v>
      </c>
      <c r="AS38" s="193">
        <f t="shared" si="48"/>
        <v>1</v>
      </c>
      <c r="AT38" s="192">
        <f t="shared" si="49"/>
        <v>1</v>
      </c>
      <c r="AU38" s="192">
        <f t="shared" si="7"/>
        <v>1</v>
      </c>
      <c r="AV38" s="192">
        <f t="shared" si="8"/>
        <v>1</v>
      </c>
      <c r="AW38" s="192">
        <f t="shared" si="9"/>
        <v>1</v>
      </c>
      <c r="AX38" s="192">
        <f t="shared" si="10"/>
        <v>1</v>
      </c>
      <c r="AY38" s="192">
        <f t="shared" si="11"/>
        <v>1</v>
      </c>
      <c r="AZ38" s="192">
        <f t="shared" si="12"/>
        <v>1</v>
      </c>
      <c r="BA38" s="192">
        <f t="shared" si="13"/>
        <v>1</v>
      </c>
      <c r="BB38" s="192">
        <f t="shared" si="14"/>
        <v>1</v>
      </c>
      <c r="BC38" s="192">
        <f t="shared" si="15"/>
        <v>1</v>
      </c>
      <c r="BD38" s="192">
        <f t="shared" si="16"/>
        <v>1</v>
      </c>
      <c r="BE38" s="192">
        <f t="shared" si="17"/>
        <v>1</v>
      </c>
      <c r="BF38" s="192">
        <f t="shared" si="18"/>
        <v>1</v>
      </c>
      <c r="BG38" s="192">
        <f t="shared" si="19"/>
        <v>1</v>
      </c>
      <c r="BH38" s="192">
        <f t="shared" si="20"/>
        <v>1</v>
      </c>
      <c r="BI38" s="192">
        <f t="shared" si="21"/>
        <v>1</v>
      </c>
      <c r="BJ38" s="192">
        <f t="shared" si="22"/>
        <v>1</v>
      </c>
      <c r="BK38" s="192">
        <f t="shared" si="23"/>
        <v>1</v>
      </c>
      <c r="BL38" s="192">
        <f t="shared" si="24"/>
        <v>1</v>
      </c>
      <c r="BM38" s="192">
        <f t="shared" si="25"/>
        <v>1</v>
      </c>
      <c r="BN38" s="192">
        <f t="shared" si="26"/>
        <v>1</v>
      </c>
      <c r="BO38" s="192">
        <f t="shared" si="27"/>
        <v>1</v>
      </c>
      <c r="BP38" s="192">
        <f t="shared" si="28"/>
        <v>1</v>
      </c>
      <c r="BQ38" s="192">
        <f t="shared" si="29"/>
        <v>1</v>
      </c>
      <c r="BR38" s="192">
        <f t="shared" si="30"/>
        <v>1</v>
      </c>
      <c r="BS38" s="192">
        <f t="shared" si="31"/>
        <v>1</v>
      </c>
      <c r="BT38" s="192">
        <f t="shared" si="32"/>
        <v>1</v>
      </c>
      <c r="BU38" s="192">
        <f t="shared" si="32"/>
        <v>1</v>
      </c>
      <c r="BV38" s="192">
        <f t="shared" si="33"/>
        <v>1</v>
      </c>
      <c r="BW38" s="192">
        <f t="shared" si="34"/>
        <v>1</v>
      </c>
      <c r="BX38" s="192">
        <f t="shared" si="35"/>
        <v>1</v>
      </c>
      <c r="BY38" s="192">
        <f t="shared" si="36"/>
        <v>1</v>
      </c>
      <c r="BZ38" s="192">
        <f t="shared" si="37"/>
        <v>1</v>
      </c>
      <c r="CA38" s="192">
        <f t="shared" si="38"/>
        <v>1</v>
      </c>
      <c r="CB38" s="192">
        <f t="shared" si="39"/>
        <v>1</v>
      </c>
      <c r="CS38" s="324" t="b">
        <f t="shared" si="50"/>
        <v>1</v>
      </c>
      <c r="CT38" s="324" t="b">
        <f t="shared" si="40"/>
        <v>1</v>
      </c>
      <c r="CU38" s="324" t="b">
        <f t="shared" si="41"/>
        <v>1</v>
      </c>
      <c r="CV38" s="324" t="b">
        <f t="shared" si="42"/>
        <v>1</v>
      </c>
      <c r="CW38" s="324" t="b">
        <f t="shared" si="43"/>
        <v>1</v>
      </c>
      <c r="CX38" s="324">
        <f t="shared" si="51"/>
        <v>1</v>
      </c>
    </row>
    <row r="39" spans="1:102" ht="18.75" customHeight="1" x14ac:dyDescent="0.25">
      <c r="B39" s="7" t="str">
        <f t="shared" si="44"/>
        <v/>
      </c>
      <c r="C39" s="7"/>
      <c r="D39" s="7"/>
      <c r="E39" s="7"/>
      <c r="F39" s="495"/>
      <c r="G39" s="6"/>
      <c r="H39" s="6"/>
      <c r="I39" s="6"/>
      <c r="J39" s="6"/>
      <c r="K39" s="6"/>
      <c r="L39" s="6"/>
      <c r="M39" s="6"/>
      <c r="N39" s="6"/>
      <c r="O39" s="6"/>
      <c r="P39" s="6"/>
      <c r="Q39" s="7" t="str">
        <f t="shared" si="45"/>
        <v/>
      </c>
      <c r="R39" s="6"/>
      <c r="S39" s="6"/>
      <c r="T39" s="6"/>
      <c r="U39" s="6"/>
      <c r="V39" s="6"/>
      <c r="W39" s="6"/>
      <c r="X39" s="6"/>
      <c r="Y39" s="6"/>
      <c r="Z39" s="450"/>
      <c r="AA39" s="6"/>
      <c r="AB39" s="7" t="str">
        <f t="shared" si="46"/>
        <v/>
      </c>
      <c r="AC39" s="7" t="str">
        <f t="shared" si="47"/>
        <v/>
      </c>
      <c r="AD39" s="7" t="str">
        <f>IF(G39="","",IF(AND(Z39&gt;='פרמטרים לקריטריונים'!$D$19,AA39&gt;='פרמטרים לקריטריונים'!$C$19),1,0))</f>
        <v/>
      </c>
      <c r="AE39" s="7" t="str" cm="1">
        <f t="array" ref="AE39">IF($F39="","",IF(OR(SUMPRODUCT(--(Z39:AA39&gt;=$Z$5:$AA$5))=COUNTA($Z$29:$AA$29),OR(AND(X39=1,OR(AB39=1,AC39=1)),AND(Y39=1,AD39=1))),1,0))</f>
        <v/>
      </c>
      <c r="AF39" s="6"/>
      <c r="AG39" s="6"/>
      <c r="AH39" s="6"/>
      <c r="AI39" s="6"/>
      <c r="AJ39" s="7" t="str">
        <f t="shared" si="4"/>
        <v/>
      </c>
      <c r="AK39" s="7"/>
      <c r="AL39" s="7"/>
      <c r="AM39" s="7"/>
      <c r="AN39" s="7"/>
      <c r="AO39" s="229" t="str">
        <f t="shared" si="5"/>
        <v/>
      </c>
      <c r="AP39" s="357"/>
      <c r="AQ39" s="193">
        <f t="shared" si="6"/>
        <v>0</v>
      </c>
      <c r="AR39" s="193" t="str">
        <f t="shared" si="48"/>
        <v/>
      </c>
      <c r="AS39" s="193" t="str">
        <f t="shared" si="48"/>
        <v/>
      </c>
      <c r="AT39" s="192">
        <f t="shared" si="49"/>
        <v>0</v>
      </c>
      <c r="AU39" s="192">
        <f t="shared" si="7"/>
        <v>0</v>
      </c>
      <c r="AV39" s="192">
        <f t="shared" si="8"/>
        <v>0</v>
      </c>
      <c r="AW39" s="192">
        <f t="shared" si="9"/>
        <v>0</v>
      </c>
      <c r="AX39" s="192">
        <f t="shared" si="10"/>
        <v>0</v>
      </c>
      <c r="AY39" s="192">
        <f t="shared" si="11"/>
        <v>0</v>
      </c>
      <c r="AZ39" s="192">
        <f t="shared" si="12"/>
        <v>0</v>
      </c>
      <c r="BA39" s="192">
        <f t="shared" si="13"/>
        <v>0</v>
      </c>
      <c r="BB39" s="192">
        <f t="shared" si="14"/>
        <v>0</v>
      </c>
      <c r="BC39" s="192">
        <f t="shared" si="15"/>
        <v>0</v>
      </c>
      <c r="BD39" s="192">
        <f t="shared" si="16"/>
        <v>1</v>
      </c>
      <c r="BE39" s="192">
        <f t="shared" si="17"/>
        <v>0</v>
      </c>
      <c r="BF39" s="192">
        <f t="shared" si="18"/>
        <v>0</v>
      </c>
      <c r="BG39" s="192">
        <f t="shared" si="19"/>
        <v>0</v>
      </c>
      <c r="BH39" s="192">
        <f t="shared" si="20"/>
        <v>0</v>
      </c>
      <c r="BI39" s="192">
        <f t="shared" si="21"/>
        <v>1</v>
      </c>
      <c r="BJ39" s="192">
        <f t="shared" si="22"/>
        <v>1</v>
      </c>
      <c r="BK39" s="192">
        <f t="shared" si="23"/>
        <v>1</v>
      </c>
      <c r="BL39" s="192">
        <f t="shared" si="24"/>
        <v>1</v>
      </c>
      <c r="BM39" s="192">
        <f t="shared" si="25"/>
        <v>0</v>
      </c>
      <c r="BN39" s="192">
        <f t="shared" si="26"/>
        <v>0</v>
      </c>
      <c r="BO39" s="192">
        <f t="shared" si="27"/>
        <v>1</v>
      </c>
      <c r="BP39" s="192">
        <f t="shared" si="28"/>
        <v>1</v>
      </c>
      <c r="BQ39" s="192">
        <f t="shared" si="29"/>
        <v>1</v>
      </c>
      <c r="BR39" s="192">
        <f t="shared" si="30"/>
        <v>1</v>
      </c>
      <c r="BS39" s="192">
        <f t="shared" si="31"/>
        <v>1</v>
      </c>
      <c r="BT39" s="192">
        <f t="shared" si="32"/>
        <v>0</v>
      </c>
      <c r="BU39" s="192">
        <f t="shared" si="32"/>
        <v>0</v>
      </c>
      <c r="BV39" s="192">
        <f t="shared" si="33"/>
        <v>0</v>
      </c>
      <c r="BW39" s="192">
        <f t="shared" si="34"/>
        <v>1</v>
      </c>
      <c r="BX39" s="192">
        <f t="shared" si="35"/>
        <v>1</v>
      </c>
      <c r="BY39" s="192">
        <f t="shared" si="36"/>
        <v>1</v>
      </c>
      <c r="BZ39" s="192">
        <f t="shared" si="37"/>
        <v>1</v>
      </c>
      <c r="CA39" s="192">
        <f t="shared" si="38"/>
        <v>1</v>
      </c>
      <c r="CB39" s="192">
        <f t="shared" si="39"/>
        <v>1</v>
      </c>
      <c r="CS39" s="324" t="b">
        <f t="shared" si="50"/>
        <v>0</v>
      </c>
      <c r="CT39" s="324" t="b">
        <f t="shared" si="40"/>
        <v>0</v>
      </c>
      <c r="CU39" s="324" t="b">
        <f t="shared" si="41"/>
        <v>1</v>
      </c>
      <c r="CV39" s="324" t="b">
        <f t="shared" si="42"/>
        <v>1</v>
      </c>
      <c r="CW39" s="324" t="b">
        <f t="shared" si="43"/>
        <v>1</v>
      </c>
      <c r="CX39" s="324" t="str">
        <f t="shared" si="51"/>
        <v/>
      </c>
    </row>
    <row r="40" spans="1:102" ht="36.75" customHeight="1" x14ac:dyDescent="0.25">
      <c r="B40" s="7">
        <f t="shared" si="44"/>
        <v>10</v>
      </c>
      <c r="C40" s="7"/>
      <c r="D40" s="7"/>
      <c r="E40" s="7"/>
      <c r="F40" s="495" t="s">
        <v>169</v>
      </c>
      <c r="G40" s="6">
        <v>1</v>
      </c>
      <c r="H40" s="6">
        <v>1</v>
      </c>
      <c r="I40" s="6">
        <v>1</v>
      </c>
      <c r="J40" s="6">
        <v>1</v>
      </c>
      <c r="K40" s="6">
        <v>1</v>
      </c>
      <c r="L40" s="6">
        <v>1</v>
      </c>
      <c r="M40" s="6">
        <v>1</v>
      </c>
      <c r="N40" s="6">
        <v>1</v>
      </c>
      <c r="O40" s="6">
        <v>23</v>
      </c>
      <c r="P40" s="6">
        <v>19</v>
      </c>
      <c r="Q40" s="7">
        <f t="shared" si="45"/>
        <v>1</v>
      </c>
      <c r="R40" s="6">
        <v>1</v>
      </c>
      <c r="S40" s="6">
        <v>1</v>
      </c>
      <c r="T40" s="6">
        <v>1</v>
      </c>
      <c r="U40" s="6">
        <v>1</v>
      </c>
      <c r="V40" s="6"/>
      <c r="W40" s="6"/>
      <c r="X40" s="6">
        <v>1</v>
      </c>
      <c r="Y40" s="6"/>
      <c r="Z40" s="450">
        <v>7</v>
      </c>
      <c r="AA40" s="6">
        <v>147011</v>
      </c>
      <c r="AB40" s="7">
        <f t="shared" si="46"/>
        <v>1</v>
      </c>
      <c r="AC40" s="7">
        <f t="shared" si="47"/>
        <v>1</v>
      </c>
      <c r="AD40" s="7">
        <f>IF(G40="","",IF(AND(Z40&gt;='פרמטרים לקריטריונים'!$D$19,AA40&gt;='פרמטרים לקריטריונים'!$C$19),1,0))</f>
        <v>1</v>
      </c>
      <c r="AE40" s="7" cm="1">
        <f t="array" ref="AE40">IF($F40="","",IF(OR(SUMPRODUCT(--(Z40:AA40&gt;=$Z$5:$AA$5))=COUNTA($Z$29:$AA$29),OR(AND(X40=1,OR(AB40=1,AC40=1)),AND(Y40=1,AD40=1))),1,0))</f>
        <v>1</v>
      </c>
      <c r="AF40" s="6"/>
      <c r="AG40" s="6">
        <v>1</v>
      </c>
      <c r="AH40" s="6">
        <v>1</v>
      </c>
      <c r="AI40" s="6">
        <v>1</v>
      </c>
      <c r="AJ40" s="7">
        <f t="shared" si="4"/>
        <v>1</v>
      </c>
      <c r="AK40" s="7"/>
      <c r="AL40" s="7"/>
      <c r="AM40" s="7"/>
      <c r="AN40" s="7"/>
      <c r="AO40" s="229">
        <f t="shared" si="5"/>
        <v>1</v>
      </c>
      <c r="AP40" s="357" t="s">
        <v>1085</v>
      </c>
      <c r="AQ40" s="193">
        <f t="shared" si="6"/>
        <v>1</v>
      </c>
      <c r="AR40" s="193">
        <f t="shared" si="48"/>
        <v>0</v>
      </c>
      <c r="AS40" s="193">
        <f t="shared" si="48"/>
        <v>1</v>
      </c>
      <c r="AT40" s="192">
        <f t="shared" si="49"/>
        <v>1</v>
      </c>
      <c r="AU40" s="192">
        <f t="shared" si="7"/>
        <v>1</v>
      </c>
      <c r="AV40" s="192">
        <f t="shared" si="8"/>
        <v>1</v>
      </c>
      <c r="AW40" s="192">
        <f t="shared" si="9"/>
        <v>1</v>
      </c>
      <c r="AX40" s="192">
        <f t="shared" si="10"/>
        <v>1</v>
      </c>
      <c r="AY40" s="192">
        <f t="shared" si="11"/>
        <v>1</v>
      </c>
      <c r="AZ40" s="192">
        <f t="shared" si="12"/>
        <v>1</v>
      </c>
      <c r="BA40" s="192">
        <f t="shared" si="13"/>
        <v>1</v>
      </c>
      <c r="BB40" s="192">
        <f t="shared" si="14"/>
        <v>1</v>
      </c>
      <c r="BC40" s="192">
        <f t="shared" si="15"/>
        <v>1</v>
      </c>
      <c r="BD40" s="192">
        <f t="shared" si="16"/>
        <v>1</v>
      </c>
      <c r="BE40" s="192">
        <f t="shared" si="17"/>
        <v>1</v>
      </c>
      <c r="BF40" s="192">
        <f t="shared" si="18"/>
        <v>1</v>
      </c>
      <c r="BG40" s="192">
        <f t="shared" si="19"/>
        <v>1</v>
      </c>
      <c r="BH40" s="192">
        <f t="shared" si="20"/>
        <v>1</v>
      </c>
      <c r="BI40" s="192">
        <f t="shared" si="21"/>
        <v>1</v>
      </c>
      <c r="BJ40" s="192">
        <f t="shared" si="22"/>
        <v>1</v>
      </c>
      <c r="BK40" s="192">
        <f t="shared" si="23"/>
        <v>1</v>
      </c>
      <c r="BL40" s="192">
        <f t="shared" si="24"/>
        <v>1</v>
      </c>
      <c r="BM40" s="192">
        <f t="shared" si="25"/>
        <v>1</v>
      </c>
      <c r="BN40" s="192">
        <f t="shared" si="26"/>
        <v>1</v>
      </c>
      <c r="BO40" s="192">
        <f t="shared" si="27"/>
        <v>1</v>
      </c>
      <c r="BP40" s="192">
        <f t="shared" si="28"/>
        <v>1</v>
      </c>
      <c r="BQ40" s="192">
        <f t="shared" si="29"/>
        <v>1</v>
      </c>
      <c r="BR40" s="192">
        <f t="shared" si="30"/>
        <v>1</v>
      </c>
      <c r="BS40" s="192">
        <f t="shared" si="31"/>
        <v>1</v>
      </c>
      <c r="BT40" s="192">
        <f t="shared" si="32"/>
        <v>1</v>
      </c>
      <c r="BU40" s="192">
        <f t="shared" si="32"/>
        <v>1</v>
      </c>
      <c r="BV40" s="192">
        <f t="shared" si="33"/>
        <v>1</v>
      </c>
      <c r="BW40" s="192">
        <f t="shared" si="34"/>
        <v>1</v>
      </c>
      <c r="BX40" s="192">
        <f t="shared" si="35"/>
        <v>1</v>
      </c>
      <c r="BY40" s="192">
        <f t="shared" si="36"/>
        <v>1</v>
      </c>
      <c r="BZ40" s="192">
        <f t="shared" si="37"/>
        <v>1</v>
      </c>
      <c r="CA40" s="192">
        <f t="shared" si="38"/>
        <v>1</v>
      </c>
      <c r="CB40" s="192">
        <f t="shared" si="39"/>
        <v>1</v>
      </c>
      <c r="CS40" s="324" t="b">
        <f t="shared" si="50"/>
        <v>1</v>
      </c>
      <c r="CT40" s="324" t="b">
        <f t="shared" si="40"/>
        <v>1</v>
      </c>
      <c r="CU40" s="324" t="b">
        <f t="shared" si="41"/>
        <v>1</v>
      </c>
      <c r="CV40" s="324" t="b">
        <f t="shared" si="42"/>
        <v>1</v>
      </c>
      <c r="CW40" s="324" t="b">
        <f t="shared" si="43"/>
        <v>1</v>
      </c>
      <c r="CX40" s="324">
        <f t="shared" si="51"/>
        <v>1</v>
      </c>
    </row>
    <row r="41" spans="1:102" ht="36.75" customHeight="1" x14ac:dyDescent="0.25">
      <c r="A41" s="193">
        <f>ROW()-30</f>
        <v>11</v>
      </c>
      <c r="B41" s="7">
        <f t="shared" si="44"/>
        <v>11</v>
      </c>
      <c r="C41" s="7"/>
      <c r="D41" s="7"/>
      <c r="E41" s="7"/>
      <c r="F41" s="495" t="s">
        <v>170</v>
      </c>
      <c r="G41" s="6">
        <v>1</v>
      </c>
      <c r="H41" s="6">
        <v>1</v>
      </c>
      <c r="I41" s="6">
        <v>1</v>
      </c>
      <c r="J41" s="6">
        <v>1</v>
      </c>
      <c r="K41" s="6">
        <v>1</v>
      </c>
      <c r="L41" s="6">
        <v>1</v>
      </c>
      <c r="M41" s="6">
        <v>1</v>
      </c>
      <c r="N41" s="6">
        <v>1</v>
      </c>
      <c r="O41" s="6">
        <v>10</v>
      </c>
      <c r="P41" s="6">
        <v>8</v>
      </c>
      <c r="Q41" s="7">
        <f t="shared" si="45"/>
        <v>1</v>
      </c>
      <c r="R41" s="6">
        <v>1</v>
      </c>
      <c r="S41" s="6">
        <v>1</v>
      </c>
      <c r="T41" s="6">
        <v>1</v>
      </c>
      <c r="U41" s="6">
        <v>1</v>
      </c>
      <c r="V41" s="6"/>
      <c r="W41" s="6"/>
      <c r="X41" s="6"/>
      <c r="Y41" s="6"/>
      <c r="Z41" s="450">
        <v>43</v>
      </c>
      <c r="AA41" s="6">
        <v>393861</v>
      </c>
      <c r="AB41" s="7">
        <f t="shared" si="46"/>
        <v>1</v>
      </c>
      <c r="AC41" s="7">
        <f t="shared" si="47"/>
        <v>1</v>
      </c>
      <c r="AD41" s="7">
        <f>IF(G41="","",IF(AND(Z41&gt;='פרמטרים לקריטריונים'!$D$19,AA41&gt;='פרמטרים לקריטריונים'!$C$19),1,0))</f>
        <v>1</v>
      </c>
      <c r="AE41" s="7" cm="1">
        <f t="array" ref="AE41">IF($F41="","",IF(OR(SUMPRODUCT(--(Z41:AA41&gt;=$Z$5:$AA$5))=COUNTA($Z$29:$AA$29),OR(AND(X41=1,OR(AB41=1,AC41=1)),AND(Y41=1,AD41=1))),1,0))</f>
        <v>1</v>
      </c>
      <c r="AF41" s="6"/>
      <c r="AG41" s="6">
        <v>1</v>
      </c>
      <c r="AH41" s="6">
        <v>1</v>
      </c>
      <c r="AI41" s="6">
        <v>1</v>
      </c>
      <c r="AJ41" s="7">
        <f t="shared" si="4"/>
        <v>1</v>
      </c>
      <c r="AK41" s="7"/>
      <c r="AL41" s="7"/>
      <c r="AM41" s="7"/>
      <c r="AN41" s="7"/>
      <c r="AO41" s="229">
        <f t="shared" si="5"/>
        <v>1</v>
      </c>
      <c r="AP41" s="357" t="s">
        <v>166</v>
      </c>
      <c r="AQ41" s="193">
        <f t="shared" si="6"/>
        <v>1</v>
      </c>
      <c r="AR41" s="193">
        <f t="shared" si="48"/>
        <v>0</v>
      </c>
      <c r="AS41" s="193">
        <f t="shared" si="48"/>
        <v>1</v>
      </c>
      <c r="AT41" s="192">
        <f t="shared" si="49"/>
        <v>1</v>
      </c>
      <c r="AU41" s="192">
        <f t="shared" si="7"/>
        <v>1</v>
      </c>
      <c r="AV41" s="192">
        <f t="shared" si="8"/>
        <v>1</v>
      </c>
      <c r="AW41" s="192">
        <f t="shared" si="9"/>
        <v>1</v>
      </c>
      <c r="AX41" s="192">
        <f t="shared" si="10"/>
        <v>1</v>
      </c>
      <c r="AY41" s="192">
        <f t="shared" si="11"/>
        <v>1</v>
      </c>
      <c r="AZ41" s="192">
        <f t="shared" si="12"/>
        <v>1</v>
      </c>
      <c r="BA41" s="192">
        <f t="shared" si="13"/>
        <v>1</v>
      </c>
      <c r="BB41" s="192">
        <f t="shared" si="14"/>
        <v>1</v>
      </c>
      <c r="BC41" s="192">
        <f t="shared" si="15"/>
        <v>1</v>
      </c>
      <c r="BD41" s="192">
        <f t="shared" si="16"/>
        <v>1</v>
      </c>
      <c r="BE41" s="192">
        <f t="shared" si="17"/>
        <v>1</v>
      </c>
      <c r="BF41" s="192">
        <f t="shared" si="18"/>
        <v>1</v>
      </c>
      <c r="BG41" s="192">
        <f t="shared" si="19"/>
        <v>1</v>
      </c>
      <c r="BH41" s="192">
        <f t="shared" si="20"/>
        <v>1</v>
      </c>
      <c r="BI41" s="192">
        <f t="shared" si="21"/>
        <v>1</v>
      </c>
      <c r="BJ41" s="192">
        <f t="shared" si="22"/>
        <v>1</v>
      </c>
      <c r="BK41" s="192">
        <f t="shared" si="23"/>
        <v>1</v>
      </c>
      <c r="BL41" s="192">
        <f t="shared" si="24"/>
        <v>1</v>
      </c>
      <c r="BM41" s="192">
        <f t="shared" si="25"/>
        <v>1</v>
      </c>
      <c r="BN41" s="192">
        <f t="shared" si="26"/>
        <v>1</v>
      </c>
      <c r="BO41" s="192">
        <f t="shared" si="27"/>
        <v>1</v>
      </c>
      <c r="BP41" s="192">
        <f t="shared" si="28"/>
        <v>1</v>
      </c>
      <c r="BQ41" s="192">
        <f t="shared" si="29"/>
        <v>1</v>
      </c>
      <c r="BR41" s="192">
        <f t="shared" si="30"/>
        <v>1</v>
      </c>
      <c r="BS41" s="192">
        <f t="shared" si="31"/>
        <v>1</v>
      </c>
      <c r="BT41" s="192">
        <f t="shared" si="32"/>
        <v>1</v>
      </c>
      <c r="BU41" s="192">
        <f t="shared" si="32"/>
        <v>1</v>
      </c>
      <c r="BV41" s="192">
        <f t="shared" si="33"/>
        <v>1</v>
      </c>
      <c r="BW41" s="192">
        <f t="shared" si="34"/>
        <v>1</v>
      </c>
      <c r="BX41" s="192">
        <f t="shared" si="35"/>
        <v>1</v>
      </c>
      <c r="BY41" s="192">
        <f t="shared" si="36"/>
        <v>1</v>
      </c>
      <c r="BZ41" s="192">
        <f t="shared" si="37"/>
        <v>1</v>
      </c>
      <c r="CA41" s="192">
        <f t="shared" si="38"/>
        <v>1</v>
      </c>
      <c r="CB41" s="192">
        <f t="shared" si="39"/>
        <v>1</v>
      </c>
      <c r="CS41" s="324" t="b">
        <f t="shared" si="50"/>
        <v>1</v>
      </c>
      <c r="CT41" s="324" t="b">
        <f t="shared" si="40"/>
        <v>1</v>
      </c>
      <c r="CU41" s="324" t="b">
        <f t="shared" si="41"/>
        <v>1</v>
      </c>
      <c r="CV41" s="324" t="b">
        <f t="shared" si="42"/>
        <v>1</v>
      </c>
      <c r="CW41" s="324" t="b">
        <f t="shared" si="43"/>
        <v>1</v>
      </c>
      <c r="CX41" s="324">
        <f t="shared" si="51"/>
        <v>1</v>
      </c>
    </row>
    <row r="42" spans="1:102" ht="42.75" customHeight="1" x14ac:dyDescent="0.25">
      <c r="B42" s="7">
        <f t="shared" si="44"/>
        <v>12</v>
      </c>
      <c r="C42" s="7"/>
      <c r="D42" s="7"/>
      <c r="E42" s="7"/>
      <c r="F42" s="496" t="s">
        <v>388</v>
      </c>
      <c r="G42" s="6">
        <v>1</v>
      </c>
      <c r="H42" s="6">
        <v>1</v>
      </c>
      <c r="I42" s="6">
        <v>1</v>
      </c>
      <c r="J42" s="6">
        <v>1</v>
      </c>
      <c r="K42" s="6">
        <v>1</v>
      </c>
      <c r="L42" s="6">
        <v>1</v>
      </c>
      <c r="M42" s="6">
        <v>1</v>
      </c>
      <c r="N42" s="6">
        <v>1</v>
      </c>
      <c r="O42" s="6">
        <v>11</v>
      </c>
      <c r="P42" s="6">
        <v>11</v>
      </c>
      <c r="Q42" s="7">
        <f t="shared" si="45"/>
        <v>1</v>
      </c>
      <c r="R42" s="6">
        <v>1</v>
      </c>
      <c r="S42" s="6">
        <v>1</v>
      </c>
      <c r="T42" s="6">
        <v>1</v>
      </c>
      <c r="U42" s="6">
        <v>1</v>
      </c>
      <c r="V42" s="6"/>
      <c r="W42" s="6"/>
      <c r="X42" s="6"/>
      <c r="Y42" s="6"/>
      <c r="Z42" s="450">
        <v>13</v>
      </c>
      <c r="AA42" s="6">
        <v>81986</v>
      </c>
      <c r="AB42" s="7">
        <f t="shared" si="46"/>
        <v>1</v>
      </c>
      <c r="AC42" s="7">
        <f t="shared" si="47"/>
        <v>1</v>
      </c>
      <c r="AD42" s="7">
        <f>IF(G42="","",IF(AND(Z42&gt;='פרמטרים לקריטריונים'!$D$19,AA42&gt;='פרמטרים לקריטריונים'!$C$19),1,0))</f>
        <v>1</v>
      </c>
      <c r="AE42" s="7" cm="1">
        <f t="array" ref="AE42">IF($F42="","",IF(OR(SUMPRODUCT(--(Z42:AA42&gt;=$Z$5:$AA$5))=COUNTA($Z$29:$AA$29),OR(AND(X42=1,OR(AB42=1,AC42=1)),AND(Y42=1,AD42=1))),1,0))</f>
        <v>1</v>
      </c>
      <c r="AF42" s="6"/>
      <c r="AG42" s="6">
        <v>1</v>
      </c>
      <c r="AH42" s="6">
        <v>1</v>
      </c>
      <c r="AI42" s="6">
        <v>1</v>
      </c>
      <c r="AJ42" s="7">
        <f t="shared" si="4"/>
        <v>1</v>
      </c>
      <c r="AK42" s="7"/>
      <c r="AL42" s="7"/>
      <c r="AM42" s="7"/>
      <c r="AN42" s="7"/>
      <c r="AO42" s="229">
        <f t="shared" si="5"/>
        <v>1</v>
      </c>
      <c r="AP42" s="357" t="s">
        <v>166</v>
      </c>
      <c r="AQ42" s="193">
        <f t="shared" si="6"/>
        <v>1</v>
      </c>
      <c r="AR42" s="193">
        <f t="shared" si="48"/>
        <v>0</v>
      </c>
      <c r="AS42" s="193">
        <f t="shared" si="48"/>
        <v>1</v>
      </c>
      <c r="AT42" s="192">
        <f t="shared" si="49"/>
        <v>1</v>
      </c>
      <c r="AU42" s="192">
        <f t="shared" si="7"/>
        <v>1</v>
      </c>
      <c r="AV42" s="192">
        <f t="shared" si="8"/>
        <v>1</v>
      </c>
      <c r="AW42" s="192">
        <f t="shared" si="9"/>
        <v>1</v>
      </c>
      <c r="AX42" s="192">
        <f t="shared" si="10"/>
        <v>1</v>
      </c>
      <c r="AY42" s="192">
        <f t="shared" si="11"/>
        <v>1</v>
      </c>
      <c r="AZ42" s="192">
        <f t="shared" si="12"/>
        <v>1</v>
      </c>
      <c r="BA42" s="192">
        <f t="shared" si="13"/>
        <v>1</v>
      </c>
      <c r="BB42" s="192">
        <f t="shared" si="14"/>
        <v>1</v>
      </c>
      <c r="BC42" s="192">
        <f t="shared" si="15"/>
        <v>1</v>
      </c>
      <c r="BD42" s="192">
        <f t="shared" si="16"/>
        <v>1</v>
      </c>
      <c r="BE42" s="192">
        <f t="shared" si="17"/>
        <v>1</v>
      </c>
      <c r="BF42" s="192">
        <f t="shared" si="18"/>
        <v>1</v>
      </c>
      <c r="BG42" s="192">
        <f t="shared" si="19"/>
        <v>1</v>
      </c>
      <c r="BH42" s="192">
        <f t="shared" si="20"/>
        <v>1</v>
      </c>
      <c r="BI42" s="192">
        <f t="shared" si="21"/>
        <v>1</v>
      </c>
      <c r="BJ42" s="192">
        <f t="shared" si="22"/>
        <v>1</v>
      </c>
      <c r="BK42" s="192">
        <f t="shared" si="23"/>
        <v>1</v>
      </c>
      <c r="BL42" s="192">
        <f t="shared" si="24"/>
        <v>1</v>
      </c>
      <c r="BM42" s="192">
        <f t="shared" si="25"/>
        <v>1</v>
      </c>
      <c r="BN42" s="192">
        <f t="shared" si="26"/>
        <v>1</v>
      </c>
      <c r="BO42" s="192">
        <f t="shared" si="27"/>
        <v>1</v>
      </c>
      <c r="BP42" s="192">
        <f t="shared" si="28"/>
        <v>1</v>
      </c>
      <c r="BQ42" s="192">
        <f t="shared" si="29"/>
        <v>1</v>
      </c>
      <c r="BR42" s="192">
        <f t="shared" si="30"/>
        <v>1</v>
      </c>
      <c r="BS42" s="192">
        <f t="shared" si="31"/>
        <v>1</v>
      </c>
      <c r="BT42" s="192">
        <f t="shared" si="32"/>
        <v>1</v>
      </c>
      <c r="BU42" s="192">
        <f t="shared" si="32"/>
        <v>1</v>
      </c>
      <c r="BV42" s="192">
        <f t="shared" si="33"/>
        <v>1</v>
      </c>
      <c r="BW42" s="192">
        <f t="shared" si="34"/>
        <v>1</v>
      </c>
      <c r="BX42" s="192">
        <f t="shared" si="35"/>
        <v>1</v>
      </c>
      <c r="BY42" s="192">
        <f t="shared" si="36"/>
        <v>1</v>
      </c>
      <c r="BZ42" s="192">
        <f t="shared" si="37"/>
        <v>1</v>
      </c>
      <c r="CA42" s="192">
        <f t="shared" si="38"/>
        <v>1</v>
      </c>
      <c r="CB42" s="192">
        <f t="shared" si="39"/>
        <v>1</v>
      </c>
      <c r="CS42" s="324" t="b">
        <f t="shared" si="50"/>
        <v>1</v>
      </c>
      <c r="CT42" s="324" t="b">
        <f t="shared" si="40"/>
        <v>1</v>
      </c>
      <c r="CU42" s="324" t="b">
        <f t="shared" si="41"/>
        <v>1</v>
      </c>
      <c r="CV42" s="324" t="b">
        <f t="shared" si="42"/>
        <v>1</v>
      </c>
      <c r="CW42" s="324" t="b">
        <f t="shared" si="43"/>
        <v>1</v>
      </c>
      <c r="CX42" s="324">
        <f t="shared" si="51"/>
        <v>1</v>
      </c>
    </row>
    <row r="43" spans="1:102" ht="9" customHeight="1" x14ac:dyDescent="0.25">
      <c r="B43" s="7" t="str">
        <f t="shared" si="44"/>
        <v/>
      </c>
      <c r="C43" s="7"/>
      <c r="D43" s="7"/>
      <c r="E43" s="7"/>
      <c r="F43" s="496"/>
      <c r="G43" s="6"/>
      <c r="H43" s="6"/>
      <c r="I43" s="6"/>
      <c r="J43" s="6"/>
      <c r="K43" s="6"/>
      <c r="L43" s="6"/>
      <c r="M43" s="6"/>
      <c r="N43" s="6"/>
      <c r="O43" s="6"/>
      <c r="P43" s="6"/>
      <c r="Q43" s="7" t="str">
        <f t="shared" si="45"/>
        <v/>
      </c>
      <c r="R43" s="6"/>
      <c r="S43" s="6"/>
      <c r="T43" s="6"/>
      <c r="U43" s="6"/>
      <c r="V43" s="6"/>
      <c r="W43" s="6"/>
      <c r="X43" s="6"/>
      <c r="Y43" s="6"/>
      <c r="Z43" s="450"/>
      <c r="AA43" s="6"/>
      <c r="AB43" s="7" t="str">
        <f t="shared" si="46"/>
        <v/>
      </c>
      <c r="AC43" s="7" t="str">
        <f t="shared" si="47"/>
        <v/>
      </c>
      <c r="AD43" s="7" t="str">
        <f>IF(G43="","",IF(AND(Z43&gt;='פרמטרים לקריטריונים'!$D$19,AA43&gt;='פרמטרים לקריטריונים'!$C$19),1,0))</f>
        <v/>
      </c>
      <c r="AE43" s="7" t="str" cm="1">
        <f t="array" ref="AE43">IF($F43="","",IF(OR(SUMPRODUCT(--(Z43:AA43&gt;=$Z$5:$AA$5))=COUNTA($Z$29:$AA$29),OR(AND(X43=1,OR(AB43=1,AC43=1)),AND(Y43=1,AD43=1))),1,0))</f>
        <v/>
      </c>
      <c r="AF43" s="6"/>
      <c r="AG43" s="6"/>
      <c r="AH43" s="6"/>
      <c r="AI43" s="6"/>
      <c r="AJ43" s="7" t="str">
        <f t="shared" si="4"/>
        <v/>
      </c>
      <c r="AK43" s="7"/>
      <c r="AL43" s="7"/>
      <c r="AM43" s="7"/>
      <c r="AN43" s="7"/>
      <c r="AO43" s="229" t="str">
        <f t="shared" si="5"/>
        <v/>
      </c>
      <c r="AP43" s="357"/>
      <c r="AQ43" s="193">
        <f t="shared" si="6"/>
        <v>0</v>
      </c>
      <c r="AR43" s="193" t="str">
        <f t="shared" si="48"/>
        <v/>
      </c>
      <c r="AS43" s="193" t="str">
        <f t="shared" si="48"/>
        <v/>
      </c>
      <c r="AT43" s="192">
        <f t="shared" si="49"/>
        <v>0</v>
      </c>
      <c r="AU43" s="192">
        <f t="shared" si="7"/>
        <v>0</v>
      </c>
      <c r="AV43" s="192">
        <f t="shared" si="8"/>
        <v>0</v>
      </c>
      <c r="AW43" s="192">
        <f t="shared" si="9"/>
        <v>0</v>
      </c>
      <c r="AX43" s="192">
        <f t="shared" si="10"/>
        <v>0</v>
      </c>
      <c r="AY43" s="192">
        <f t="shared" si="11"/>
        <v>0</v>
      </c>
      <c r="AZ43" s="192">
        <f t="shared" si="12"/>
        <v>0</v>
      </c>
      <c r="BA43" s="192">
        <f t="shared" si="13"/>
        <v>0</v>
      </c>
      <c r="BB43" s="192">
        <f t="shared" si="14"/>
        <v>0</v>
      </c>
      <c r="BC43" s="192">
        <f t="shared" si="15"/>
        <v>0</v>
      </c>
      <c r="BD43" s="192">
        <f t="shared" si="16"/>
        <v>1</v>
      </c>
      <c r="BE43" s="192">
        <f t="shared" si="17"/>
        <v>0</v>
      </c>
      <c r="BF43" s="192">
        <f t="shared" si="18"/>
        <v>0</v>
      </c>
      <c r="BG43" s="192">
        <f t="shared" si="19"/>
        <v>0</v>
      </c>
      <c r="BH43" s="192">
        <f t="shared" si="20"/>
        <v>0</v>
      </c>
      <c r="BI43" s="192">
        <f t="shared" si="21"/>
        <v>1</v>
      </c>
      <c r="BJ43" s="192">
        <f t="shared" si="22"/>
        <v>1</v>
      </c>
      <c r="BK43" s="192">
        <f t="shared" si="23"/>
        <v>1</v>
      </c>
      <c r="BL43" s="192">
        <f t="shared" si="24"/>
        <v>1</v>
      </c>
      <c r="BM43" s="192">
        <f t="shared" si="25"/>
        <v>0</v>
      </c>
      <c r="BN43" s="192">
        <f t="shared" si="26"/>
        <v>0</v>
      </c>
      <c r="BO43" s="192">
        <f t="shared" si="27"/>
        <v>1</v>
      </c>
      <c r="BP43" s="192">
        <f t="shared" si="28"/>
        <v>1</v>
      </c>
      <c r="BQ43" s="192">
        <f t="shared" si="29"/>
        <v>1</v>
      </c>
      <c r="BR43" s="192">
        <f t="shared" si="30"/>
        <v>1</v>
      </c>
      <c r="BS43" s="192">
        <f t="shared" si="31"/>
        <v>1</v>
      </c>
      <c r="BT43" s="192">
        <f t="shared" si="32"/>
        <v>0</v>
      </c>
      <c r="BU43" s="192">
        <f t="shared" si="32"/>
        <v>0</v>
      </c>
      <c r="BV43" s="192">
        <f t="shared" si="33"/>
        <v>0</v>
      </c>
      <c r="BW43" s="192">
        <f t="shared" si="34"/>
        <v>1</v>
      </c>
      <c r="BX43" s="192">
        <f t="shared" si="35"/>
        <v>1</v>
      </c>
      <c r="BY43" s="192">
        <f t="shared" si="36"/>
        <v>1</v>
      </c>
      <c r="BZ43" s="192">
        <f t="shared" si="37"/>
        <v>1</v>
      </c>
      <c r="CA43" s="192">
        <f t="shared" si="38"/>
        <v>1</v>
      </c>
      <c r="CB43" s="192">
        <f t="shared" si="39"/>
        <v>1</v>
      </c>
      <c r="CS43" s="324" t="b">
        <f t="shared" si="50"/>
        <v>0</v>
      </c>
      <c r="CT43" s="324" t="b">
        <f t="shared" si="40"/>
        <v>0</v>
      </c>
      <c r="CU43" s="324" t="b">
        <f t="shared" si="41"/>
        <v>1</v>
      </c>
      <c r="CV43" s="324" t="b">
        <f t="shared" si="42"/>
        <v>1</v>
      </c>
      <c r="CW43" s="324" t="b">
        <f t="shared" si="43"/>
        <v>1</v>
      </c>
      <c r="CX43" s="324" t="str">
        <f t="shared" si="51"/>
        <v/>
      </c>
    </row>
    <row r="44" spans="1:102" ht="11.25" customHeight="1" x14ac:dyDescent="0.25">
      <c r="B44" s="7" t="str">
        <f t="shared" si="44"/>
        <v/>
      </c>
      <c r="C44" s="7"/>
      <c r="D44" s="7"/>
      <c r="E44" s="7"/>
      <c r="F44" s="499"/>
      <c r="G44" s="6"/>
      <c r="H44" s="6"/>
      <c r="I44" s="6"/>
      <c r="J44" s="6"/>
      <c r="K44" s="6"/>
      <c r="L44" s="6"/>
      <c r="M44" s="6"/>
      <c r="N44" s="6"/>
      <c r="O44" s="6"/>
      <c r="P44" s="6"/>
      <c r="Q44" s="7" t="str">
        <f t="shared" si="45"/>
        <v/>
      </c>
      <c r="R44" s="6"/>
      <c r="S44" s="6"/>
      <c r="T44" s="6"/>
      <c r="U44" s="6"/>
      <c r="V44" s="6"/>
      <c r="W44" s="6"/>
      <c r="X44" s="6"/>
      <c r="Y44" s="6"/>
      <c r="Z44" s="450"/>
      <c r="AA44" s="6"/>
      <c r="AB44" s="7" t="str">
        <f t="shared" si="46"/>
        <v/>
      </c>
      <c r="AC44" s="7" t="str">
        <f t="shared" si="47"/>
        <v/>
      </c>
      <c r="AD44" s="7" t="str">
        <f>IF(G44="","",IF(AND(Z44&gt;='פרמטרים לקריטריונים'!$D$19,AA44&gt;='פרמטרים לקריטריונים'!$C$19),1,0))</f>
        <v/>
      </c>
      <c r="AE44" s="7" t="str" cm="1">
        <f t="array" ref="AE44">IF($F44="","",IF(OR(SUMPRODUCT(--(Z44:AA44&gt;=$Z$5:$AA$5))=COUNTA($Z$29:$AA$29),OR(AND(X44=1,OR(AB44=1,AC44=1)),AND(Y44=1,AD44=1))),1,0))</f>
        <v/>
      </c>
      <c r="AF44" s="6"/>
      <c r="AG44" s="6"/>
      <c r="AH44" s="6"/>
      <c r="AI44" s="6"/>
      <c r="AJ44" s="7" t="str">
        <f t="shared" si="4"/>
        <v/>
      </c>
      <c r="AK44" s="7"/>
      <c r="AL44" s="7"/>
      <c r="AM44" s="7"/>
      <c r="AN44" s="7"/>
      <c r="AO44" s="229" t="str">
        <f t="shared" si="5"/>
        <v/>
      </c>
      <c r="AP44" s="357"/>
      <c r="AQ44" s="193">
        <f t="shared" si="6"/>
        <v>0</v>
      </c>
      <c r="AR44" s="193" t="str">
        <f t="shared" si="48"/>
        <v/>
      </c>
      <c r="AS44" s="193" t="str">
        <f t="shared" si="48"/>
        <v/>
      </c>
      <c r="AT44" s="192">
        <f t="shared" si="49"/>
        <v>0</v>
      </c>
      <c r="AU44" s="192">
        <f t="shared" si="7"/>
        <v>0</v>
      </c>
      <c r="AV44" s="192">
        <f t="shared" si="8"/>
        <v>0</v>
      </c>
      <c r="AW44" s="192">
        <f t="shared" si="9"/>
        <v>0</v>
      </c>
      <c r="AX44" s="192">
        <f t="shared" si="10"/>
        <v>0</v>
      </c>
      <c r="AY44" s="192">
        <f t="shared" si="11"/>
        <v>0</v>
      </c>
      <c r="AZ44" s="192">
        <f t="shared" si="12"/>
        <v>0</v>
      </c>
      <c r="BA44" s="192">
        <f t="shared" si="13"/>
        <v>0</v>
      </c>
      <c r="BB44" s="192">
        <f t="shared" si="14"/>
        <v>0</v>
      </c>
      <c r="BC44" s="192">
        <f t="shared" si="15"/>
        <v>0</v>
      </c>
      <c r="BD44" s="192">
        <f t="shared" si="16"/>
        <v>1</v>
      </c>
      <c r="BE44" s="192">
        <f t="shared" si="17"/>
        <v>0</v>
      </c>
      <c r="BF44" s="192">
        <f t="shared" si="18"/>
        <v>0</v>
      </c>
      <c r="BG44" s="192">
        <f t="shared" si="19"/>
        <v>0</v>
      </c>
      <c r="BH44" s="192">
        <f t="shared" si="20"/>
        <v>0</v>
      </c>
      <c r="BI44" s="192">
        <f t="shared" si="21"/>
        <v>1</v>
      </c>
      <c r="BJ44" s="192">
        <f t="shared" si="22"/>
        <v>1</v>
      </c>
      <c r="BK44" s="192">
        <f t="shared" si="23"/>
        <v>1</v>
      </c>
      <c r="BL44" s="192">
        <f t="shared" si="24"/>
        <v>1</v>
      </c>
      <c r="BM44" s="192">
        <f t="shared" si="25"/>
        <v>0</v>
      </c>
      <c r="BN44" s="192">
        <f t="shared" si="26"/>
        <v>0</v>
      </c>
      <c r="BO44" s="192">
        <f t="shared" si="27"/>
        <v>1</v>
      </c>
      <c r="BP44" s="192">
        <f t="shared" si="28"/>
        <v>1</v>
      </c>
      <c r="BQ44" s="192">
        <f t="shared" si="29"/>
        <v>1</v>
      </c>
      <c r="BR44" s="192">
        <f t="shared" si="30"/>
        <v>1</v>
      </c>
      <c r="BS44" s="192">
        <f t="shared" si="31"/>
        <v>1</v>
      </c>
      <c r="BT44" s="192">
        <f t="shared" si="32"/>
        <v>0</v>
      </c>
      <c r="BU44" s="192">
        <f t="shared" si="32"/>
        <v>0</v>
      </c>
      <c r="BV44" s="192">
        <f t="shared" si="33"/>
        <v>0</v>
      </c>
      <c r="BW44" s="192">
        <f t="shared" si="34"/>
        <v>1</v>
      </c>
      <c r="BX44" s="192">
        <f t="shared" si="35"/>
        <v>1</v>
      </c>
      <c r="BY44" s="192">
        <f t="shared" si="36"/>
        <v>1</v>
      </c>
      <c r="BZ44" s="192">
        <f t="shared" si="37"/>
        <v>1</v>
      </c>
      <c r="CA44" s="192">
        <f t="shared" si="38"/>
        <v>1</v>
      </c>
      <c r="CB44" s="192">
        <f t="shared" si="39"/>
        <v>1</v>
      </c>
      <c r="CS44" s="324" t="b">
        <f t="shared" si="50"/>
        <v>0</v>
      </c>
      <c r="CT44" s="324" t="b">
        <f t="shared" si="40"/>
        <v>0</v>
      </c>
      <c r="CU44" s="324" t="b">
        <f t="shared" si="41"/>
        <v>1</v>
      </c>
      <c r="CV44" s="324" t="b">
        <f t="shared" si="42"/>
        <v>1</v>
      </c>
      <c r="CW44" s="324" t="b">
        <f t="shared" si="43"/>
        <v>1</v>
      </c>
      <c r="CX44" s="324" t="str">
        <f t="shared" si="51"/>
        <v/>
      </c>
    </row>
    <row r="45" spans="1:102" ht="9.75" customHeight="1" x14ac:dyDescent="0.25">
      <c r="B45" s="7" t="str">
        <f t="shared" si="44"/>
        <v/>
      </c>
      <c r="C45" s="7"/>
      <c r="D45" s="7"/>
      <c r="E45" s="7"/>
      <c r="F45" s="496"/>
      <c r="G45" s="6"/>
      <c r="H45" s="6"/>
      <c r="I45" s="6"/>
      <c r="J45" s="6"/>
      <c r="K45" s="6"/>
      <c r="L45" s="6"/>
      <c r="M45" s="6"/>
      <c r="N45" s="6"/>
      <c r="O45" s="6"/>
      <c r="P45" s="6"/>
      <c r="Q45" s="7" t="str">
        <f t="shared" si="45"/>
        <v/>
      </c>
      <c r="R45" s="6" t="s">
        <v>186</v>
      </c>
      <c r="S45" s="6" t="s">
        <v>186</v>
      </c>
      <c r="T45" s="6" t="s">
        <v>186</v>
      </c>
      <c r="U45" s="6" t="s">
        <v>186</v>
      </c>
      <c r="V45" s="6"/>
      <c r="W45" s="6"/>
      <c r="X45" s="6"/>
      <c r="Y45" s="6"/>
      <c r="Z45" s="450"/>
      <c r="AA45" s="6"/>
      <c r="AB45" s="7" t="str">
        <f t="shared" si="46"/>
        <v/>
      </c>
      <c r="AC45" s="7" t="str">
        <f t="shared" si="47"/>
        <v/>
      </c>
      <c r="AD45" s="7" t="str">
        <f>IF(G45="","",IF(AND(Z45&gt;='פרמטרים לקריטריונים'!$D$19,AA45&gt;='פרמטרים לקריטריונים'!$C$19),1,0))</f>
        <v/>
      </c>
      <c r="AE45" s="7" t="str" cm="1">
        <f t="array" ref="AE45">IF($F45="","",IF(OR(SUMPRODUCT(--(Z45:AA45&gt;=$Z$5:$AA$5))=COUNTA($Z$29:$AA$29),OR(AND(X45=1,OR(AB45=1,AC45=1)),AND(Y45=1,AD45=1))),1,0))</f>
        <v/>
      </c>
      <c r="AF45" s="6"/>
      <c r="AG45" s="6"/>
      <c r="AH45" s="6"/>
      <c r="AI45" s="6"/>
      <c r="AJ45" s="7" t="str">
        <f t="shared" si="4"/>
        <v/>
      </c>
      <c r="AK45" s="7"/>
      <c r="AL45" s="7"/>
      <c r="AM45" s="7"/>
      <c r="AN45" s="7"/>
      <c r="AO45" s="229" t="str">
        <f t="shared" si="5"/>
        <v/>
      </c>
      <c r="AP45" s="357"/>
      <c r="AQ45" s="193">
        <f t="shared" si="6"/>
        <v>0</v>
      </c>
      <c r="AR45" s="193" t="str">
        <f t="shared" si="48"/>
        <v/>
      </c>
      <c r="AS45" s="193" t="str">
        <f t="shared" si="48"/>
        <v/>
      </c>
      <c r="AT45" s="192">
        <f t="shared" si="49"/>
        <v>0</v>
      </c>
      <c r="AU45" s="192">
        <f t="shared" si="7"/>
        <v>0</v>
      </c>
      <c r="AV45" s="192">
        <f t="shared" si="8"/>
        <v>0</v>
      </c>
      <c r="AW45" s="192">
        <f t="shared" si="9"/>
        <v>0</v>
      </c>
      <c r="AX45" s="192">
        <f t="shared" si="10"/>
        <v>0</v>
      </c>
      <c r="AY45" s="192">
        <f t="shared" si="11"/>
        <v>0</v>
      </c>
      <c r="AZ45" s="192">
        <f t="shared" si="12"/>
        <v>0</v>
      </c>
      <c r="BA45" s="192">
        <f t="shared" si="13"/>
        <v>0</v>
      </c>
      <c r="BB45" s="192">
        <f t="shared" si="14"/>
        <v>0</v>
      </c>
      <c r="BC45" s="192">
        <f t="shared" si="15"/>
        <v>0</v>
      </c>
      <c r="BD45" s="192">
        <f t="shared" si="16"/>
        <v>1</v>
      </c>
      <c r="BE45" s="192">
        <f t="shared" si="17"/>
        <v>0</v>
      </c>
      <c r="BF45" s="192">
        <f t="shared" si="18"/>
        <v>0</v>
      </c>
      <c r="BG45" s="192">
        <f t="shared" si="19"/>
        <v>0</v>
      </c>
      <c r="BH45" s="192">
        <f t="shared" si="20"/>
        <v>0</v>
      </c>
      <c r="BI45" s="192">
        <f t="shared" si="21"/>
        <v>1</v>
      </c>
      <c r="BJ45" s="192">
        <f t="shared" si="22"/>
        <v>1</v>
      </c>
      <c r="BK45" s="192">
        <f t="shared" si="23"/>
        <v>1</v>
      </c>
      <c r="BL45" s="192">
        <f t="shared" si="24"/>
        <v>1</v>
      </c>
      <c r="BM45" s="192">
        <f t="shared" si="25"/>
        <v>0</v>
      </c>
      <c r="BN45" s="192">
        <f t="shared" si="26"/>
        <v>0</v>
      </c>
      <c r="BO45" s="192">
        <f t="shared" si="27"/>
        <v>1</v>
      </c>
      <c r="BP45" s="192">
        <f t="shared" si="28"/>
        <v>1</v>
      </c>
      <c r="BQ45" s="192">
        <f t="shared" si="29"/>
        <v>1</v>
      </c>
      <c r="BR45" s="192">
        <f t="shared" si="30"/>
        <v>1</v>
      </c>
      <c r="BS45" s="192">
        <f t="shared" si="31"/>
        <v>1</v>
      </c>
      <c r="BT45" s="192">
        <f t="shared" si="32"/>
        <v>0</v>
      </c>
      <c r="BU45" s="192">
        <f t="shared" si="32"/>
        <v>0</v>
      </c>
      <c r="BV45" s="192">
        <f t="shared" si="33"/>
        <v>0</v>
      </c>
      <c r="BW45" s="192">
        <f t="shared" si="34"/>
        <v>1</v>
      </c>
      <c r="BX45" s="192">
        <f t="shared" si="35"/>
        <v>1</v>
      </c>
      <c r="BY45" s="192">
        <f t="shared" si="36"/>
        <v>1</v>
      </c>
      <c r="BZ45" s="192">
        <f t="shared" si="37"/>
        <v>1</v>
      </c>
      <c r="CA45" s="192">
        <f t="shared" si="38"/>
        <v>1</v>
      </c>
      <c r="CB45" s="192">
        <f t="shared" si="39"/>
        <v>1</v>
      </c>
      <c r="CS45" s="324" t="b">
        <f t="shared" si="50"/>
        <v>0</v>
      </c>
      <c r="CT45" s="324" t="b">
        <f t="shared" si="40"/>
        <v>0</v>
      </c>
      <c r="CU45" s="324" t="b">
        <f t="shared" si="41"/>
        <v>1</v>
      </c>
      <c r="CV45" s="324" t="b">
        <f t="shared" si="42"/>
        <v>1</v>
      </c>
      <c r="CW45" s="324" t="b">
        <f t="shared" si="43"/>
        <v>1</v>
      </c>
      <c r="CX45" s="324" t="str">
        <f t="shared" si="51"/>
        <v/>
      </c>
    </row>
    <row r="46" spans="1:102" ht="10.5" customHeight="1" x14ac:dyDescent="0.25">
      <c r="B46" s="7" t="str">
        <f t="shared" si="44"/>
        <v/>
      </c>
      <c r="C46" s="7"/>
      <c r="D46" s="7"/>
      <c r="E46" s="7"/>
      <c r="F46" s="496"/>
      <c r="G46" s="6"/>
      <c r="H46" s="6"/>
      <c r="I46" s="6"/>
      <c r="J46" s="6"/>
      <c r="K46" s="6"/>
      <c r="L46" s="6"/>
      <c r="M46" s="6"/>
      <c r="N46" s="6"/>
      <c r="O46" s="6"/>
      <c r="P46" s="6"/>
      <c r="Q46" s="7" t="str">
        <f t="shared" si="45"/>
        <v/>
      </c>
      <c r="R46" s="6" t="s">
        <v>186</v>
      </c>
      <c r="S46" s="6" t="s">
        <v>186</v>
      </c>
      <c r="T46" s="6" t="s">
        <v>186</v>
      </c>
      <c r="U46" s="6" t="s">
        <v>186</v>
      </c>
      <c r="V46" s="6"/>
      <c r="W46" s="6"/>
      <c r="X46" s="6"/>
      <c r="Y46" s="6"/>
      <c r="Z46" s="450"/>
      <c r="AA46" s="6"/>
      <c r="AB46" s="7" t="str">
        <f t="shared" si="46"/>
        <v/>
      </c>
      <c r="AC46" s="7" t="str">
        <f t="shared" si="47"/>
        <v/>
      </c>
      <c r="AD46" s="7" t="str">
        <f>IF(G46="","",IF(AND(Z46&gt;='פרמטרים לקריטריונים'!$D$19,AA46&gt;='פרמטרים לקריטריונים'!$C$19),1,0))</f>
        <v/>
      </c>
      <c r="AE46" s="7" t="str" cm="1">
        <f t="array" ref="AE46">IF($F46="","",IF(OR(SUMPRODUCT(--(Z46:AA46&gt;=$Z$5:$AA$5))=COUNTA($Z$29:$AA$29),OR(AND(X46=1,OR(AB46=1,AC46=1)),AND(Y46=1,AD46=1))),1,0))</f>
        <v/>
      </c>
      <c r="AF46" s="6"/>
      <c r="AG46" s="6"/>
      <c r="AH46" s="6"/>
      <c r="AI46" s="6"/>
      <c r="AJ46" s="7" t="str">
        <f t="shared" si="4"/>
        <v/>
      </c>
      <c r="AK46" s="7"/>
      <c r="AL46" s="7"/>
      <c r="AM46" s="7"/>
      <c r="AN46" s="7"/>
      <c r="AO46" s="229" t="str">
        <f t="shared" si="5"/>
        <v/>
      </c>
      <c r="AP46" s="357"/>
      <c r="AQ46" s="193">
        <f t="shared" si="6"/>
        <v>0</v>
      </c>
      <c r="AR46" s="193" t="str">
        <f t="shared" si="48"/>
        <v/>
      </c>
      <c r="AS46" s="193" t="str">
        <f t="shared" si="48"/>
        <v/>
      </c>
      <c r="AT46" s="192">
        <f t="shared" si="49"/>
        <v>0</v>
      </c>
      <c r="AU46" s="192">
        <f t="shared" si="7"/>
        <v>0</v>
      </c>
      <c r="AV46" s="192">
        <f t="shared" si="8"/>
        <v>0</v>
      </c>
      <c r="AW46" s="192">
        <f t="shared" si="9"/>
        <v>0</v>
      </c>
      <c r="AX46" s="192">
        <f t="shared" si="10"/>
        <v>0</v>
      </c>
      <c r="AY46" s="192">
        <f t="shared" si="11"/>
        <v>0</v>
      </c>
      <c r="AZ46" s="192">
        <f t="shared" si="12"/>
        <v>0</v>
      </c>
      <c r="BA46" s="192">
        <f t="shared" si="13"/>
        <v>0</v>
      </c>
      <c r="BB46" s="192">
        <f t="shared" si="14"/>
        <v>0</v>
      </c>
      <c r="BC46" s="192">
        <f t="shared" si="15"/>
        <v>0</v>
      </c>
      <c r="BD46" s="192">
        <f t="shared" si="16"/>
        <v>1</v>
      </c>
      <c r="BE46" s="192">
        <f t="shared" si="17"/>
        <v>0</v>
      </c>
      <c r="BF46" s="192">
        <f t="shared" si="18"/>
        <v>0</v>
      </c>
      <c r="BG46" s="192">
        <f t="shared" si="19"/>
        <v>0</v>
      </c>
      <c r="BH46" s="192">
        <f t="shared" si="20"/>
        <v>0</v>
      </c>
      <c r="BI46" s="192">
        <f t="shared" si="21"/>
        <v>1</v>
      </c>
      <c r="BJ46" s="192">
        <f t="shared" si="22"/>
        <v>1</v>
      </c>
      <c r="BK46" s="192">
        <f t="shared" si="23"/>
        <v>1</v>
      </c>
      <c r="BL46" s="192">
        <f t="shared" si="24"/>
        <v>1</v>
      </c>
      <c r="BM46" s="192">
        <f t="shared" si="25"/>
        <v>0</v>
      </c>
      <c r="BN46" s="192">
        <f t="shared" si="26"/>
        <v>0</v>
      </c>
      <c r="BO46" s="192">
        <f t="shared" si="27"/>
        <v>1</v>
      </c>
      <c r="BP46" s="192">
        <f t="shared" si="28"/>
        <v>1</v>
      </c>
      <c r="BQ46" s="192">
        <f t="shared" si="29"/>
        <v>1</v>
      </c>
      <c r="BR46" s="192">
        <f t="shared" si="30"/>
        <v>1</v>
      </c>
      <c r="BS46" s="192">
        <f t="shared" si="31"/>
        <v>1</v>
      </c>
      <c r="BT46" s="192">
        <f t="shared" si="32"/>
        <v>0</v>
      </c>
      <c r="BU46" s="192">
        <f t="shared" si="32"/>
        <v>0</v>
      </c>
      <c r="BV46" s="192">
        <f t="shared" si="33"/>
        <v>0</v>
      </c>
      <c r="BW46" s="192">
        <f t="shared" si="34"/>
        <v>1</v>
      </c>
      <c r="BX46" s="192">
        <f t="shared" si="35"/>
        <v>1</v>
      </c>
      <c r="BY46" s="192">
        <f t="shared" si="36"/>
        <v>1</v>
      </c>
      <c r="BZ46" s="192">
        <f t="shared" si="37"/>
        <v>1</v>
      </c>
      <c r="CA46" s="192">
        <f t="shared" si="38"/>
        <v>1</v>
      </c>
      <c r="CB46" s="192">
        <f t="shared" si="39"/>
        <v>1</v>
      </c>
      <c r="CS46" s="324" t="b">
        <f t="shared" si="50"/>
        <v>0</v>
      </c>
      <c r="CT46" s="324" t="b">
        <f t="shared" si="40"/>
        <v>0</v>
      </c>
      <c r="CU46" s="324" t="b">
        <f t="shared" si="41"/>
        <v>1</v>
      </c>
      <c r="CV46" s="324" t="b">
        <f t="shared" si="42"/>
        <v>1</v>
      </c>
      <c r="CW46" s="324" t="b">
        <f t="shared" si="43"/>
        <v>1</v>
      </c>
      <c r="CX46" s="324" t="str">
        <f t="shared" si="51"/>
        <v/>
      </c>
    </row>
    <row r="47" spans="1:102" ht="36.75" customHeight="1" x14ac:dyDescent="0.25">
      <c r="B47" s="7">
        <f t="shared" si="44"/>
        <v>17</v>
      </c>
      <c r="C47" s="7"/>
      <c r="D47" s="7"/>
      <c r="E47" s="7"/>
      <c r="F47" s="496" t="s">
        <v>171</v>
      </c>
      <c r="G47" s="6">
        <v>1</v>
      </c>
      <c r="H47" s="6">
        <v>1</v>
      </c>
      <c r="I47" s="6">
        <v>1</v>
      </c>
      <c r="J47" s="6">
        <v>1</v>
      </c>
      <c r="K47" s="6">
        <v>1</v>
      </c>
      <c r="L47" s="6">
        <v>1</v>
      </c>
      <c r="M47" s="6">
        <v>1</v>
      </c>
      <c r="N47" s="6">
        <v>1</v>
      </c>
      <c r="O47" s="6">
        <v>21</v>
      </c>
      <c r="P47" s="6">
        <v>20</v>
      </c>
      <c r="Q47" s="7">
        <f t="shared" si="45"/>
        <v>1</v>
      </c>
      <c r="R47" s="6">
        <v>1</v>
      </c>
      <c r="S47" s="6">
        <v>1</v>
      </c>
      <c r="T47" s="6">
        <v>1</v>
      </c>
      <c r="U47" s="6">
        <v>1</v>
      </c>
      <c r="V47" s="6"/>
      <c r="W47" s="6"/>
      <c r="X47" s="6"/>
      <c r="Y47" s="6"/>
      <c r="Z47" s="450">
        <v>36</v>
      </c>
      <c r="AA47" s="6">
        <v>108363</v>
      </c>
      <c r="AB47" s="7">
        <f t="shared" si="46"/>
        <v>1</v>
      </c>
      <c r="AC47" s="7">
        <f t="shared" si="47"/>
        <v>1</v>
      </c>
      <c r="AD47" s="7">
        <f>IF(G47="","",IF(AND(Z47&gt;='פרמטרים לקריטריונים'!$D$19,AA47&gt;='פרמטרים לקריטריונים'!$C$19),1,0))</f>
        <v>1</v>
      </c>
      <c r="AE47" s="7" cm="1">
        <f t="array" ref="AE47">IF($F47="","",IF(OR(SUMPRODUCT(--(Z47:AA47&gt;=$Z$5:$AA$5))=COUNTA($Z$29:$AA$29),OR(AND(X47=1,OR(AB47=1,AC47=1)),AND(Y47=1,AD47=1))),1,0))</f>
        <v>1</v>
      </c>
      <c r="AF47" s="6"/>
      <c r="AG47" s="6">
        <v>1</v>
      </c>
      <c r="AH47" s="6">
        <v>1</v>
      </c>
      <c r="AI47" s="6">
        <v>1</v>
      </c>
      <c r="AJ47" s="7">
        <f t="shared" si="4"/>
        <v>1</v>
      </c>
      <c r="AK47" s="7"/>
      <c r="AL47" s="7"/>
      <c r="AM47" s="7"/>
      <c r="AN47" s="7"/>
      <c r="AO47" s="229">
        <f t="shared" si="5"/>
        <v>1</v>
      </c>
      <c r="AP47" s="357" t="s">
        <v>166</v>
      </c>
      <c r="AQ47" s="193">
        <f t="shared" si="6"/>
        <v>1</v>
      </c>
      <c r="AR47" s="193">
        <f t="shared" si="48"/>
        <v>0</v>
      </c>
      <c r="AS47" s="193">
        <f t="shared" si="48"/>
        <v>1</v>
      </c>
      <c r="AT47" s="192">
        <f t="shared" si="49"/>
        <v>1</v>
      </c>
      <c r="AU47" s="192">
        <f t="shared" si="7"/>
        <v>1</v>
      </c>
      <c r="AV47" s="192">
        <f t="shared" si="8"/>
        <v>1</v>
      </c>
      <c r="AW47" s="192">
        <f t="shared" si="9"/>
        <v>1</v>
      </c>
      <c r="AX47" s="192">
        <f t="shared" si="10"/>
        <v>1</v>
      </c>
      <c r="AY47" s="192">
        <f t="shared" si="11"/>
        <v>1</v>
      </c>
      <c r="AZ47" s="192">
        <f t="shared" si="12"/>
        <v>1</v>
      </c>
      <c r="BA47" s="192">
        <f t="shared" si="13"/>
        <v>1</v>
      </c>
      <c r="BB47" s="192">
        <f t="shared" si="14"/>
        <v>1</v>
      </c>
      <c r="BC47" s="192">
        <f t="shared" si="15"/>
        <v>1</v>
      </c>
      <c r="BD47" s="192">
        <f t="shared" si="16"/>
        <v>1</v>
      </c>
      <c r="BE47" s="192">
        <f t="shared" si="17"/>
        <v>1</v>
      </c>
      <c r="BF47" s="192">
        <f t="shared" si="18"/>
        <v>1</v>
      </c>
      <c r="BG47" s="192">
        <f t="shared" si="19"/>
        <v>1</v>
      </c>
      <c r="BH47" s="192">
        <f t="shared" si="20"/>
        <v>1</v>
      </c>
      <c r="BI47" s="192">
        <f t="shared" si="21"/>
        <v>1</v>
      </c>
      <c r="BJ47" s="192">
        <f t="shared" si="22"/>
        <v>1</v>
      </c>
      <c r="BK47" s="192">
        <f t="shared" si="23"/>
        <v>1</v>
      </c>
      <c r="BL47" s="192">
        <f t="shared" si="24"/>
        <v>1</v>
      </c>
      <c r="BM47" s="192">
        <f t="shared" si="25"/>
        <v>1</v>
      </c>
      <c r="BN47" s="192">
        <f t="shared" si="26"/>
        <v>1</v>
      </c>
      <c r="BO47" s="192">
        <f t="shared" si="27"/>
        <v>1</v>
      </c>
      <c r="BP47" s="192">
        <f t="shared" si="28"/>
        <v>1</v>
      </c>
      <c r="BQ47" s="192">
        <f t="shared" si="29"/>
        <v>1</v>
      </c>
      <c r="BR47" s="192">
        <f t="shared" si="30"/>
        <v>1</v>
      </c>
      <c r="BS47" s="192">
        <f t="shared" si="31"/>
        <v>1</v>
      </c>
      <c r="BT47" s="192">
        <f t="shared" si="32"/>
        <v>1</v>
      </c>
      <c r="BU47" s="192">
        <f t="shared" si="32"/>
        <v>1</v>
      </c>
      <c r="BV47" s="192">
        <f t="shared" si="33"/>
        <v>1</v>
      </c>
      <c r="BW47" s="192">
        <f t="shared" si="34"/>
        <v>1</v>
      </c>
      <c r="BX47" s="192">
        <f t="shared" si="35"/>
        <v>1</v>
      </c>
      <c r="BY47" s="192">
        <f t="shared" si="36"/>
        <v>1</v>
      </c>
      <c r="BZ47" s="192">
        <f t="shared" si="37"/>
        <v>1</v>
      </c>
      <c r="CA47" s="192">
        <f t="shared" si="38"/>
        <v>1</v>
      </c>
      <c r="CB47" s="192">
        <f t="shared" si="39"/>
        <v>1</v>
      </c>
      <c r="CS47" s="324" t="b">
        <f t="shared" si="50"/>
        <v>1</v>
      </c>
      <c r="CT47" s="324" t="b">
        <f t="shared" si="40"/>
        <v>1</v>
      </c>
      <c r="CU47" s="324" t="b">
        <f t="shared" si="41"/>
        <v>1</v>
      </c>
      <c r="CV47" s="324" t="b">
        <f t="shared" si="42"/>
        <v>1</v>
      </c>
      <c r="CW47" s="324" t="b">
        <f t="shared" si="43"/>
        <v>1</v>
      </c>
      <c r="CX47" s="324">
        <f t="shared" si="51"/>
        <v>1</v>
      </c>
    </row>
    <row r="48" spans="1:102" ht="36.75" customHeight="1" x14ac:dyDescent="0.25">
      <c r="B48" s="7" t="str">
        <f t="shared" si="44"/>
        <v/>
      </c>
      <c r="C48" s="7"/>
      <c r="D48" s="7"/>
      <c r="E48" s="7"/>
      <c r="F48" s="496"/>
      <c r="G48" s="6"/>
      <c r="H48" s="6"/>
      <c r="I48" s="6"/>
      <c r="J48" s="6"/>
      <c r="K48" s="6"/>
      <c r="L48" s="6"/>
      <c r="M48" s="6"/>
      <c r="N48" s="6"/>
      <c r="O48" s="6"/>
      <c r="P48" s="6"/>
      <c r="Q48" s="7" t="str">
        <f t="shared" si="45"/>
        <v/>
      </c>
      <c r="R48" s="6"/>
      <c r="S48" s="6"/>
      <c r="T48" s="6"/>
      <c r="U48" s="6"/>
      <c r="V48" s="6"/>
      <c r="W48" s="6"/>
      <c r="X48" s="6"/>
      <c r="Y48" s="6"/>
      <c r="Z48" s="450"/>
      <c r="AA48" s="6"/>
      <c r="AB48" s="7" t="str">
        <f t="shared" si="46"/>
        <v/>
      </c>
      <c r="AC48" s="7" t="str">
        <f t="shared" si="47"/>
        <v/>
      </c>
      <c r="AD48" s="7" t="str">
        <f>IF(G48="","",IF(AND(Z48&gt;='פרמטרים לקריטריונים'!$D$19,AA48&gt;='פרמטרים לקריטריונים'!$C$19),1,0))</f>
        <v/>
      </c>
      <c r="AE48" s="7" t="str" cm="1">
        <f t="array" ref="AE48">IF($F48="","",IF(OR(SUMPRODUCT(--(Z48:AA48&gt;=$Z$5:$AA$5))=COUNTA($Z$29:$AA$29),OR(AND(X48=1,OR(AB48=1,AC48=1)),AND(Y48=1,AD48=1))),1,0))</f>
        <v/>
      </c>
      <c r="AF48" s="6"/>
      <c r="AG48" s="6"/>
      <c r="AH48" s="6"/>
      <c r="AI48" s="6"/>
      <c r="AJ48" s="7" t="str">
        <f t="shared" si="4"/>
        <v/>
      </c>
      <c r="AK48" s="7"/>
      <c r="AL48" s="7"/>
      <c r="AM48" s="7"/>
      <c r="AN48" s="7"/>
      <c r="AO48" s="229" t="str">
        <f t="shared" si="5"/>
        <v/>
      </c>
      <c r="AP48" s="357"/>
      <c r="AQ48" s="193">
        <f t="shared" si="6"/>
        <v>0</v>
      </c>
      <c r="AR48" s="193" t="str">
        <f t="shared" si="48"/>
        <v/>
      </c>
      <c r="AS48" s="193" t="str">
        <f t="shared" si="48"/>
        <v/>
      </c>
      <c r="AT48" s="192">
        <f t="shared" si="49"/>
        <v>0</v>
      </c>
      <c r="AU48" s="192">
        <f t="shared" si="7"/>
        <v>0</v>
      </c>
      <c r="AV48" s="192">
        <f t="shared" si="8"/>
        <v>0</v>
      </c>
      <c r="AW48" s="192">
        <f t="shared" si="9"/>
        <v>0</v>
      </c>
      <c r="AX48" s="192">
        <f t="shared" si="10"/>
        <v>0</v>
      </c>
      <c r="AY48" s="192">
        <f t="shared" si="11"/>
        <v>0</v>
      </c>
      <c r="AZ48" s="192">
        <f t="shared" si="12"/>
        <v>0</v>
      </c>
      <c r="BA48" s="192">
        <f t="shared" si="13"/>
        <v>0</v>
      </c>
      <c r="BB48" s="192">
        <f t="shared" si="14"/>
        <v>0</v>
      </c>
      <c r="BC48" s="192">
        <f t="shared" si="15"/>
        <v>0</v>
      </c>
      <c r="BD48" s="192">
        <f t="shared" si="16"/>
        <v>1</v>
      </c>
      <c r="BE48" s="192">
        <f t="shared" si="17"/>
        <v>0</v>
      </c>
      <c r="BF48" s="192">
        <f t="shared" si="18"/>
        <v>0</v>
      </c>
      <c r="BG48" s="192">
        <f t="shared" si="19"/>
        <v>0</v>
      </c>
      <c r="BH48" s="192">
        <f t="shared" si="20"/>
        <v>0</v>
      </c>
      <c r="BI48" s="192">
        <f t="shared" si="21"/>
        <v>1</v>
      </c>
      <c r="BJ48" s="192">
        <f t="shared" si="22"/>
        <v>1</v>
      </c>
      <c r="BK48" s="192">
        <f t="shared" si="23"/>
        <v>1</v>
      </c>
      <c r="BL48" s="192">
        <f t="shared" si="24"/>
        <v>1</v>
      </c>
      <c r="BM48" s="192">
        <f t="shared" si="25"/>
        <v>0</v>
      </c>
      <c r="BN48" s="192">
        <f t="shared" si="26"/>
        <v>0</v>
      </c>
      <c r="BO48" s="192">
        <f t="shared" si="27"/>
        <v>1</v>
      </c>
      <c r="BP48" s="192">
        <f t="shared" si="28"/>
        <v>1</v>
      </c>
      <c r="BQ48" s="192">
        <f t="shared" si="29"/>
        <v>1</v>
      </c>
      <c r="BR48" s="192">
        <f t="shared" si="30"/>
        <v>1</v>
      </c>
      <c r="BS48" s="192">
        <f t="shared" si="31"/>
        <v>1</v>
      </c>
      <c r="BT48" s="192">
        <f t="shared" si="32"/>
        <v>0</v>
      </c>
      <c r="BU48" s="192">
        <f t="shared" si="32"/>
        <v>0</v>
      </c>
      <c r="BV48" s="192">
        <f t="shared" si="33"/>
        <v>0</v>
      </c>
      <c r="BW48" s="192">
        <f t="shared" si="34"/>
        <v>1</v>
      </c>
      <c r="BX48" s="192">
        <f t="shared" si="35"/>
        <v>1</v>
      </c>
      <c r="BY48" s="192">
        <f t="shared" si="36"/>
        <v>1</v>
      </c>
      <c r="BZ48" s="192">
        <f t="shared" si="37"/>
        <v>1</v>
      </c>
      <c r="CA48" s="192">
        <f t="shared" si="38"/>
        <v>1</v>
      </c>
      <c r="CB48" s="192">
        <f t="shared" si="39"/>
        <v>1</v>
      </c>
      <c r="CS48" s="324" t="b">
        <f t="shared" si="50"/>
        <v>0</v>
      </c>
      <c r="CT48" s="324" t="b">
        <f t="shared" si="40"/>
        <v>0</v>
      </c>
      <c r="CU48" s="324" t="b">
        <f t="shared" si="41"/>
        <v>1</v>
      </c>
      <c r="CV48" s="324" t="b">
        <f t="shared" si="42"/>
        <v>1</v>
      </c>
      <c r="CW48" s="324" t="b">
        <f t="shared" si="43"/>
        <v>1</v>
      </c>
      <c r="CX48" s="324" t="str">
        <f t="shared" si="51"/>
        <v/>
      </c>
    </row>
    <row r="49" spans="2:102" ht="36.75" customHeight="1" x14ac:dyDescent="0.25">
      <c r="B49" s="7" t="str">
        <f t="shared" si="44"/>
        <v/>
      </c>
      <c r="C49" s="7"/>
      <c r="D49" s="7"/>
      <c r="E49" s="7"/>
      <c r="F49" s="499"/>
      <c r="G49" s="6"/>
      <c r="H49" s="6"/>
      <c r="I49" s="6"/>
      <c r="J49" s="6"/>
      <c r="K49" s="6"/>
      <c r="L49" s="6"/>
      <c r="M49" s="6"/>
      <c r="N49" s="6"/>
      <c r="O49" s="6"/>
      <c r="P49" s="6"/>
      <c r="Q49" s="7" t="str">
        <f t="shared" si="45"/>
        <v/>
      </c>
      <c r="R49" s="6"/>
      <c r="S49" s="6"/>
      <c r="T49" s="6"/>
      <c r="U49" s="6"/>
      <c r="V49" s="6"/>
      <c r="W49" s="6"/>
      <c r="X49" s="6"/>
      <c r="Y49" s="6"/>
      <c r="Z49" s="450"/>
      <c r="AA49" s="6"/>
      <c r="AB49" s="7" t="str">
        <f t="shared" si="46"/>
        <v/>
      </c>
      <c r="AC49" s="7" t="str">
        <f t="shared" si="47"/>
        <v/>
      </c>
      <c r="AD49" s="7" t="str">
        <f>IF(G49="","",IF(AND(Z49&gt;='פרמטרים לקריטריונים'!$D$19,AA49&gt;='פרמטרים לקריטריונים'!$C$19),1,0))</f>
        <v/>
      </c>
      <c r="AE49" s="7" t="str" cm="1">
        <f t="array" ref="AE49">IF($F49="","",IF(OR(SUMPRODUCT(--(Z49:AA49&gt;=$Z$5:$AA$5))=COUNTA($Z$29:$AA$29),OR(AND(X49=1,OR(AB49=1,AC49=1)),AND(Y49=1,AD49=1))),1,0))</f>
        <v/>
      </c>
      <c r="AF49" s="6"/>
      <c r="AG49" s="6"/>
      <c r="AH49" s="6"/>
      <c r="AI49" s="6"/>
      <c r="AJ49" s="7" t="str">
        <f t="shared" si="4"/>
        <v/>
      </c>
      <c r="AK49" s="7"/>
      <c r="AL49" s="7"/>
      <c r="AM49" s="7"/>
      <c r="AN49" s="7"/>
      <c r="AO49" s="229" t="str">
        <f t="shared" si="5"/>
        <v/>
      </c>
      <c r="AP49" s="357"/>
      <c r="AQ49" s="193">
        <f t="shared" si="6"/>
        <v>0</v>
      </c>
      <c r="AR49" s="193" t="str">
        <f t="shared" si="48"/>
        <v/>
      </c>
      <c r="AS49" s="193" t="str">
        <f t="shared" si="48"/>
        <v/>
      </c>
      <c r="AT49" s="192">
        <f t="shared" si="49"/>
        <v>0</v>
      </c>
      <c r="AU49" s="192">
        <f t="shared" si="7"/>
        <v>0</v>
      </c>
      <c r="AV49" s="192">
        <f t="shared" si="8"/>
        <v>0</v>
      </c>
      <c r="AW49" s="192">
        <f t="shared" si="9"/>
        <v>0</v>
      </c>
      <c r="AX49" s="192">
        <f t="shared" si="10"/>
        <v>0</v>
      </c>
      <c r="AY49" s="192">
        <f t="shared" si="11"/>
        <v>0</v>
      </c>
      <c r="AZ49" s="192">
        <f t="shared" si="12"/>
        <v>0</v>
      </c>
      <c r="BA49" s="192">
        <f t="shared" si="13"/>
        <v>0</v>
      </c>
      <c r="BB49" s="192">
        <f t="shared" si="14"/>
        <v>0</v>
      </c>
      <c r="BC49" s="192">
        <f t="shared" si="15"/>
        <v>0</v>
      </c>
      <c r="BD49" s="192">
        <f t="shared" si="16"/>
        <v>1</v>
      </c>
      <c r="BE49" s="192">
        <f t="shared" si="17"/>
        <v>0</v>
      </c>
      <c r="BF49" s="192">
        <f t="shared" si="18"/>
        <v>0</v>
      </c>
      <c r="BG49" s="192">
        <f t="shared" si="19"/>
        <v>0</v>
      </c>
      <c r="BH49" s="192">
        <f t="shared" si="20"/>
        <v>0</v>
      </c>
      <c r="BI49" s="192">
        <f t="shared" si="21"/>
        <v>1</v>
      </c>
      <c r="BJ49" s="192">
        <f t="shared" si="22"/>
        <v>1</v>
      </c>
      <c r="BK49" s="192">
        <f t="shared" si="23"/>
        <v>1</v>
      </c>
      <c r="BL49" s="192">
        <f t="shared" si="24"/>
        <v>1</v>
      </c>
      <c r="BM49" s="192">
        <f t="shared" si="25"/>
        <v>0</v>
      </c>
      <c r="BN49" s="192">
        <f t="shared" si="26"/>
        <v>0</v>
      </c>
      <c r="BO49" s="192">
        <f t="shared" si="27"/>
        <v>1</v>
      </c>
      <c r="BP49" s="192">
        <f t="shared" si="28"/>
        <v>1</v>
      </c>
      <c r="BQ49" s="192">
        <f t="shared" si="29"/>
        <v>1</v>
      </c>
      <c r="BR49" s="192">
        <f t="shared" si="30"/>
        <v>1</v>
      </c>
      <c r="BS49" s="192">
        <f t="shared" si="31"/>
        <v>1</v>
      </c>
      <c r="BT49" s="192">
        <f t="shared" si="32"/>
        <v>0</v>
      </c>
      <c r="BU49" s="192">
        <f t="shared" si="32"/>
        <v>0</v>
      </c>
      <c r="BV49" s="192">
        <f t="shared" si="33"/>
        <v>0</v>
      </c>
      <c r="BW49" s="192">
        <f t="shared" si="34"/>
        <v>1</v>
      </c>
      <c r="BX49" s="192">
        <f t="shared" si="35"/>
        <v>1</v>
      </c>
      <c r="BY49" s="192">
        <f t="shared" si="36"/>
        <v>1</v>
      </c>
      <c r="BZ49" s="192">
        <f t="shared" si="37"/>
        <v>1</v>
      </c>
      <c r="CA49" s="192">
        <f t="shared" si="38"/>
        <v>1</v>
      </c>
      <c r="CB49" s="192">
        <f t="shared" si="39"/>
        <v>1</v>
      </c>
      <c r="CS49" s="324" t="b">
        <f t="shared" si="50"/>
        <v>0</v>
      </c>
      <c r="CT49" s="324" t="b">
        <f t="shared" si="40"/>
        <v>0</v>
      </c>
      <c r="CU49" s="324" t="b">
        <f t="shared" si="41"/>
        <v>1</v>
      </c>
      <c r="CV49" s="324" t="b">
        <f t="shared" si="42"/>
        <v>1</v>
      </c>
      <c r="CW49" s="324" t="b">
        <f t="shared" si="43"/>
        <v>1</v>
      </c>
      <c r="CX49" s="324" t="str">
        <f t="shared" si="51"/>
        <v/>
      </c>
    </row>
    <row r="50" spans="2:102" ht="36.75" customHeight="1" x14ac:dyDescent="0.25">
      <c r="B50" s="7" t="str">
        <f t="shared" si="44"/>
        <v/>
      </c>
      <c r="C50" s="7"/>
      <c r="D50" s="7"/>
      <c r="E50" s="7"/>
      <c r="F50" s="496"/>
      <c r="G50" s="6"/>
      <c r="H50" s="6"/>
      <c r="I50" s="6"/>
      <c r="J50" s="6"/>
      <c r="K50" s="6"/>
      <c r="L50" s="6"/>
      <c r="M50" s="6"/>
      <c r="N50" s="6"/>
      <c r="O50" s="6"/>
      <c r="P50" s="6"/>
      <c r="Q50" s="7" t="str">
        <f t="shared" si="45"/>
        <v/>
      </c>
      <c r="R50" s="6"/>
      <c r="S50" s="6"/>
      <c r="T50" s="6"/>
      <c r="U50" s="6"/>
      <c r="V50" s="6"/>
      <c r="W50" s="6"/>
      <c r="X50" s="6"/>
      <c r="Y50" s="6"/>
      <c r="Z50" s="450"/>
      <c r="AA50" s="6"/>
      <c r="AB50" s="7" t="str">
        <f t="shared" si="46"/>
        <v/>
      </c>
      <c r="AC50" s="7" t="str">
        <f t="shared" si="47"/>
        <v/>
      </c>
      <c r="AD50" s="7" t="str">
        <f>IF(G50="","",IF(AND(Z50&gt;='פרמטרים לקריטריונים'!$D$19,AA50&gt;='פרמטרים לקריטריונים'!$C$19),1,0))</f>
        <v/>
      </c>
      <c r="AE50" s="7" t="str" cm="1">
        <f t="array" ref="AE50">IF($F50="","",IF(OR(SUMPRODUCT(--(Z50:AA50&gt;=$Z$5:$AA$5))=COUNTA($Z$29:$AA$29),OR(AND(X50=1,OR(AB50=1,AC50=1)),AND(Y50=1,AD50=1))),1,0))</f>
        <v/>
      </c>
      <c r="AF50" s="6"/>
      <c r="AG50" s="6"/>
      <c r="AH50" s="6"/>
      <c r="AI50" s="6"/>
      <c r="AJ50" s="7" t="str">
        <f t="shared" si="4"/>
        <v/>
      </c>
      <c r="AK50" s="7"/>
      <c r="AL50" s="7"/>
      <c r="AM50" s="7"/>
      <c r="AN50" s="7"/>
      <c r="AO50" s="229" t="str">
        <f t="shared" si="5"/>
        <v/>
      </c>
      <c r="AP50" s="357"/>
      <c r="AQ50" s="193">
        <f t="shared" si="6"/>
        <v>0</v>
      </c>
      <c r="AR50" s="193" t="str">
        <f t="shared" si="48"/>
        <v/>
      </c>
      <c r="AS50" s="193" t="str">
        <f t="shared" si="48"/>
        <v/>
      </c>
      <c r="AT50" s="192">
        <f t="shared" si="49"/>
        <v>0</v>
      </c>
      <c r="AU50" s="192">
        <f t="shared" si="7"/>
        <v>0</v>
      </c>
      <c r="AV50" s="192">
        <f t="shared" si="8"/>
        <v>0</v>
      </c>
      <c r="AW50" s="192">
        <f t="shared" si="9"/>
        <v>0</v>
      </c>
      <c r="AX50" s="192">
        <f t="shared" si="10"/>
        <v>0</v>
      </c>
      <c r="AY50" s="192">
        <f t="shared" si="11"/>
        <v>0</v>
      </c>
      <c r="AZ50" s="192">
        <f t="shared" si="12"/>
        <v>0</v>
      </c>
      <c r="BA50" s="192">
        <f t="shared" si="13"/>
        <v>0</v>
      </c>
      <c r="BB50" s="192">
        <f t="shared" si="14"/>
        <v>0</v>
      </c>
      <c r="BC50" s="192">
        <f t="shared" si="15"/>
        <v>0</v>
      </c>
      <c r="BD50" s="192">
        <f t="shared" si="16"/>
        <v>1</v>
      </c>
      <c r="BE50" s="192">
        <f t="shared" si="17"/>
        <v>0</v>
      </c>
      <c r="BF50" s="192">
        <f t="shared" si="18"/>
        <v>0</v>
      </c>
      <c r="BG50" s="192">
        <f t="shared" si="19"/>
        <v>0</v>
      </c>
      <c r="BH50" s="192">
        <f t="shared" si="20"/>
        <v>0</v>
      </c>
      <c r="BI50" s="192">
        <f t="shared" si="21"/>
        <v>1</v>
      </c>
      <c r="BJ50" s="192">
        <f t="shared" si="22"/>
        <v>1</v>
      </c>
      <c r="BK50" s="192">
        <f t="shared" si="23"/>
        <v>1</v>
      </c>
      <c r="BL50" s="192">
        <f t="shared" si="24"/>
        <v>1</v>
      </c>
      <c r="BM50" s="192">
        <f t="shared" si="25"/>
        <v>0</v>
      </c>
      <c r="BN50" s="192">
        <f t="shared" si="26"/>
        <v>0</v>
      </c>
      <c r="BO50" s="192">
        <f t="shared" si="27"/>
        <v>1</v>
      </c>
      <c r="BP50" s="192">
        <f t="shared" si="28"/>
        <v>1</v>
      </c>
      <c r="BQ50" s="192">
        <f t="shared" si="29"/>
        <v>1</v>
      </c>
      <c r="BR50" s="192">
        <f t="shared" si="30"/>
        <v>1</v>
      </c>
      <c r="BS50" s="192">
        <f t="shared" si="31"/>
        <v>1</v>
      </c>
      <c r="BT50" s="192">
        <f t="shared" si="32"/>
        <v>0</v>
      </c>
      <c r="BU50" s="192">
        <f t="shared" si="32"/>
        <v>0</v>
      </c>
      <c r="BV50" s="192">
        <f t="shared" si="33"/>
        <v>0</v>
      </c>
      <c r="BW50" s="192">
        <f t="shared" si="34"/>
        <v>1</v>
      </c>
      <c r="BX50" s="192">
        <f t="shared" si="35"/>
        <v>1</v>
      </c>
      <c r="BY50" s="192">
        <f t="shared" si="36"/>
        <v>1</v>
      </c>
      <c r="BZ50" s="192">
        <f t="shared" si="37"/>
        <v>1</v>
      </c>
      <c r="CA50" s="192">
        <f t="shared" si="38"/>
        <v>1</v>
      </c>
      <c r="CB50" s="192">
        <f t="shared" si="39"/>
        <v>1</v>
      </c>
      <c r="CS50" s="324" t="b">
        <f t="shared" si="50"/>
        <v>0</v>
      </c>
      <c r="CT50" s="324" t="b">
        <f t="shared" si="40"/>
        <v>0</v>
      </c>
      <c r="CU50" s="324" t="b">
        <f t="shared" si="41"/>
        <v>1</v>
      </c>
      <c r="CV50" s="324" t="b">
        <f t="shared" si="42"/>
        <v>1</v>
      </c>
      <c r="CW50" s="324" t="b">
        <f t="shared" si="43"/>
        <v>1</v>
      </c>
      <c r="CX50" s="324" t="str">
        <f t="shared" si="51"/>
        <v/>
      </c>
    </row>
    <row r="51" spans="2:102" ht="36.75" customHeight="1" x14ac:dyDescent="0.25">
      <c r="B51" s="7">
        <f t="shared" si="44"/>
        <v>21</v>
      </c>
      <c r="C51" s="7"/>
      <c r="D51" s="7"/>
      <c r="E51" s="7"/>
      <c r="F51" s="496" t="s">
        <v>172</v>
      </c>
      <c r="G51" s="6">
        <v>1</v>
      </c>
      <c r="H51" s="6">
        <v>1</v>
      </c>
      <c r="I51" s="6">
        <v>1</v>
      </c>
      <c r="J51" s="6">
        <v>1</v>
      </c>
      <c r="K51" s="6">
        <v>1</v>
      </c>
      <c r="L51" s="6">
        <v>1</v>
      </c>
      <c r="M51" s="6">
        <v>1</v>
      </c>
      <c r="N51" s="6">
        <v>1</v>
      </c>
      <c r="O51" s="6">
        <v>15</v>
      </c>
      <c r="P51" s="6">
        <v>15</v>
      </c>
      <c r="Q51" s="7">
        <f t="shared" si="45"/>
        <v>1</v>
      </c>
      <c r="R51" s="6">
        <v>1</v>
      </c>
      <c r="S51" s="6">
        <v>1</v>
      </c>
      <c r="T51" s="6">
        <v>1</v>
      </c>
      <c r="U51" s="6">
        <v>1</v>
      </c>
      <c r="V51" s="6"/>
      <c r="W51" s="6"/>
      <c r="X51" s="6"/>
      <c r="Y51" s="6"/>
      <c r="Z51" s="450">
        <v>29</v>
      </c>
      <c r="AA51" s="6">
        <v>321375</v>
      </c>
      <c r="AB51" s="7">
        <f t="shared" si="46"/>
        <v>1</v>
      </c>
      <c r="AC51" s="7">
        <f t="shared" si="47"/>
        <v>1</v>
      </c>
      <c r="AD51" s="7">
        <f>IF(G51="","",IF(AND(Z51&gt;='פרמטרים לקריטריונים'!$D$19,AA51&gt;='פרמטרים לקריטריונים'!$C$19),1,0))</f>
        <v>1</v>
      </c>
      <c r="AE51" s="7" cm="1">
        <f t="array" ref="AE51">IF($F51="","",IF(OR(SUMPRODUCT(--(Z51:AA51&gt;=$Z$5:$AA$5))=COUNTA($Z$29:$AA$29),OR(AND(X51=1,OR(AB51=1,AC51=1)),AND(Y51=1,AD51=1))),1,0))</f>
        <v>1</v>
      </c>
      <c r="AF51" s="6"/>
      <c r="AG51" s="6">
        <v>1</v>
      </c>
      <c r="AH51" s="6">
        <v>1</v>
      </c>
      <c r="AI51" s="6">
        <v>1</v>
      </c>
      <c r="AJ51" s="7">
        <f t="shared" si="4"/>
        <v>1</v>
      </c>
      <c r="AK51" s="7"/>
      <c r="AL51" s="7"/>
      <c r="AM51" s="7"/>
      <c r="AN51" s="7"/>
      <c r="AO51" s="229">
        <f t="shared" si="5"/>
        <v>1</v>
      </c>
      <c r="AP51" s="357" t="s">
        <v>166</v>
      </c>
      <c r="AQ51" s="193">
        <f t="shared" si="6"/>
        <v>1</v>
      </c>
      <c r="AR51" s="193">
        <f t="shared" si="48"/>
        <v>0</v>
      </c>
      <c r="AS51" s="193">
        <f t="shared" si="48"/>
        <v>1</v>
      </c>
      <c r="AT51" s="192">
        <f t="shared" si="49"/>
        <v>1</v>
      </c>
      <c r="AU51" s="192">
        <f t="shared" si="7"/>
        <v>1</v>
      </c>
      <c r="AV51" s="192">
        <f t="shared" si="8"/>
        <v>1</v>
      </c>
      <c r="AW51" s="192">
        <f t="shared" si="9"/>
        <v>1</v>
      </c>
      <c r="AX51" s="192">
        <f t="shared" si="10"/>
        <v>1</v>
      </c>
      <c r="AY51" s="192">
        <f t="shared" si="11"/>
        <v>1</v>
      </c>
      <c r="AZ51" s="192">
        <f t="shared" si="12"/>
        <v>1</v>
      </c>
      <c r="BA51" s="192">
        <f t="shared" si="13"/>
        <v>1</v>
      </c>
      <c r="BB51" s="192">
        <f t="shared" si="14"/>
        <v>1</v>
      </c>
      <c r="BC51" s="192">
        <f t="shared" si="15"/>
        <v>1</v>
      </c>
      <c r="BD51" s="192">
        <f t="shared" si="16"/>
        <v>1</v>
      </c>
      <c r="BE51" s="192">
        <f t="shared" si="17"/>
        <v>1</v>
      </c>
      <c r="BF51" s="192">
        <f t="shared" si="18"/>
        <v>1</v>
      </c>
      <c r="BG51" s="192">
        <f t="shared" si="19"/>
        <v>1</v>
      </c>
      <c r="BH51" s="192">
        <f t="shared" si="20"/>
        <v>1</v>
      </c>
      <c r="BI51" s="192">
        <f t="shared" si="21"/>
        <v>1</v>
      </c>
      <c r="BJ51" s="192">
        <f t="shared" si="22"/>
        <v>1</v>
      </c>
      <c r="BK51" s="192">
        <f t="shared" si="23"/>
        <v>1</v>
      </c>
      <c r="BL51" s="192">
        <f t="shared" si="24"/>
        <v>1</v>
      </c>
      <c r="BM51" s="192">
        <f t="shared" si="25"/>
        <v>1</v>
      </c>
      <c r="BN51" s="192">
        <f t="shared" si="26"/>
        <v>1</v>
      </c>
      <c r="BO51" s="192">
        <f t="shared" si="27"/>
        <v>1</v>
      </c>
      <c r="BP51" s="192">
        <f t="shared" si="28"/>
        <v>1</v>
      </c>
      <c r="BQ51" s="192">
        <f t="shared" si="29"/>
        <v>1</v>
      </c>
      <c r="BR51" s="192">
        <f t="shared" si="30"/>
        <v>1</v>
      </c>
      <c r="BS51" s="192">
        <f t="shared" si="31"/>
        <v>1</v>
      </c>
      <c r="BT51" s="192">
        <f t="shared" si="32"/>
        <v>1</v>
      </c>
      <c r="BU51" s="192">
        <f t="shared" si="32"/>
        <v>1</v>
      </c>
      <c r="BV51" s="192">
        <f t="shared" si="33"/>
        <v>1</v>
      </c>
      <c r="BW51" s="192">
        <f t="shared" si="34"/>
        <v>1</v>
      </c>
      <c r="BX51" s="192">
        <f t="shared" si="35"/>
        <v>1</v>
      </c>
      <c r="BY51" s="192">
        <f t="shared" si="36"/>
        <v>1</v>
      </c>
      <c r="BZ51" s="192">
        <f t="shared" si="37"/>
        <v>1</v>
      </c>
      <c r="CA51" s="192">
        <f t="shared" si="38"/>
        <v>1</v>
      </c>
      <c r="CB51" s="192">
        <f t="shared" si="39"/>
        <v>1</v>
      </c>
      <c r="CS51" s="324" t="b">
        <f t="shared" si="50"/>
        <v>1</v>
      </c>
      <c r="CT51" s="324" t="b">
        <f t="shared" si="40"/>
        <v>1</v>
      </c>
      <c r="CU51" s="324" t="b">
        <f t="shared" si="41"/>
        <v>1</v>
      </c>
      <c r="CV51" s="324" t="b">
        <f t="shared" si="42"/>
        <v>1</v>
      </c>
      <c r="CW51" s="324" t="b">
        <f t="shared" si="43"/>
        <v>1</v>
      </c>
      <c r="CX51" s="324">
        <f t="shared" si="51"/>
        <v>1</v>
      </c>
    </row>
    <row r="52" spans="2:102" ht="36.75" customHeight="1" x14ac:dyDescent="0.25">
      <c r="B52" s="7">
        <f t="shared" si="44"/>
        <v>22</v>
      </c>
      <c r="C52" s="7"/>
      <c r="D52" s="7"/>
      <c r="E52" s="7"/>
      <c r="F52" s="496" t="s">
        <v>173</v>
      </c>
      <c r="G52" s="6">
        <v>1</v>
      </c>
      <c r="H52" s="6">
        <v>1</v>
      </c>
      <c r="I52" s="6">
        <v>1</v>
      </c>
      <c r="J52" s="6">
        <v>1</v>
      </c>
      <c r="K52" s="6">
        <v>1</v>
      </c>
      <c r="L52" s="6">
        <v>1</v>
      </c>
      <c r="M52" s="6">
        <v>1</v>
      </c>
      <c r="N52" s="6">
        <v>1</v>
      </c>
      <c r="O52" s="6">
        <v>8</v>
      </c>
      <c r="P52" s="6">
        <v>7</v>
      </c>
      <c r="Q52" s="7">
        <f t="shared" si="45"/>
        <v>1</v>
      </c>
      <c r="R52" s="6">
        <v>1</v>
      </c>
      <c r="S52" s="6">
        <v>1</v>
      </c>
      <c r="T52" s="6">
        <v>1</v>
      </c>
      <c r="U52" s="6">
        <v>1</v>
      </c>
      <c r="V52" s="6"/>
      <c r="W52" s="6"/>
      <c r="X52" s="6"/>
      <c r="Y52" s="6"/>
      <c r="Z52" s="450">
        <v>32</v>
      </c>
      <c r="AA52" s="6">
        <v>290193</v>
      </c>
      <c r="AB52" s="7">
        <f t="shared" si="46"/>
        <v>1</v>
      </c>
      <c r="AC52" s="7">
        <f t="shared" si="47"/>
        <v>1</v>
      </c>
      <c r="AD52" s="7">
        <f>IF(G52="","",IF(AND(Z52&gt;='פרמטרים לקריטריונים'!$D$19,AA52&gt;='פרמטרים לקריטריונים'!$C$19),1,0))</f>
        <v>1</v>
      </c>
      <c r="AE52" s="7" cm="1">
        <f t="array" ref="AE52">IF($F52="","",IF(OR(SUMPRODUCT(--(Z52:AA52&gt;=$Z$5:$AA$5))=COUNTA($Z$29:$AA$29),OR(AND(X52=1,OR(AB52=1,AC52=1)),AND(Y52=1,AD52=1))),1,0))</f>
        <v>1</v>
      </c>
      <c r="AF52" s="6"/>
      <c r="AG52" s="6">
        <v>1</v>
      </c>
      <c r="AH52" s="6">
        <v>1</v>
      </c>
      <c r="AI52" s="6">
        <v>1</v>
      </c>
      <c r="AJ52" s="7">
        <f t="shared" si="4"/>
        <v>1</v>
      </c>
      <c r="AK52" s="7"/>
      <c r="AL52" s="7"/>
      <c r="AM52" s="7"/>
      <c r="AN52" s="7"/>
      <c r="AO52" s="229">
        <f t="shared" si="5"/>
        <v>1</v>
      </c>
      <c r="AP52" s="357" t="s">
        <v>166</v>
      </c>
      <c r="AQ52" s="193">
        <f t="shared" si="6"/>
        <v>1</v>
      </c>
      <c r="AR52" s="193">
        <f t="shared" si="48"/>
        <v>0</v>
      </c>
      <c r="AS52" s="193">
        <f t="shared" si="48"/>
        <v>1</v>
      </c>
      <c r="AT52" s="192">
        <f t="shared" si="49"/>
        <v>1</v>
      </c>
      <c r="AU52" s="192">
        <f t="shared" si="7"/>
        <v>1</v>
      </c>
      <c r="AV52" s="192">
        <f t="shared" si="8"/>
        <v>1</v>
      </c>
      <c r="AW52" s="192">
        <f t="shared" si="9"/>
        <v>1</v>
      </c>
      <c r="AX52" s="192">
        <f t="shared" si="10"/>
        <v>1</v>
      </c>
      <c r="AY52" s="192">
        <f t="shared" si="11"/>
        <v>1</v>
      </c>
      <c r="AZ52" s="192">
        <f t="shared" si="12"/>
        <v>1</v>
      </c>
      <c r="BA52" s="192">
        <f t="shared" si="13"/>
        <v>1</v>
      </c>
      <c r="BB52" s="192">
        <f t="shared" si="14"/>
        <v>1</v>
      </c>
      <c r="BC52" s="192">
        <f t="shared" si="15"/>
        <v>1</v>
      </c>
      <c r="BD52" s="192">
        <f t="shared" si="16"/>
        <v>1</v>
      </c>
      <c r="BE52" s="192">
        <f t="shared" si="17"/>
        <v>1</v>
      </c>
      <c r="BF52" s="192">
        <f t="shared" si="18"/>
        <v>1</v>
      </c>
      <c r="BG52" s="192">
        <f t="shared" si="19"/>
        <v>1</v>
      </c>
      <c r="BH52" s="192">
        <f t="shared" si="20"/>
        <v>1</v>
      </c>
      <c r="BI52" s="192">
        <f t="shared" si="21"/>
        <v>1</v>
      </c>
      <c r="BJ52" s="192">
        <f t="shared" si="22"/>
        <v>1</v>
      </c>
      <c r="BK52" s="192">
        <f t="shared" si="23"/>
        <v>1</v>
      </c>
      <c r="BL52" s="192">
        <f t="shared" si="24"/>
        <v>1</v>
      </c>
      <c r="BM52" s="192">
        <f t="shared" si="25"/>
        <v>1</v>
      </c>
      <c r="BN52" s="192">
        <f t="shared" si="26"/>
        <v>1</v>
      </c>
      <c r="BO52" s="192">
        <f t="shared" si="27"/>
        <v>1</v>
      </c>
      <c r="BP52" s="192">
        <f t="shared" si="28"/>
        <v>1</v>
      </c>
      <c r="BQ52" s="192">
        <f t="shared" si="29"/>
        <v>1</v>
      </c>
      <c r="BR52" s="192">
        <f t="shared" si="30"/>
        <v>1</v>
      </c>
      <c r="BS52" s="192">
        <f t="shared" si="31"/>
        <v>1</v>
      </c>
      <c r="BT52" s="192">
        <f t="shared" si="32"/>
        <v>1</v>
      </c>
      <c r="BU52" s="192">
        <f t="shared" si="32"/>
        <v>1</v>
      </c>
      <c r="BV52" s="192">
        <f t="shared" si="33"/>
        <v>1</v>
      </c>
      <c r="BW52" s="192">
        <f t="shared" si="34"/>
        <v>1</v>
      </c>
      <c r="BX52" s="192">
        <f t="shared" si="35"/>
        <v>1</v>
      </c>
      <c r="BY52" s="192">
        <f t="shared" si="36"/>
        <v>1</v>
      </c>
      <c r="BZ52" s="192">
        <f t="shared" si="37"/>
        <v>1</v>
      </c>
      <c r="CA52" s="192">
        <f t="shared" si="38"/>
        <v>1</v>
      </c>
      <c r="CB52" s="192">
        <f t="shared" si="39"/>
        <v>1</v>
      </c>
      <c r="CS52" s="324" t="b">
        <f t="shared" si="50"/>
        <v>1</v>
      </c>
      <c r="CT52" s="324" t="b">
        <f t="shared" si="40"/>
        <v>1</v>
      </c>
      <c r="CU52" s="324" t="b">
        <f t="shared" si="41"/>
        <v>1</v>
      </c>
      <c r="CV52" s="324" t="b">
        <f t="shared" si="42"/>
        <v>1</v>
      </c>
      <c r="CW52" s="324" t="b">
        <f t="shared" si="43"/>
        <v>1</v>
      </c>
      <c r="CX52" s="324">
        <f t="shared" si="51"/>
        <v>1</v>
      </c>
    </row>
    <row r="53" spans="2:102" ht="54" customHeight="1" x14ac:dyDescent="0.25">
      <c r="B53" s="7">
        <f t="shared" si="44"/>
        <v>23</v>
      </c>
      <c r="C53" s="7"/>
      <c r="D53" s="7"/>
      <c r="E53" s="7"/>
      <c r="F53" s="496" t="s">
        <v>174</v>
      </c>
      <c r="G53" s="6">
        <v>1</v>
      </c>
      <c r="H53" s="6">
        <v>1</v>
      </c>
      <c r="I53" s="6">
        <v>1</v>
      </c>
      <c r="J53" s="6">
        <v>1</v>
      </c>
      <c r="K53" s="6">
        <v>1</v>
      </c>
      <c r="L53" s="6">
        <v>1</v>
      </c>
      <c r="M53" s="6">
        <v>1</v>
      </c>
      <c r="N53" s="6">
        <v>1</v>
      </c>
      <c r="O53" s="6">
        <v>3</v>
      </c>
      <c r="P53" s="6">
        <v>3</v>
      </c>
      <c r="Q53" s="7">
        <f t="shared" si="45"/>
        <v>1</v>
      </c>
      <c r="R53" s="6">
        <v>1</v>
      </c>
      <c r="S53" s="6">
        <v>1</v>
      </c>
      <c r="T53" s="6">
        <v>1</v>
      </c>
      <c r="U53" s="6">
        <v>1</v>
      </c>
      <c r="V53" s="6"/>
      <c r="W53" s="6"/>
      <c r="X53" s="6"/>
      <c r="Y53" s="6"/>
      <c r="Z53" s="450">
        <v>28</v>
      </c>
      <c r="AA53" s="6">
        <v>83561</v>
      </c>
      <c r="AB53" s="7">
        <f t="shared" si="46"/>
        <v>1</v>
      </c>
      <c r="AC53" s="7">
        <f t="shared" si="47"/>
        <v>1</v>
      </c>
      <c r="AD53" s="7">
        <f>IF(G53="","",IF(AND(Z53&gt;='פרמטרים לקריטריונים'!$D$19,AA53&gt;='פרמטרים לקריטריונים'!$C$19),1,0))</f>
        <v>1</v>
      </c>
      <c r="AE53" s="7" cm="1">
        <f t="array" ref="AE53">IF($F53="","",IF(OR(SUMPRODUCT(--(Z53:AA53&gt;=$Z$5:$AA$5))=COUNTA($Z$29:$AA$29),OR(AND(X53=1,OR(AB53=1,AC53=1)),AND(Y53=1,AD53=1))),1,0))</f>
        <v>1</v>
      </c>
      <c r="AF53" s="6"/>
      <c r="AG53" s="6">
        <v>1</v>
      </c>
      <c r="AH53" s="6">
        <v>1</v>
      </c>
      <c r="AI53" s="6">
        <v>1</v>
      </c>
      <c r="AJ53" s="7">
        <f t="shared" si="4"/>
        <v>1</v>
      </c>
      <c r="AK53" s="7"/>
      <c r="AL53" s="7"/>
      <c r="AM53" s="7"/>
      <c r="AN53" s="7"/>
      <c r="AO53" s="229">
        <f t="shared" si="5"/>
        <v>1</v>
      </c>
      <c r="AP53" s="357" t="s">
        <v>166</v>
      </c>
      <c r="AQ53" s="193">
        <f t="shared" si="6"/>
        <v>1</v>
      </c>
      <c r="AR53" s="193">
        <f t="shared" si="48"/>
        <v>0</v>
      </c>
      <c r="AS53" s="193">
        <f t="shared" si="48"/>
        <v>1</v>
      </c>
      <c r="AT53" s="192">
        <f t="shared" si="49"/>
        <v>1</v>
      </c>
      <c r="AU53" s="192">
        <f t="shared" si="7"/>
        <v>1</v>
      </c>
      <c r="AV53" s="192">
        <f t="shared" si="8"/>
        <v>1</v>
      </c>
      <c r="AW53" s="192">
        <f t="shared" si="9"/>
        <v>1</v>
      </c>
      <c r="AX53" s="192">
        <f t="shared" si="10"/>
        <v>1</v>
      </c>
      <c r="AY53" s="192">
        <f t="shared" si="11"/>
        <v>1</v>
      </c>
      <c r="AZ53" s="192">
        <f t="shared" si="12"/>
        <v>1</v>
      </c>
      <c r="BA53" s="192">
        <f t="shared" si="13"/>
        <v>1</v>
      </c>
      <c r="BB53" s="192">
        <f t="shared" si="14"/>
        <v>1</v>
      </c>
      <c r="BC53" s="192">
        <f t="shared" si="15"/>
        <v>1</v>
      </c>
      <c r="BD53" s="192">
        <f t="shared" si="16"/>
        <v>1</v>
      </c>
      <c r="BE53" s="192">
        <f t="shared" si="17"/>
        <v>1</v>
      </c>
      <c r="BF53" s="192">
        <f t="shared" si="18"/>
        <v>1</v>
      </c>
      <c r="BG53" s="192">
        <f t="shared" si="19"/>
        <v>1</v>
      </c>
      <c r="BH53" s="192">
        <f t="shared" si="20"/>
        <v>1</v>
      </c>
      <c r="BI53" s="192">
        <f t="shared" si="21"/>
        <v>1</v>
      </c>
      <c r="BJ53" s="192">
        <f t="shared" si="22"/>
        <v>1</v>
      </c>
      <c r="BK53" s="192">
        <f t="shared" si="23"/>
        <v>1</v>
      </c>
      <c r="BL53" s="192">
        <f t="shared" si="24"/>
        <v>1</v>
      </c>
      <c r="BM53" s="192">
        <f t="shared" si="25"/>
        <v>1</v>
      </c>
      <c r="BN53" s="192">
        <f t="shared" si="26"/>
        <v>1</v>
      </c>
      <c r="BO53" s="192">
        <f t="shared" si="27"/>
        <v>1</v>
      </c>
      <c r="BP53" s="192">
        <f t="shared" si="28"/>
        <v>1</v>
      </c>
      <c r="BQ53" s="192">
        <f t="shared" si="29"/>
        <v>1</v>
      </c>
      <c r="BR53" s="192">
        <f t="shared" si="30"/>
        <v>1</v>
      </c>
      <c r="BS53" s="192">
        <f t="shared" si="31"/>
        <v>1</v>
      </c>
      <c r="BT53" s="192">
        <f t="shared" si="32"/>
        <v>1</v>
      </c>
      <c r="BU53" s="192">
        <f t="shared" si="32"/>
        <v>1</v>
      </c>
      <c r="BV53" s="192">
        <f t="shared" si="33"/>
        <v>1</v>
      </c>
      <c r="BW53" s="192">
        <f t="shared" si="34"/>
        <v>1</v>
      </c>
      <c r="BX53" s="192">
        <f t="shared" si="35"/>
        <v>1</v>
      </c>
      <c r="BY53" s="192">
        <f t="shared" si="36"/>
        <v>1</v>
      </c>
      <c r="BZ53" s="192">
        <f t="shared" si="37"/>
        <v>1</v>
      </c>
      <c r="CA53" s="192">
        <f t="shared" si="38"/>
        <v>1</v>
      </c>
      <c r="CB53" s="192">
        <f t="shared" si="39"/>
        <v>1</v>
      </c>
      <c r="CS53" s="324" t="b">
        <f t="shared" si="50"/>
        <v>1</v>
      </c>
      <c r="CT53" s="324" t="b">
        <f t="shared" si="40"/>
        <v>1</v>
      </c>
      <c r="CU53" s="324" t="b">
        <f t="shared" si="41"/>
        <v>1</v>
      </c>
      <c r="CV53" s="324" t="b">
        <f t="shared" si="42"/>
        <v>1</v>
      </c>
      <c r="CW53" s="324" t="b">
        <f t="shared" si="43"/>
        <v>1</v>
      </c>
      <c r="CX53" s="324">
        <f t="shared" si="51"/>
        <v>1</v>
      </c>
    </row>
    <row r="54" spans="2:102" ht="16.5" customHeight="1" x14ac:dyDescent="0.25">
      <c r="B54" s="7" t="str">
        <f t="shared" si="44"/>
        <v/>
      </c>
      <c r="C54" s="7"/>
      <c r="D54" s="7"/>
      <c r="E54" s="7"/>
      <c r="F54" s="496"/>
      <c r="G54" s="6"/>
      <c r="H54" s="6"/>
      <c r="I54" s="6"/>
      <c r="J54" s="6"/>
      <c r="K54" s="6"/>
      <c r="L54" s="6"/>
      <c r="M54" s="6"/>
      <c r="N54" s="6"/>
      <c r="O54" s="6"/>
      <c r="P54" s="6"/>
      <c r="Q54" s="7" t="str">
        <f t="shared" si="45"/>
        <v/>
      </c>
      <c r="R54" s="6" t="s">
        <v>186</v>
      </c>
      <c r="S54" s="6" t="s">
        <v>186</v>
      </c>
      <c r="T54" s="6" t="s">
        <v>186</v>
      </c>
      <c r="U54" s="6" t="s">
        <v>186</v>
      </c>
      <c r="V54" s="6"/>
      <c r="W54" s="6"/>
      <c r="X54" s="6"/>
      <c r="Y54" s="6"/>
      <c r="Z54" s="450"/>
      <c r="AA54" s="6"/>
      <c r="AB54" s="7" t="str">
        <f t="shared" si="46"/>
        <v/>
      </c>
      <c r="AC54" s="7" t="str">
        <f t="shared" si="47"/>
        <v/>
      </c>
      <c r="AD54" s="7" t="str">
        <f>IF(G54="","",IF(AND(Z54&gt;='פרמטרים לקריטריונים'!$D$19,AA54&gt;='פרמטרים לקריטריונים'!$C$19),1,0))</f>
        <v/>
      </c>
      <c r="AE54" s="7" t="str" cm="1">
        <f t="array" ref="AE54">IF($F54="","",IF(OR(SUMPRODUCT(--(Z54:AA54&gt;=$Z$5:$AA$5))=COUNTA($Z$29:$AA$29),OR(AND(X54=1,OR(AB54=1,AC54=1)),AND(Y54=1,AD54=1))),1,0))</f>
        <v/>
      </c>
      <c r="AF54" s="6"/>
      <c r="AG54" s="6"/>
      <c r="AH54" s="6"/>
      <c r="AI54" s="6"/>
      <c r="AJ54" s="7" t="str">
        <f t="shared" si="4"/>
        <v/>
      </c>
      <c r="AK54" s="7"/>
      <c r="AL54" s="7"/>
      <c r="AM54" s="7"/>
      <c r="AN54" s="7"/>
      <c r="AO54" s="229" t="str">
        <f t="shared" si="5"/>
        <v/>
      </c>
      <c r="AP54" s="357"/>
      <c r="AQ54" s="193">
        <f t="shared" si="6"/>
        <v>0</v>
      </c>
      <c r="AR54" s="193" t="str">
        <f t="shared" si="48"/>
        <v/>
      </c>
      <c r="AS54" s="193" t="str">
        <f t="shared" si="48"/>
        <v/>
      </c>
      <c r="AT54" s="192">
        <f t="shared" si="49"/>
        <v>0</v>
      </c>
      <c r="AU54" s="192">
        <f t="shared" si="7"/>
        <v>0</v>
      </c>
      <c r="AV54" s="192">
        <f t="shared" si="8"/>
        <v>0</v>
      </c>
      <c r="AW54" s="192">
        <f t="shared" si="9"/>
        <v>0</v>
      </c>
      <c r="AX54" s="192">
        <f t="shared" si="10"/>
        <v>0</v>
      </c>
      <c r="AY54" s="192">
        <f t="shared" si="11"/>
        <v>0</v>
      </c>
      <c r="AZ54" s="192">
        <f t="shared" si="12"/>
        <v>0</v>
      </c>
      <c r="BA54" s="192">
        <f t="shared" si="13"/>
        <v>0</v>
      </c>
      <c r="BB54" s="192">
        <f t="shared" si="14"/>
        <v>0</v>
      </c>
      <c r="BC54" s="192">
        <f t="shared" si="15"/>
        <v>0</v>
      </c>
      <c r="BD54" s="192">
        <f t="shared" si="16"/>
        <v>1</v>
      </c>
      <c r="BE54" s="192">
        <f t="shared" si="17"/>
        <v>0</v>
      </c>
      <c r="BF54" s="192">
        <f t="shared" si="18"/>
        <v>0</v>
      </c>
      <c r="BG54" s="192">
        <f t="shared" si="19"/>
        <v>0</v>
      </c>
      <c r="BH54" s="192">
        <f t="shared" si="20"/>
        <v>0</v>
      </c>
      <c r="BI54" s="192">
        <f t="shared" si="21"/>
        <v>1</v>
      </c>
      <c r="BJ54" s="192">
        <f t="shared" si="22"/>
        <v>1</v>
      </c>
      <c r="BK54" s="192">
        <f t="shared" si="23"/>
        <v>1</v>
      </c>
      <c r="BL54" s="192">
        <f t="shared" si="24"/>
        <v>1</v>
      </c>
      <c r="BM54" s="192">
        <f t="shared" si="25"/>
        <v>0</v>
      </c>
      <c r="BN54" s="192">
        <f t="shared" si="26"/>
        <v>0</v>
      </c>
      <c r="BO54" s="192">
        <f t="shared" si="27"/>
        <v>1</v>
      </c>
      <c r="BP54" s="192">
        <f t="shared" si="28"/>
        <v>1</v>
      </c>
      <c r="BQ54" s="192">
        <f t="shared" si="29"/>
        <v>1</v>
      </c>
      <c r="BR54" s="192">
        <f t="shared" si="30"/>
        <v>1</v>
      </c>
      <c r="BS54" s="192">
        <f t="shared" si="31"/>
        <v>1</v>
      </c>
      <c r="BT54" s="192">
        <f t="shared" si="32"/>
        <v>0</v>
      </c>
      <c r="BU54" s="192">
        <f t="shared" si="32"/>
        <v>0</v>
      </c>
      <c r="BV54" s="192">
        <f t="shared" si="33"/>
        <v>0</v>
      </c>
      <c r="BW54" s="192">
        <f t="shared" si="34"/>
        <v>1</v>
      </c>
      <c r="BX54" s="192">
        <f t="shared" si="35"/>
        <v>1</v>
      </c>
      <c r="BY54" s="192">
        <f t="shared" si="36"/>
        <v>1</v>
      </c>
      <c r="BZ54" s="192">
        <f t="shared" si="37"/>
        <v>1</v>
      </c>
      <c r="CA54" s="192">
        <f t="shared" si="38"/>
        <v>1</v>
      </c>
      <c r="CB54" s="192">
        <f t="shared" si="39"/>
        <v>1</v>
      </c>
      <c r="CS54" s="324" t="b">
        <f t="shared" si="50"/>
        <v>0</v>
      </c>
      <c r="CT54" s="324" t="b">
        <f t="shared" si="40"/>
        <v>0</v>
      </c>
      <c r="CU54" s="324" t="b">
        <f t="shared" si="41"/>
        <v>1</v>
      </c>
      <c r="CV54" s="324" t="b">
        <f t="shared" si="42"/>
        <v>1</v>
      </c>
      <c r="CW54" s="324" t="b">
        <f t="shared" si="43"/>
        <v>1</v>
      </c>
      <c r="CX54" s="324" t="str">
        <f t="shared" si="51"/>
        <v/>
      </c>
    </row>
    <row r="55" spans="2:102" ht="20.25" customHeight="1" x14ac:dyDescent="0.25">
      <c r="B55" s="7" t="str">
        <f t="shared" si="44"/>
        <v/>
      </c>
      <c r="C55" s="7"/>
      <c r="D55" s="7"/>
      <c r="E55" s="7"/>
      <c r="F55" s="496"/>
      <c r="G55" s="6"/>
      <c r="H55" s="6"/>
      <c r="I55" s="6"/>
      <c r="J55" s="6"/>
      <c r="K55" s="6"/>
      <c r="L55" s="6"/>
      <c r="M55" s="6"/>
      <c r="N55" s="6"/>
      <c r="O55" s="6"/>
      <c r="P55" s="6"/>
      <c r="Q55" s="7" t="str">
        <f t="shared" si="45"/>
        <v/>
      </c>
      <c r="R55" s="6"/>
      <c r="S55" s="6"/>
      <c r="T55" s="6"/>
      <c r="U55" s="6"/>
      <c r="V55" s="6"/>
      <c r="W55" s="6"/>
      <c r="X55" s="6"/>
      <c r="Y55" s="6"/>
      <c r="Z55" s="450"/>
      <c r="AA55" s="6"/>
      <c r="AB55" s="7" t="str">
        <f t="shared" si="46"/>
        <v/>
      </c>
      <c r="AC55" s="7" t="str">
        <f t="shared" si="47"/>
        <v/>
      </c>
      <c r="AD55" s="7" t="str">
        <f>IF(G55="","",IF(AND(Z55&gt;='פרמטרים לקריטריונים'!$D$19,AA55&gt;='פרמטרים לקריטריונים'!$C$19),1,0))</f>
        <v/>
      </c>
      <c r="AE55" s="7" t="str" cm="1">
        <f t="array" ref="AE55">IF($F55="","",IF(OR(SUMPRODUCT(--(Z55:AA55&gt;=$Z$5:$AA$5))=COUNTA($Z$29:$AA$29),OR(AND(X55=1,OR(AB55=1,AC55=1)),AND(Y55=1,AD55=1))),1,0))</f>
        <v/>
      </c>
      <c r="AF55" s="6"/>
      <c r="AG55" s="6"/>
      <c r="AH55" s="6"/>
      <c r="AI55" s="6"/>
      <c r="AJ55" s="7" t="str">
        <f t="shared" si="4"/>
        <v/>
      </c>
      <c r="AK55" s="7"/>
      <c r="AL55" s="7"/>
      <c r="AM55" s="7"/>
      <c r="AN55" s="7"/>
      <c r="AO55" s="229" t="str">
        <f t="shared" si="5"/>
        <v/>
      </c>
      <c r="AP55" s="357"/>
      <c r="AQ55" s="193">
        <f t="shared" si="6"/>
        <v>0</v>
      </c>
      <c r="AR55" s="193" t="str">
        <f t="shared" si="48"/>
        <v/>
      </c>
      <c r="AS55" s="193" t="str">
        <f t="shared" si="48"/>
        <v/>
      </c>
      <c r="AT55" s="192">
        <f t="shared" si="49"/>
        <v>0</v>
      </c>
      <c r="AU55" s="192">
        <f t="shared" si="7"/>
        <v>0</v>
      </c>
      <c r="AV55" s="192">
        <f t="shared" si="8"/>
        <v>0</v>
      </c>
      <c r="AW55" s="192">
        <f t="shared" si="9"/>
        <v>0</v>
      </c>
      <c r="AX55" s="192">
        <f t="shared" si="10"/>
        <v>0</v>
      </c>
      <c r="AY55" s="192">
        <f t="shared" si="11"/>
        <v>0</v>
      </c>
      <c r="AZ55" s="192">
        <f t="shared" si="12"/>
        <v>0</v>
      </c>
      <c r="BA55" s="192">
        <f t="shared" si="13"/>
        <v>0</v>
      </c>
      <c r="BB55" s="192">
        <f t="shared" si="14"/>
        <v>0</v>
      </c>
      <c r="BC55" s="192">
        <f t="shared" si="15"/>
        <v>0</v>
      </c>
      <c r="BD55" s="192">
        <f t="shared" si="16"/>
        <v>1</v>
      </c>
      <c r="BE55" s="192">
        <f t="shared" si="17"/>
        <v>0</v>
      </c>
      <c r="BF55" s="192">
        <f t="shared" si="18"/>
        <v>0</v>
      </c>
      <c r="BG55" s="192">
        <f t="shared" si="19"/>
        <v>0</v>
      </c>
      <c r="BH55" s="192">
        <f t="shared" si="20"/>
        <v>0</v>
      </c>
      <c r="BI55" s="192">
        <f t="shared" si="21"/>
        <v>1</v>
      </c>
      <c r="BJ55" s="192">
        <f t="shared" si="22"/>
        <v>1</v>
      </c>
      <c r="BK55" s="192">
        <f t="shared" si="23"/>
        <v>1</v>
      </c>
      <c r="BL55" s="192">
        <f t="shared" si="24"/>
        <v>1</v>
      </c>
      <c r="BM55" s="192">
        <f t="shared" si="25"/>
        <v>0</v>
      </c>
      <c r="BN55" s="192">
        <f t="shared" si="26"/>
        <v>0</v>
      </c>
      <c r="BO55" s="192">
        <f t="shared" si="27"/>
        <v>1</v>
      </c>
      <c r="BP55" s="192">
        <f t="shared" si="28"/>
        <v>1</v>
      </c>
      <c r="BQ55" s="192">
        <f t="shared" si="29"/>
        <v>1</v>
      </c>
      <c r="BR55" s="192">
        <f t="shared" si="30"/>
        <v>1</v>
      </c>
      <c r="BS55" s="192">
        <f t="shared" si="31"/>
        <v>1</v>
      </c>
      <c r="BT55" s="192">
        <f t="shared" si="32"/>
        <v>0</v>
      </c>
      <c r="BU55" s="192">
        <f t="shared" si="32"/>
        <v>0</v>
      </c>
      <c r="BV55" s="192">
        <f t="shared" si="33"/>
        <v>0</v>
      </c>
      <c r="BW55" s="192">
        <f t="shared" si="34"/>
        <v>1</v>
      </c>
      <c r="BX55" s="192">
        <f t="shared" si="35"/>
        <v>1</v>
      </c>
      <c r="BY55" s="192">
        <f t="shared" si="36"/>
        <v>1</v>
      </c>
      <c r="BZ55" s="192">
        <f t="shared" si="37"/>
        <v>1</v>
      </c>
      <c r="CA55" s="192">
        <f t="shared" si="38"/>
        <v>1</v>
      </c>
      <c r="CB55" s="192">
        <f t="shared" si="39"/>
        <v>1</v>
      </c>
      <c r="CS55" s="324" t="b">
        <f t="shared" si="50"/>
        <v>0</v>
      </c>
      <c r="CT55" s="324" t="b">
        <f t="shared" si="40"/>
        <v>0</v>
      </c>
      <c r="CU55" s="324" t="b">
        <f t="shared" si="41"/>
        <v>1</v>
      </c>
      <c r="CV55" s="324" t="b">
        <f t="shared" si="42"/>
        <v>1</v>
      </c>
      <c r="CW55" s="324" t="b">
        <f t="shared" si="43"/>
        <v>1</v>
      </c>
      <c r="CX55" s="324" t="str">
        <f t="shared" si="51"/>
        <v/>
      </c>
    </row>
    <row r="56" spans="2:102" ht="36.75" customHeight="1" x14ac:dyDescent="0.25">
      <c r="B56" s="7">
        <f t="shared" si="44"/>
        <v>26</v>
      </c>
      <c r="C56" s="7"/>
      <c r="D56" s="7"/>
      <c r="E56" s="7"/>
      <c r="F56" s="496" t="s">
        <v>175</v>
      </c>
      <c r="G56" s="6">
        <v>1</v>
      </c>
      <c r="H56" s="6">
        <v>1</v>
      </c>
      <c r="I56" s="6">
        <v>1</v>
      </c>
      <c r="J56" s="6">
        <v>1</v>
      </c>
      <c r="K56" s="6">
        <v>1</v>
      </c>
      <c r="L56" s="6">
        <v>1</v>
      </c>
      <c r="M56" s="6">
        <v>1</v>
      </c>
      <c r="N56" s="6">
        <v>1</v>
      </c>
      <c r="O56" s="6">
        <v>31</v>
      </c>
      <c r="P56" s="6">
        <v>26</v>
      </c>
      <c r="Q56" s="7">
        <f t="shared" si="45"/>
        <v>1</v>
      </c>
      <c r="R56" s="6">
        <v>1</v>
      </c>
      <c r="S56" s="6">
        <v>1</v>
      </c>
      <c r="T56" s="6">
        <v>1</v>
      </c>
      <c r="U56" s="6">
        <v>1</v>
      </c>
      <c r="V56" s="6"/>
      <c r="W56" s="6"/>
      <c r="X56" s="6"/>
      <c r="Y56" s="6"/>
      <c r="Z56" s="450">
        <v>35</v>
      </c>
      <c r="AA56" s="6">
        <v>212902</v>
      </c>
      <c r="AB56" s="7">
        <f t="shared" si="46"/>
        <v>1</v>
      </c>
      <c r="AC56" s="7">
        <f t="shared" si="47"/>
        <v>1</v>
      </c>
      <c r="AD56" s="7">
        <f>IF(G56="","",IF(AND(Z56&gt;='פרמטרים לקריטריונים'!$D$19,AA56&gt;='פרמטרים לקריטריונים'!$C$19),1,0))</f>
        <v>1</v>
      </c>
      <c r="AE56" s="7" cm="1">
        <f t="array" ref="AE56">IF($F56="","",IF(OR(SUMPRODUCT(--(Z56:AA56&gt;=$Z$5:$AA$5))=COUNTA($Z$29:$AA$29),OR(AND(X56=1,OR(AB56=1,AC56=1)),AND(Y56=1,AD56=1))),1,0))</f>
        <v>1</v>
      </c>
      <c r="AF56" s="6"/>
      <c r="AG56" s="6">
        <v>1</v>
      </c>
      <c r="AH56" s="6">
        <v>1</v>
      </c>
      <c r="AI56" s="6">
        <v>1</v>
      </c>
      <c r="AJ56" s="7">
        <f t="shared" si="4"/>
        <v>1</v>
      </c>
      <c r="AK56" s="7"/>
      <c r="AL56" s="7"/>
      <c r="AM56" s="7"/>
      <c r="AN56" s="7"/>
      <c r="AO56" s="229">
        <f t="shared" si="5"/>
        <v>1</v>
      </c>
      <c r="AP56" s="357" t="s">
        <v>166</v>
      </c>
      <c r="AQ56" s="193">
        <f t="shared" si="6"/>
        <v>1</v>
      </c>
      <c r="AR56" s="193">
        <f t="shared" si="48"/>
        <v>0</v>
      </c>
      <c r="AS56" s="193">
        <f t="shared" si="48"/>
        <v>1</v>
      </c>
      <c r="AT56" s="192">
        <f t="shared" si="49"/>
        <v>1</v>
      </c>
      <c r="AU56" s="192">
        <f t="shared" si="7"/>
        <v>1</v>
      </c>
      <c r="AV56" s="192">
        <f t="shared" si="8"/>
        <v>1</v>
      </c>
      <c r="AW56" s="192">
        <f t="shared" si="9"/>
        <v>1</v>
      </c>
      <c r="AX56" s="192">
        <f t="shared" si="10"/>
        <v>1</v>
      </c>
      <c r="AY56" s="192">
        <f t="shared" si="11"/>
        <v>1</v>
      </c>
      <c r="AZ56" s="192">
        <f t="shared" si="12"/>
        <v>1</v>
      </c>
      <c r="BA56" s="192">
        <f t="shared" si="13"/>
        <v>1</v>
      </c>
      <c r="BB56" s="192">
        <f t="shared" si="14"/>
        <v>1</v>
      </c>
      <c r="BC56" s="192">
        <f t="shared" si="15"/>
        <v>1</v>
      </c>
      <c r="BD56" s="192">
        <f t="shared" si="16"/>
        <v>1</v>
      </c>
      <c r="BE56" s="192">
        <f t="shared" si="17"/>
        <v>1</v>
      </c>
      <c r="BF56" s="192">
        <f t="shared" si="18"/>
        <v>1</v>
      </c>
      <c r="BG56" s="192">
        <f t="shared" si="19"/>
        <v>1</v>
      </c>
      <c r="BH56" s="192">
        <f t="shared" si="20"/>
        <v>1</v>
      </c>
      <c r="BI56" s="192">
        <f t="shared" si="21"/>
        <v>1</v>
      </c>
      <c r="BJ56" s="192">
        <f t="shared" si="22"/>
        <v>1</v>
      </c>
      <c r="BK56" s="192">
        <f t="shared" si="23"/>
        <v>1</v>
      </c>
      <c r="BL56" s="192">
        <f t="shared" si="24"/>
        <v>1</v>
      </c>
      <c r="BM56" s="192">
        <f t="shared" si="25"/>
        <v>1</v>
      </c>
      <c r="BN56" s="192">
        <f t="shared" si="26"/>
        <v>1</v>
      </c>
      <c r="BO56" s="192">
        <f t="shared" si="27"/>
        <v>1</v>
      </c>
      <c r="BP56" s="192">
        <f t="shared" si="28"/>
        <v>1</v>
      </c>
      <c r="BQ56" s="192">
        <f t="shared" si="29"/>
        <v>1</v>
      </c>
      <c r="BR56" s="192">
        <f t="shared" si="30"/>
        <v>1</v>
      </c>
      <c r="BS56" s="192">
        <f t="shared" si="31"/>
        <v>1</v>
      </c>
      <c r="BT56" s="192">
        <f t="shared" si="32"/>
        <v>1</v>
      </c>
      <c r="BU56" s="192">
        <f t="shared" si="32"/>
        <v>1</v>
      </c>
      <c r="BV56" s="192">
        <f t="shared" si="33"/>
        <v>1</v>
      </c>
      <c r="BW56" s="192">
        <f t="shared" si="34"/>
        <v>1</v>
      </c>
      <c r="BX56" s="192">
        <f t="shared" si="35"/>
        <v>1</v>
      </c>
      <c r="BY56" s="192">
        <f t="shared" si="36"/>
        <v>1</v>
      </c>
      <c r="BZ56" s="192">
        <f t="shared" si="37"/>
        <v>1</v>
      </c>
      <c r="CA56" s="192">
        <f t="shared" si="38"/>
        <v>1</v>
      </c>
      <c r="CB56" s="192">
        <f t="shared" si="39"/>
        <v>1</v>
      </c>
      <c r="CS56" s="324" t="b">
        <f t="shared" si="50"/>
        <v>1</v>
      </c>
      <c r="CT56" s="324" t="b">
        <f t="shared" si="40"/>
        <v>1</v>
      </c>
      <c r="CU56" s="324" t="b">
        <f t="shared" si="41"/>
        <v>1</v>
      </c>
      <c r="CV56" s="324" t="b">
        <f t="shared" si="42"/>
        <v>1</v>
      </c>
      <c r="CW56" s="324" t="b">
        <f t="shared" si="43"/>
        <v>1</v>
      </c>
      <c r="CX56" s="324">
        <f t="shared" si="51"/>
        <v>1</v>
      </c>
    </row>
    <row r="57" spans="2:102" ht="36.75" customHeight="1" x14ac:dyDescent="0.25">
      <c r="B57" s="7">
        <f t="shared" si="44"/>
        <v>27</v>
      </c>
      <c r="C57" s="7"/>
      <c r="D57" s="7"/>
      <c r="E57" s="7"/>
      <c r="F57" s="496" t="s">
        <v>391</v>
      </c>
      <c r="G57" s="6">
        <v>1</v>
      </c>
      <c r="H57" s="6">
        <v>1</v>
      </c>
      <c r="I57" s="6">
        <v>1</v>
      </c>
      <c r="J57" s="6">
        <v>0</v>
      </c>
      <c r="K57" s="6">
        <v>1</v>
      </c>
      <c r="L57" s="6">
        <v>1</v>
      </c>
      <c r="M57" s="6">
        <v>1</v>
      </c>
      <c r="N57" s="6">
        <v>1</v>
      </c>
      <c r="O57" s="6">
        <v>25</v>
      </c>
      <c r="P57" s="6">
        <v>24</v>
      </c>
      <c r="Q57" s="7">
        <f t="shared" si="45"/>
        <v>1</v>
      </c>
      <c r="R57" s="6">
        <v>1</v>
      </c>
      <c r="S57" s="6">
        <v>1</v>
      </c>
      <c r="T57" s="6">
        <v>1</v>
      </c>
      <c r="U57" s="6">
        <v>1</v>
      </c>
      <c r="V57" s="6"/>
      <c r="W57" s="6"/>
      <c r="X57" s="6">
        <v>1</v>
      </c>
      <c r="Y57" s="6"/>
      <c r="Z57" s="450">
        <v>7</v>
      </c>
      <c r="AA57" s="6">
        <v>154302</v>
      </c>
      <c r="AB57" s="7">
        <f t="shared" si="46"/>
        <v>1</v>
      </c>
      <c r="AC57" s="7">
        <f t="shared" si="47"/>
        <v>1</v>
      </c>
      <c r="AD57" s="7">
        <f>IF(G57="","",IF(AND(Z57&gt;='פרמטרים לקריטריונים'!$D$19,AA57&gt;='פרמטרים לקריטריונים'!$C$19),1,0))</f>
        <v>1</v>
      </c>
      <c r="AE57" s="7" cm="1">
        <f t="array" ref="AE57">IF($F57="","",IF(OR(SUMPRODUCT(--(Z57:AA57&gt;=$Z$5:$AA$5))=COUNTA($Z$29:$AA$29),OR(AND(X57=1,OR(AB57=1,AC57=1)),AND(Y57=1,AD57=1))),1,0))</f>
        <v>1</v>
      </c>
      <c r="AF57" s="6"/>
      <c r="AG57" s="6">
        <v>1</v>
      </c>
      <c r="AH57" s="6">
        <v>1</v>
      </c>
      <c r="AI57" s="6">
        <v>0</v>
      </c>
      <c r="AJ57" s="7">
        <f t="shared" si="4"/>
        <v>1</v>
      </c>
      <c r="AK57" s="7"/>
      <c r="AL57" s="7"/>
      <c r="AM57" s="7"/>
      <c r="AN57" s="7"/>
      <c r="AO57" s="229">
        <f t="shared" si="5"/>
        <v>0</v>
      </c>
      <c r="AP57" s="357" t="s">
        <v>1082</v>
      </c>
      <c r="AQ57" s="193">
        <f t="shared" si="6"/>
        <v>1</v>
      </c>
      <c r="AR57" s="193">
        <f t="shared" si="48"/>
        <v>0</v>
      </c>
      <c r="AS57" s="193">
        <f t="shared" si="48"/>
        <v>1</v>
      </c>
      <c r="AT57" s="192">
        <f t="shared" si="49"/>
        <v>1</v>
      </c>
      <c r="AU57" s="192">
        <f t="shared" si="7"/>
        <v>1</v>
      </c>
      <c r="AV57" s="192">
        <f t="shared" si="8"/>
        <v>1</v>
      </c>
      <c r="AW57" s="192">
        <f t="shared" si="9"/>
        <v>1</v>
      </c>
      <c r="AX57" s="192">
        <f t="shared" si="10"/>
        <v>1</v>
      </c>
      <c r="AY57" s="192">
        <f t="shared" si="11"/>
        <v>1</v>
      </c>
      <c r="AZ57" s="192">
        <f t="shared" si="12"/>
        <v>1</v>
      </c>
      <c r="BA57" s="192">
        <f t="shared" si="13"/>
        <v>1</v>
      </c>
      <c r="BB57" s="192">
        <f t="shared" si="14"/>
        <v>1</v>
      </c>
      <c r="BC57" s="192">
        <f t="shared" si="15"/>
        <v>1</v>
      </c>
      <c r="BD57" s="192">
        <f t="shared" si="16"/>
        <v>1</v>
      </c>
      <c r="BE57" s="192">
        <f t="shared" si="17"/>
        <v>1</v>
      </c>
      <c r="BF57" s="192">
        <f t="shared" si="18"/>
        <v>1</v>
      </c>
      <c r="BG57" s="192">
        <f t="shared" si="19"/>
        <v>1</v>
      </c>
      <c r="BH57" s="192">
        <f t="shared" si="20"/>
        <v>1</v>
      </c>
      <c r="BI57" s="192">
        <f t="shared" si="21"/>
        <v>1</v>
      </c>
      <c r="BJ57" s="192">
        <f t="shared" si="22"/>
        <v>1</v>
      </c>
      <c r="BK57" s="192">
        <f t="shared" si="23"/>
        <v>1</v>
      </c>
      <c r="BL57" s="192">
        <f t="shared" si="24"/>
        <v>1</v>
      </c>
      <c r="BM57" s="192">
        <f t="shared" si="25"/>
        <v>1</v>
      </c>
      <c r="BN57" s="192">
        <f t="shared" si="26"/>
        <v>1</v>
      </c>
      <c r="BO57" s="192">
        <f t="shared" si="27"/>
        <v>1</v>
      </c>
      <c r="BP57" s="192">
        <f t="shared" si="28"/>
        <v>1</v>
      </c>
      <c r="BQ57" s="192">
        <f t="shared" si="29"/>
        <v>1</v>
      </c>
      <c r="BR57" s="192">
        <f t="shared" si="30"/>
        <v>1</v>
      </c>
      <c r="BS57" s="192">
        <f t="shared" si="31"/>
        <v>1</v>
      </c>
      <c r="BT57" s="192">
        <f t="shared" si="32"/>
        <v>1</v>
      </c>
      <c r="BU57" s="192">
        <f t="shared" si="32"/>
        <v>1</v>
      </c>
      <c r="BV57" s="192">
        <f t="shared" si="33"/>
        <v>1</v>
      </c>
      <c r="BW57" s="192">
        <f t="shared" si="34"/>
        <v>1</v>
      </c>
      <c r="BX57" s="192">
        <f t="shared" si="35"/>
        <v>1</v>
      </c>
      <c r="BY57" s="192">
        <f t="shared" si="36"/>
        <v>1</v>
      </c>
      <c r="BZ57" s="192">
        <f t="shared" si="37"/>
        <v>1</v>
      </c>
      <c r="CA57" s="192">
        <f t="shared" si="38"/>
        <v>1</v>
      </c>
      <c r="CB57" s="192">
        <f t="shared" si="39"/>
        <v>1</v>
      </c>
      <c r="CS57" s="324" t="b">
        <f t="shared" si="50"/>
        <v>1</v>
      </c>
      <c r="CT57" s="324" t="b">
        <f t="shared" si="40"/>
        <v>1</v>
      </c>
      <c r="CU57" s="324" t="b">
        <f t="shared" si="41"/>
        <v>1</v>
      </c>
      <c r="CV57" s="324" t="b">
        <f t="shared" si="42"/>
        <v>1</v>
      </c>
      <c r="CW57" s="324" t="b">
        <f t="shared" si="43"/>
        <v>1</v>
      </c>
      <c r="CX57" s="324">
        <f t="shared" si="51"/>
        <v>1</v>
      </c>
    </row>
    <row r="58" spans="2:102" ht="48.75" customHeight="1" x14ac:dyDescent="0.25">
      <c r="B58" s="7">
        <f t="shared" si="44"/>
        <v>28</v>
      </c>
      <c r="C58" s="7"/>
      <c r="D58" s="7"/>
      <c r="E58" s="7"/>
      <c r="F58" s="496" t="s">
        <v>412</v>
      </c>
      <c r="G58" s="6">
        <v>1</v>
      </c>
      <c r="H58" s="6">
        <v>1</v>
      </c>
      <c r="I58" s="6">
        <v>1</v>
      </c>
      <c r="J58" s="6">
        <v>1</v>
      </c>
      <c r="K58" s="6">
        <v>1</v>
      </c>
      <c r="L58" s="6">
        <v>1</v>
      </c>
      <c r="M58" s="6">
        <v>1</v>
      </c>
      <c r="N58" s="6">
        <v>1</v>
      </c>
      <c r="O58" s="6">
        <v>14</v>
      </c>
      <c r="P58" s="6">
        <v>12</v>
      </c>
      <c r="Q58" s="7">
        <f t="shared" si="45"/>
        <v>1</v>
      </c>
      <c r="R58" s="6">
        <v>1</v>
      </c>
      <c r="S58" s="6">
        <v>1</v>
      </c>
      <c r="T58" s="6">
        <v>1</v>
      </c>
      <c r="U58" s="6">
        <v>1</v>
      </c>
      <c r="V58" s="6"/>
      <c r="W58" s="6"/>
      <c r="X58" s="6"/>
      <c r="Y58" s="6"/>
      <c r="Z58" s="450">
        <v>16</v>
      </c>
      <c r="AA58" s="6">
        <v>252430</v>
      </c>
      <c r="AB58" s="7">
        <f t="shared" si="46"/>
        <v>1</v>
      </c>
      <c r="AC58" s="7">
        <f t="shared" si="47"/>
        <v>1</v>
      </c>
      <c r="AD58" s="7">
        <f>IF(G58="","",IF(AND(Z58&gt;='פרמטרים לקריטריונים'!$D$19,AA58&gt;='פרמטרים לקריטריונים'!$C$19),1,0))</f>
        <v>1</v>
      </c>
      <c r="AE58" s="7" cm="1">
        <f t="array" ref="AE58">IF($F58="","",IF(OR(SUMPRODUCT(--(Z58:AA58&gt;=$Z$5:$AA$5))=COUNTA($Z$29:$AA$29),OR(AND(X58=1,OR(AB58=1,AC58=1)),AND(Y58=1,AD58=1))),1,0))</f>
        <v>1</v>
      </c>
      <c r="AF58" s="6"/>
      <c r="AG58" s="6">
        <v>1</v>
      </c>
      <c r="AH58" s="6">
        <v>1</v>
      </c>
      <c r="AI58" s="6">
        <v>1</v>
      </c>
      <c r="AJ58" s="7">
        <f t="shared" si="4"/>
        <v>1</v>
      </c>
      <c r="AK58" s="7"/>
      <c r="AL58" s="7"/>
      <c r="AM58" s="7"/>
      <c r="AN58" s="7"/>
      <c r="AO58" s="229">
        <f t="shared" si="5"/>
        <v>1</v>
      </c>
      <c r="AP58" s="357" t="s">
        <v>166</v>
      </c>
      <c r="AQ58" s="193">
        <f t="shared" si="6"/>
        <v>1</v>
      </c>
      <c r="AR58" s="193">
        <f t="shared" si="48"/>
        <v>0</v>
      </c>
      <c r="AS58" s="193">
        <f t="shared" si="48"/>
        <v>1</v>
      </c>
      <c r="AT58" s="192">
        <f t="shared" si="49"/>
        <v>1</v>
      </c>
      <c r="AU58" s="192">
        <f t="shared" si="7"/>
        <v>1</v>
      </c>
      <c r="AV58" s="192">
        <f t="shared" si="8"/>
        <v>1</v>
      </c>
      <c r="AW58" s="192">
        <f t="shared" si="9"/>
        <v>1</v>
      </c>
      <c r="AX58" s="192">
        <f t="shared" si="10"/>
        <v>1</v>
      </c>
      <c r="AY58" s="192">
        <f t="shared" si="11"/>
        <v>1</v>
      </c>
      <c r="AZ58" s="192">
        <f t="shared" si="12"/>
        <v>1</v>
      </c>
      <c r="BA58" s="192">
        <f t="shared" si="13"/>
        <v>1</v>
      </c>
      <c r="BB58" s="192">
        <f t="shared" si="14"/>
        <v>1</v>
      </c>
      <c r="BC58" s="192">
        <f t="shared" si="15"/>
        <v>1</v>
      </c>
      <c r="BD58" s="192">
        <f t="shared" si="16"/>
        <v>1</v>
      </c>
      <c r="BE58" s="192">
        <f t="shared" si="17"/>
        <v>1</v>
      </c>
      <c r="BF58" s="192">
        <f t="shared" si="18"/>
        <v>1</v>
      </c>
      <c r="BG58" s="192">
        <f t="shared" si="19"/>
        <v>1</v>
      </c>
      <c r="BH58" s="192">
        <f t="shared" si="20"/>
        <v>1</v>
      </c>
      <c r="BI58" s="192">
        <f t="shared" si="21"/>
        <v>1</v>
      </c>
      <c r="BJ58" s="192">
        <f t="shared" si="22"/>
        <v>1</v>
      </c>
      <c r="BK58" s="192">
        <f t="shared" si="23"/>
        <v>1</v>
      </c>
      <c r="BL58" s="192">
        <f t="shared" si="24"/>
        <v>1</v>
      </c>
      <c r="BM58" s="192">
        <f t="shared" si="25"/>
        <v>1</v>
      </c>
      <c r="BN58" s="192">
        <f t="shared" si="26"/>
        <v>1</v>
      </c>
      <c r="BO58" s="192">
        <f t="shared" si="27"/>
        <v>1</v>
      </c>
      <c r="BP58" s="192">
        <f t="shared" si="28"/>
        <v>1</v>
      </c>
      <c r="BQ58" s="192">
        <f t="shared" si="29"/>
        <v>1</v>
      </c>
      <c r="BR58" s="192">
        <f t="shared" si="30"/>
        <v>1</v>
      </c>
      <c r="BS58" s="192">
        <f t="shared" si="31"/>
        <v>1</v>
      </c>
      <c r="BT58" s="192">
        <f t="shared" si="32"/>
        <v>1</v>
      </c>
      <c r="BU58" s="192">
        <f t="shared" si="32"/>
        <v>1</v>
      </c>
      <c r="BV58" s="192">
        <f t="shared" si="33"/>
        <v>1</v>
      </c>
      <c r="BW58" s="192">
        <f t="shared" si="34"/>
        <v>1</v>
      </c>
      <c r="BX58" s="192">
        <f t="shared" si="35"/>
        <v>1</v>
      </c>
      <c r="BY58" s="192">
        <f t="shared" si="36"/>
        <v>1</v>
      </c>
      <c r="BZ58" s="192">
        <f t="shared" si="37"/>
        <v>1</v>
      </c>
      <c r="CA58" s="192">
        <f t="shared" si="38"/>
        <v>1</v>
      </c>
      <c r="CB58" s="192">
        <f t="shared" si="39"/>
        <v>1</v>
      </c>
      <c r="CS58" s="324" t="b">
        <f t="shared" si="50"/>
        <v>1</v>
      </c>
      <c r="CT58" s="324" t="b">
        <f t="shared" si="40"/>
        <v>1</v>
      </c>
      <c r="CU58" s="324" t="b">
        <f t="shared" si="41"/>
        <v>1</v>
      </c>
      <c r="CV58" s="324" t="b">
        <f t="shared" si="42"/>
        <v>1</v>
      </c>
      <c r="CW58" s="324" t="b">
        <f t="shared" si="43"/>
        <v>1</v>
      </c>
      <c r="CX58" s="324">
        <f t="shared" si="51"/>
        <v>1</v>
      </c>
    </row>
    <row r="59" spans="2:102" ht="11.25" customHeight="1" x14ac:dyDescent="0.25">
      <c r="B59" s="7" t="str">
        <f t="shared" si="44"/>
        <v/>
      </c>
      <c r="C59" s="7"/>
      <c r="D59" s="7"/>
      <c r="E59" s="7"/>
      <c r="F59" s="499"/>
      <c r="G59" s="6"/>
      <c r="H59" s="6"/>
      <c r="I59" s="6"/>
      <c r="J59" s="6"/>
      <c r="K59" s="6"/>
      <c r="L59" s="6"/>
      <c r="M59" s="6"/>
      <c r="N59" s="6"/>
      <c r="O59" s="6"/>
      <c r="P59" s="6"/>
      <c r="Q59" s="7" t="str">
        <f t="shared" si="45"/>
        <v/>
      </c>
      <c r="R59" s="6"/>
      <c r="S59" s="6"/>
      <c r="T59" s="6"/>
      <c r="U59" s="6"/>
      <c r="V59" s="6"/>
      <c r="W59" s="6"/>
      <c r="X59" s="6"/>
      <c r="Y59" s="6"/>
      <c r="Z59" s="450"/>
      <c r="AA59" s="6"/>
      <c r="AB59" s="7" t="str">
        <f t="shared" si="46"/>
        <v/>
      </c>
      <c r="AC59" s="7" t="str">
        <f t="shared" si="47"/>
        <v/>
      </c>
      <c r="AD59" s="7" t="str">
        <f>IF(G59="","",IF(AND(Z59&gt;='פרמטרים לקריטריונים'!$D$19,AA59&gt;='פרמטרים לקריטריונים'!$C$19),1,0))</f>
        <v/>
      </c>
      <c r="AE59" s="7" t="str" cm="1">
        <f t="array" ref="AE59">IF($F59="","",IF(OR(SUMPRODUCT(--(Z59:AA59&gt;=$Z$5:$AA$5))=COUNTA($Z$29:$AA$29),OR(AND(X59=1,OR(AB59=1,AC59=1)),AND(Y59=1,AD59=1))),1,0))</f>
        <v/>
      </c>
      <c r="AF59" s="6"/>
      <c r="AG59" s="6"/>
      <c r="AH59" s="6"/>
      <c r="AI59" s="6"/>
      <c r="AJ59" s="7" t="str">
        <f t="shared" si="4"/>
        <v/>
      </c>
      <c r="AK59" s="7"/>
      <c r="AL59" s="7"/>
      <c r="AM59" s="7"/>
      <c r="AN59" s="7"/>
      <c r="AO59" s="229" t="str">
        <f t="shared" si="5"/>
        <v/>
      </c>
      <c r="AP59" s="357"/>
      <c r="AQ59" s="193">
        <f t="shared" si="6"/>
        <v>0</v>
      </c>
      <c r="AR59" s="193" t="str">
        <f t="shared" si="48"/>
        <v/>
      </c>
      <c r="AS59" s="193" t="str">
        <f t="shared" si="48"/>
        <v/>
      </c>
      <c r="AT59" s="192">
        <f t="shared" si="49"/>
        <v>0</v>
      </c>
      <c r="AU59" s="192">
        <f t="shared" si="7"/>
        <v>0</v>
      </c>
      <c r="AV59" s="192">
        <f t="shared" si="8"/>
        <v>0</v>
      </c>
      <c r="AW59" s="192">
        <f t="shared" si="9"/>
        <v>0</v>
      </c>
      <c r="AX59" s="192">
        <f t="shared" si="10"/>
        <v>0</v>
      </c>
      <c r="AY59" s="192">
        <f t="shared" si="11"/>
        <v>0</v>
      </c>
      <c r="AZ59" s="192">
        <f t="shared" si="12"/>
        <v>0</v>
      </c>
      <c r="BA59" s="192">
        <f t="shared" si="13"/>
        <v>0</v>
      </c>
      <c r="BB59" s="192">
        <f t="shared" si="14"/>
        <v>0</v>
      </c>
      <c r="BC59" s="192">
        <f t="shared" si="15"/>
        <v>0</v>
      </c>
      <c r="BD59" s="192">
        <f t="shared" si="16"/>
        <v>1</v>
      </c>
      <c r="BE59" s="192">
        <f t="shared" si="17"/>
        <v>0</v>
      </c>
      <c r="BF59" s="192">
        <f t="shared" si="18"/>
        <v>0</v>
      </c>
      <c r="BG59" s="192">
        <f t="shared" si="19"/>
        <v>0</v>
      </c>
      <c r="BH59" s="192">
        <f t="shared" si="20"/>
        <v>0</v>
      </c>
      <c r="BI59" s="192">
        <f t="shared" si="21"/>
        <v>1</v>
      </c>
      <c r="BJ59" s="192">
        <f t="shared" si="22"/>
        <v>1</v>
      </c>
      <c r="BK59" s="192">
        <f t="shared" si="23"/>
        <v>1</v>
      </c>
      <c r="BL59" s="192">
        <f t="shared" si="24"/>
        <v>1</v>
      </c>
      <c r="BM59" s="192">
        <f t="shared" si="25"/>
        <v>0</v>
      </c>
      <c r="BN59" s="192">
        <f t="shared" si="26"/>
        <v>0</v>
      </c>
      <c r="BO59" s="192">
        <f t="shared" si="27"/>
        <v>1</v>
      </c>
      <c r="BP59" s="192">
        <f t="shared" si="28"/>
        <v>1</v>
      </c>
      <c r="BQ59" s="192">
        <f t="shared" si="29"/>
        <v>1</v>
      </c>
      <c r="BR59" s="192">
        <f t="shared" si="30"/>
        <v>1</v>
      </c>
      <c r="BS59" s="192">
        <f t="shared" si="31"/>
        <v>1</v>
      </c>
      <c r="BT59" s="192">
        <f t="shared" si="32"/>
        <v>0</v>
      </c>
      <c r="BU59" s="192">
        <f t="shared" si="32"/>
        <v>0</v>
      </c>
      <c r="BV59" s="192">
        <f t="shared" si="33"/>
        <v>0</v>
      </c>
      <c r="BW59" s="192">
        <f t="shared" si="34"/>
        <v>1</v>
      </c>
      <c r="BX59" s="192">
        <f t="shared" si="35"/>
        <v>1</v>
      </c>
      <c r="BY59" s="192">
        <f t="shared" si="36"/>
        <v>1</v>
      </c>
      <c r="BZ59" s="192">
        <f t="shared" si="37"/>
        <v>1</v>
      </c>
      <c r="CA59" s="192">
        <f t="shared" si="38"/>
        <v>1</v>
      </c>
      <c r="CB59" s="192">
        <f t="shared" si="39"/>
        <v>1</v>
      </c>
      <c r="CS59" s="324" t="b">
        <f t="shared" si="50"/>
        <v>0</v>
      </c>
      <c r="CT59" s="324" t="b">
        <f t="shared" si="40"/>
        <v>0</v>
      </c>
      <c r="CU59" s="324" t="b">
        <f t="shared" si="41"/>
        <v>1</v>
      </c>
      <c r="CV59" s="324" t="b">
        <f t="shared" si="42"/>
        <v>1</v>
      </c>
      <c r="CW59" s="324" t="b">
        <f t="shared" si="43"/>
        <v>1</v>
      </c>
      <c r="CX59" s="324" t="str">
        <f t="shared" si="51"/>
        <v/>
      </c>
    </row>
    <row r="60" spans="2:102" ht="11.25" customHeight="1" x14ac:dyDescent="0.25">
      <c r="B60" s="7" t="str">
        <f t="shared" si="44"/>
        <v/>
      </c>
      <c r="C60" s="7"/>
      <c r="D60" s="7"/>
      <c r="E60" s="7"/>
      <c r="F60" s="496"/>
      <c r="G60" s="6"/>
      <c r="H60" s="6"/>
      <c r="I60" s="6"/>
      <c r="J60" s="6"/>
      <c r="K60" s="6"/>
      <c r="L60" s="6"/>
      <c r="M60" s="6"/>
      <c r="N60" s="6"/>
      <c r="O60" s="6"/>
      <c r="P60" s="6"/>
      <c r="Q60" s="7" t="str">
        <f t="shared" si="45"/>
        <v/>
      </c>
      <c r="R60" s="6"/>
      <c r="S60" s="6"/>
      <c r="T60" s="6"/>
      <c r="U60" s="6"/>
      <c r="V60" s="6"/>
      <c r="W60" s="6"/>
      <c r="X60" s="6"/>
      <c r="Y60" s="6"/>
      <c r="Z60" s="450"/>
      <c r="AA60" s="6"/>
      <c r="AB60" s="7" t="str">
        <f t="shared" si="46"/>
        <v/>
      </c>
      <c r="AC60" s="7" t="str">
        <f t="shared" si="47"/>
        <v/>
      </c>
      <c r="AD60" s="7" t="str">
        <f>IF(G60="","",IF(AND(Z60&gt;='פרמטרים לקריטריונים'!$D$19,AA60&gt;='פרמטרים לקריטריונים'!$C$19),1,0))</f>
        <v/>
      </c>
      <c r="AE60" s="7" t="str" cm="1">
        <f t="array" ref="AE60">IF($F60="","",IF(OR(SUMPRODUCT(--(Z60:AA60&gt;=$Z$5:$AA$5))=COUNTA($Z$29:$AA$29),OR(AND(X60=1,OR(AB60=1,AC60=1)),AND(Y60=1,AD60=1))),1,0))</f>
        <v/>
      </c>
      <c r="AF60" s="6"/>
      <c r="AG60" s="6"/>
      <c r="AH60" s="6"/>
      <c r="AI60" s="6"/>
      <c r="AJ60" s="7" t="str">
        <f t="shared" si="4"/>
        <v/>
      </c>
      <c r="AK60" s="7"/>
      <c r="AL60" s="7"/>
      <c r="AM60" s="7"/>
      <c r="AN60" s="7"/>
      <c r="AO60" s="229" t="str">
        <f t="shared" si="5"/>
        <v/>
      </c>
      <c r="AP60" s="357"/>
      <c r="AQ60" s="193">
        <f t="shared" si="6"/>
        <v>0</v>
      </c>
      <c r="AR60" s="193" t="str">
        <f t="shared" si="48"/>
        <v/>
      </c>
      <c r="AS60" s="193" t="str">
        <f t="shared" si="48"/>
        <v/>
      </c>
      <c r="AT60" s="192">
        <f t="shared" si="49"/>
        <v>0</v>
      </c>
      <c r="AU60" s="192">
        <f t="shared" si="7"/>
        <v>0</v>
      </c>
      <c r="AV60" s="192">
        <f t="shared" si="8"/>
        <v>0</v>
      </c>
      <c r="AW60" s="192">
        <f t="shared" si="9"/>
        <v>0</v>
      </c>
      <c r="AX60" s="192">
        <f t="shared" si="10"/>
        <v>0</v>
      </c>
      <c r="AY60" s="192">
        <f t="shared" si="11"/>
        <v>0</v>
      </c>
      <c r="AZ60" s="192">
        <f t="shared" si="12"/>
        <v>0</v>
      </c>
      <c r="BA60" s="192">
        <f t="shared" si="13"/>
        <v>0</v>
      </c>
      <c r="BB60" s="192">
        <f t="shared" si="14"/>
        <v>0</v>
      </c>
      <c r="BC60" s="192">
        <f t="shared" si="15"/>
        <v>0</v>
      </c>
      <c r="BD60" s="192">
        <f t="shared" si="16"/>
        <v>1</v>
      </c>
      <c r="BE60" s="192">
        <f t="shared" si="17"/>
        <v>0</v>
      </c>
      <c r="BF60" s="192">
        <f t="shared" si="18"/>
        <v>0</v>
      </c>
      <c r="BG60" s="192">
        <f t="shared" si="19"/>
        <v>0</v>
      </c>
      <c r="BH60" s="192">
        <f t="shared" si="20"/>
        <v>0</v>
      </c>
      <c r="BI60" s="192">
        <f t="shared" si="21"/>
        <v>1</v>
      </c>
      <c r="BJ60" s="192">
        <f t="shared" si="22"/>
        <v>1</v>
      </c>
      <c r="BK60" s="192">
        <f t="shared" si="23"/>
        <v>1</v>
      </c>
      <c r="BL60" s="192">
        <f t="shared" si="24"/>
        <v>1</v>
      </c>
      <c r="BM60" s="192">
        <f t="shared" si="25"/>
        <v>0</v>
      </c>
      <c r="BN60" s="192">
        <f t="shared" si="26"/>
        <v>0</v>
      </c>
      <c r="BO60" s="192">
        <f t="shared" si="27"/>
        <v>1</v>
      </c>
      <c r="BP60" s="192">
        <f t="shared" si="28"/>
        <v>1</v>
      </c>
      <c r="BQ60" s="192">
        <f t="shared" si="29"/>
        <v>1</v>
      </c>
      <c r="BR60" s="192">
        <f t="shared" si="30"/>
        <v>1</v>
      </c>
      <c r="BS60" s="192">
        <f t="shared" si="31"/>
        <v>1</v>
      </c>
      <c r="BT60" s="192">
        <f t="shared" si="32"/>
        <v>0</v>
      </c>
      <c r="BU60" s="192">
        <f t="shared" si="32"/>
        <v>0</v>
      </c>
      <c r="BV60" s="192">
        <f t="shared" si="33"/>
        <v>0</v>
      </c>
      <c r="BW60" s="192">
        <f t="shared" si="34"/>
        <v>1</v>
      </c>
      <c r="BX60" s="192">
        <f t="shared" si="35"/>
        <v>1</v>
      </c>
      <c r="BY60" s="192">
        <f t="shared" si="36"/>
        <v>1</v>
      </c>
      <c r="BZ60" s="192">
        <f t="shared" si="37"/>
        <v>1</v>
      </c>
      <c r="CA60" s="192">
        <f t="shared" si="38"/>
        <v>1</v>
      </c>
      <c r="CB60" s="192">
        <f t="shared" si="39"/>
        <v>1</v>
      </c>
      <c r="CS60" s="324" t="b">
        <f t="shared" si="50"/>
        <v>0</v>
      </c>
      <c r="CT60" s="324" t="b">
        <f t="shared" si="40"/>
        <v>0</v>
      </c>
      <c r="CU60" s="324" t="b">
        <f t="shared" si="41"/>
        <v>1</v>
      </c>
      <c r="CV60" s="324" t="b">
        <f t="shared" si="42"/>
        <v>1</v>
      </c>
      <c r="CW60" s="324" t="b">
        <f t="shared" si="43"/>
        <v>1</v>
      </c>
      <c r="CX60" s="324" t="str">
        <f t="shared" si="51"/>
        <v/>
      </c>
    </row>
    <row r="61" spans="2:102" ht="11.25" customHeight="1" x14ac:dyDescent="0.25">
      <c r="B61" s="7" t="str">
        <f t="shared" si="44"/>
        <v/>
      </c>
      <c r="C61" s="7"/>
      <c r="D61" s="7"/>
      <c r="E61" s="7"/>
      <c r="F61" s="500"/>
      <c r="G61" s="6"/>
      <c r="H61" s="6"/>
      <c r="I61" s="6"/>
      <c r="J61" s="6"/>
      <c r="K61" s="6"/>
      <c r="L61" s="6"/>
      <c r="M61" s="6"/>
      <c r="N61" s="6"/>
      <c r="O61" s="6"/>
      <c r="P61" s="6"/>
      <c r="Q61" s="7" t="str">
        <f t="shared" si="45"/>
        <v/>
      </c>
      <c r="R61" s="6"/>
      <c r="S61" s="6"/>
      <c r="T61" s="6"/>
      <c r="U61" s="6"/>
      <c r="V61" s="6"/>
      <c r="W61" s="6"/>
      <c r="X61" s="6"/>
      <c r="Y61" s="6"/>
      <c r="Z61" s="450"/>
      <c r="AA61" s="6"/>
      <c r="AB61" s="7" t="str">
        <f t="shared" si="46"/>
        <v/>
      </c>
      <c r="AC61" s="7" t="str">
        <f t="shared" si="47"/>
        <v/>
      </c>
      <c r="AD61" s="7" t="str">
        <f>IF(G61="","",IF(AND(Z61&gt;='פרמטרים לקריטריונים'!$D$19,AA61&gt;='פרמטרים לקריטריונים'!$C$19),1,0))</f>
        <v/>
      </c>
      <c r="AE61" s="7" t="str" cm="1">
        <f t="array" ref="AE61">IF($F61="","",IF(OR(SUMPRODUCT(--(Z61:AA61&gt;=$Z$5:$AA$5))=COUNTA($Z$29:$AA$29),OR(AND(X61=1,OR(AB61=1,AC61=1)),AND(Y61=1,AD61=1))),1,0))</f>
        <v/>
      </c>
      <c r="AF61" s="6"/>
      <c r="AG61" s="6"/>
      <c r="AH61" s="6"/>
      <c r="AI61" s="6"/>
      <c r="AJ61" s="7" t="str">
        <f t="shared" si="4"/>
        <v/>
      </c>
      <c r="AK61" s="7"/>
      <c r="AL61" s="7"/>
      <c r="AM61" s="7"/>
      <c r="AN61" s="7"/>
      <c r="AO61" s="229" t="str">
        <f t="shared" si="5"/>
        <v/>
      </c>
      <c r="AP61" s="357"/>
      <c r="AQ61" s="193">
        <f t="shared" si="6"/>
        <v>0</v>
      </c>
      <c r="AR61" s="193" t="str">
        <f t="shared" si="48"/>
        <v/>
      </c>
      <c r="AS61" s="193" t="str">
        <f t="shared" si="48"/>
        <v/>
      </c>
      <c r="AT61" s="192">
        <f t="shared" si="49"/>
        <v>0</v>
      </c>
      <c r="AU61" s="192">
        <f t="shared" si="7"/>
        <v>0</v>
      </c>
      <c r="AV61" s="192">
        <f t="shared" si="8"/>
        <v>0</v>
      </c>
      <c r="AW61" s="192">
        <f t="shared" si="9"/>
        <v>0</v>
      </c>
      <c r="AX61" s="192">
        <f t="shared" si="10"/>
        <v>0</v>
      </c>
      <c r="AY61" s="192">
        <f t="shared" si="11"/>
        <v>0</v>
      </c>
      <c r="AZ61" s="192">
        <f t="shared" si="12"/>
        <v>0</v>
      </c>
      <c r="BA61" s="192">
        <f t="shared" si="13"/>
        <v>0</v>
      </c>
      <c r="BB61" s="192">
        <f t="shared" si="14"/>
        <v>0</v>
      </c>
      <c r="BC61" s="192">
        <f t="shared" si="15"/>
        <v>0</v>
      </c>
      <c r="BD61" s="192">
        <f t="shared" si="16"/>
        <v>1</v>
      </c>
      <c r="BE61" s="192">
        <f t="shared" si="17"/>
        <v>0</v>
      </c>
      <c r="BF61" s="192">
        <f t="shared" si="18"/>
        <v>0</v>
      </c>
      <c r="BG61" s="192">
        <f t="shared" si="19"/>
        <v>0</v>
      </c>
      <c r="BH61" s="192">
        <f t="shared" si="20"/>
        <v>0</v>
      </c>
      <c r="BI61" s="192">
        <f t="shared" si="21"/>
        <v>1</v>
      </c>
      <c r="BJ61" s="192">
        <f t="shared" si="22"/>
        <v>1</v>
      </c>
      <c r="BK61" s="192">
        <f t="shared" si="23"/>
        <v>1</v>
      </c>
      <c r="BL61" s="192">
        <f t="shared" si="24"/>
        <v>1</v>
      </c>
      <c r="BM61" s="192">
        <f t="shared" si="25"/>
        <v>0</v>
      </c>
      <c r="BN61" s="192">
        <f t="shared" si="26"/>
        <v>0</v>
      </c>
      <c r="BO61" s="192">
        <f t="shared" si="27"/>
        <v>1</v>
      </c>
      <c r="BP61" s="192">
        <f t="shared" si="28"/>
        <v>1</v>
      </c>
      <c r="BQ61" s="192">
        <f t="shared" si="29"/>
        <v>1</v>
      </c>
      <c r="BR61" s="192">
        <f t="shared" si="30"/>
        <v>1</v>
      </c>
      <c r="BS61" s="192">
        <f t="shared" si="31"/>
        <v>1</v>
      </c>
      <c r="BT61" s="192">
        <f t="shared" si="32"/>
        <v>0</v>
      </c>
      <c r="BU61" s="192">
        <f t="shared" si="32"/>
        <v>0</v>
      </c>
      <c r="BV61" s="192">
        <f t="shared" si="33"/>
        <v>0</v>
      </c>
      <c r="BW61" s="192">
        <f t="shared" si="34"/>
        <v>1</v>
      </c>
      <c r="BX61" s="192">
        <f t="shared" si="35"/>
        <v>1</v>
      </c>
      <c r="BY61" s="192">
        <f t="shared" si="36"/>
        <v>1</v>
      </c>
      <c r="BZ61" s="192">
        <f t="shared" si="37"/>
        <v>1</v>
      </c>
      <c r="CA61" s="192">
        <f t="shared" si="38"/>
        <v>1</v>
      </c>
      <c r="CB61" s="192">
        <f t="shared" si="39"/>
        <v>1</v>
      </c>
      <c r="CS61" s="324" t="b">
        <f t="shared" si="50"/>
        <v>0</v>
      </c>
      <c r="CT61" s="324" t="b">
        <f t="shared" si="40"/>
        <v>0</v>
      </c>
      <c r="CU61" s="324" t="b">
        <f t="shared" si="41"/>
        <v>1</v>
      </c>
      <c r="CV61" s="324" t="b">
        <f t="shared" si="42"/>
        <v>1</v>
      </c>
      <c r="CW61" s="324" t="b">
        <f t="shared" si="43"/>
        <v>1</v>
      </c>
      <c r="CX61" s="324" t="str">
        <f t="shared" si="51"/>
        <v/>
      </c>
    </row>
    <row r="62" spans="2:102" ht="11.25" customHeight="1" x14ac:dyDescent="0.25">
      <c r="B62" s="7" t="str">
        <f t="shared" si="44"/>
        <v/>
      </c>
      <c r="C62" s="7"/>
      <c r="D62" s="7"/>
      <c r="E62" s="7"/>
      <c r="F62" s="496"/>
      <c r="G62" s="6"/>
      <c r="H62" s="6"/>
      <c r="I62" s="6"/>
      <c r="J62" s="6"/>
      <c r="K62" s="6"/>
      <c r="L62" s="6"/>
      <c r="M62" s="6"/>
      <c r="N62" s="6"/>
      <c r="O62" s="6"/>
      <c r="P62" s="6"/>
      <c r="Q62" s="7" t="str">
        <f t="shared" si="45"/>
        <v/>
      </c>
      <c r="R62" s="6"/>
      <c r="S62" s="6"/>
      <c r="T62" s="6"/>
      <c r="U62" s="6"/>
      <c r="V62" s="6"/>
      <c r="W62" s="6"/>
      <c r="X62" s="6"/>
      <c r="Y62" s="6"/>
      <c r="Z62" s="450"/>
      <c r="AA62" s="6"/>
      <c r="AB62" s="7" t="str">
        <f t="shared" si="46"/>
        <v/>
      </c>
      <c r="AC62" s="7" t="str">
        <f t="shared" si="47"/>
        <v/>
      </c>
      <c r="AD62" s="7" t="str">
        <f>IF(G62="","",IF(AND(Z62&gt;='פרמטרים לקריטריונים'!$D$19,AA62&gt;='פרמטרים לקריטריונים'!$C$19),1,0))</f>
        <v/>
      </c>
      <c r="AE62" s="7" t="str" cm="1">
        <f t="array" ref="AE62">IF($F62="","",IF(OR(SUMPRODUCT(--(Z62:AA62&gt;=$Z$5:$AA$5))=COUNTA($Z$29:$AA$29),OR(AND(X62=1,OR(AB62=1,AC62=1)),AND(Y62=1,AD62=1))),1,0))</f>
        <v/>
      </c>
      <c r="AF62" s="6"/>
      <c r="AG62" s="6"/>
      <c r="AH62" s="6"/>
      <c r="AI62" s="6"/>
      <c r="AJ62" s="7" t="str">
        <f t="shared" si="4"/>
        <v/>
      </c>
      <c r="AK62" s="7"/>
      <c r="AL62" s="7"/>
      <c r="AM62" s="7"/>
      <c r="AN62" s="7"/>
      <c r="AO62" s="229" t="str">
        <f t="shared" si="5"/>
        <v/>
      </c>
      <c r="AP62" s="357"/>
      <c r="AQ62" s="193">
        <f t="shared" si="6"/>
        <v>0</v>
      </c>
      <c r="AR62" s="193" t="str">
        <f t="shared" si="48"/>
        <v/>
      </c>
      <c r="AS62" s="193" t="str">
        <f t="shared" si="48"/>
        <v/>
      </c>
      <c r="AT62" s="192">
        <f t="shared" si="49"/>
        <v>0</v>
      </c>
      <c r="AU62" s="192">
        <f t="shared" si="7"/>
        <v>0</v>
      </c>
      <c r="AV62" s="192">
        <f t="shared" si="8"/>
        <v>0</v>
      </c>
      <c r="AW62" s="192">
        <f t="shared" si="9"/>
        <v>0</v>
      </c>
      <c r="AX62" s="192">
        <f t="shared" si="10"/>
        <v>0</v>
      </c>
      <c r="AY62" s="192">
        <f t="shared" si="11"/>
        <v>0</v>
      </c>
      <c r="AZ62" s="192">
        <f t="shared" si="12"/>
        <v>0</v>
      </c>
      <c r="BA62" s="192">
        <f t="shared" si="13"/>
        <v>0</v>
      </c>
      <c r="BB62" s="192">
        <f t="shared" si="14"/>
        <v>0</v>
      </c>
      <c r="BC62" s="192">
        <f t="shared" si="15"/>
        <v>0</v>
      </c>
      <c r="BD62" s="192">
        <f t="shared" si="16"/>
        <v>1</v>
      </c>
      <c r="BE62" s="192">
        <f t="shared" si="17"/>
        <v>0</v>
      </c>
      <c r="BF62" s="192">
        <f t="shared" si="18"/>
        <v>0</v>
      </c>
      <c r="BG62" s="192">
        <f t="shared" si="19"/>
        <v>0</v>
      </c>
      <c r="BH62" s="192">
        <f t="shared" si="20"/>
        <v>0</v>
      </c>
      <c r="BI62" s="192">
        <f t="shared" si="21"/>
        <v>1</v>
      </c>
      <c r="BJ62" s="192">
        <f t="shared" si="22"/>
        <v>1</v>
      </c>
      <c r="BK62" s="192">
        <f t="shared" si="23"/>
        <v>1</v>
      </c>
      <c r="BL62" s="192">
        <f t="shared" si="24"/>
        <v>1</v>
      </c>
      <c r="BM62" s="192">
        <f t="shared" si="25"/>
        <v>0</v>
      </c>
      <c r="BN62" s="192">
        <f t="shared" si="26"/>
        <v>0</v>
      </c>
      <c r="BO62" s="192">
        <f t="shared" si="27"/>
        <v>1</v>
      </c>
      <c r="BP62" s="192">
        <f t="shared" si="28"/>
        <v>1</v>
      </c>
      <c r="BQ62" s="192">
        <f t="shared" si="29"/>
        <v>1</v>
      </c>
      <c r="BR62" s="192">
        <f t="shared" si="30"/>
        <v>1</v>
      </c>
      <c r="BS62" s="192">
        <f t="shared" si="31"/>
        <v>1</v>
      </c>
      <c r="BT62" s="192">
        <f t="shared" si="32"/>
        <v>0</v>
      </c>
      <c r="BU62" s="192">
        <f t="shared" si="32"/>
        <v>0</v>
      </c>
      <c r="BV62" s="192">
        <f t="shared" si="33"/>
        <v>0</v>
      </c>
      <c r="BW62" s="192">
        <f t="shared" si="34"/>
        <v>1</v>
      </c>
      <c r="BX62" s="192">
        <f t="shared" si="35"/>
        <v>1</v>
      </c>
      <c r="BY62" s="192">
        <f t="shared" si="36"/>
        <v>1</v>
      </c>
      <c r="BZ62" s="192">
        <f t="shared" si="37"/>
        <v>1</v>
      </c>
      <c r="CA62" s="192">
        <f t="shared" si="38"/>
        <v>1</v>
      </c>
      <c r="CB62" s="192">
        <f t="shared" si="39"/>
        <v>1</v>
      </c>
      <c r="CS62" s="324" t="b">
        <f t="shared" si="50"/>
        <v>0</v>
      </c>
      <c r="CT62" s="324" t="b">
        <f t="shared" si="40"/>
        <v>0</v>
      </c>
      <c r="CU62" s="324" t="b">
        <f t="shared" si="41"/>
        <v>1</v>
      </c>
      <c r="CV62" s="324" t="b">
        <f t="shared" si="42"/>
        <v>1</v>
      </c>
      <c r="CW62" s="324" t="b">
        <f t="shared" si="43"/>
        <v>1</v>
      </c>
      <c r="CX62" s="324" t="str">
        <f t="shared" si="51"/>
        <v/>
      </c>
    </row>
    <row r="63" spans="2:102" ht="11.25" customHeight="1" x14ac:dyDescent="0.25">
      <c r="B63" s="7" t="str">
        <f t="shared" si="44"/>
        <v/>
      </c>
      <c r="C63" s="7"/>
      <c r="D63" s="7"/>
      <c r="E63" s="7"/>
      <c r="F63" s="499"/>
      <c r="G63" s="6"/>
      <c r="H63" s="6"/>
      <c r="I63" s="6"/>
      <c r="J63" s="6"/>
      <c r="K63" s="6"/>
      <c r="L63" s="6"/>
      <c r="M63" s="6"/>
      <c r="N63" s="6"/>
      <c r="O63" s="6"/>
      <c r="P63" s="6"/>
      <c r="Q63" s="7" t="str">
        <f t="shared" si="45"/>
        <v/>
      </c>
      <c r="R63" s="6"/>
      <c r="S63" s="6"/>
      <c r="T63" s="6"/>
      <c r="U63" s="6"/>
      <c r="V63" s="6"/>
      <c r="W63" s="6"/>
      <c r="X63" s="6"/>
      <c r="Y63" s="6"/>
      <c r="Z63" s="450"/>
      <c r="AA63" s="6"/>
      <c r="AB63" s="7" t="str">
        <f t="shared" si="46"/>
        <v/>
      </c>
      <c r="AC63" s="7" t="str">
        <f t="shared" si="47"/>
        <v/>
      </c>
      <c r="AD63" s="7" t="str">
        <f>IF(G63="","",IF(AND(Z63&gt;='פרמטרים לקריטריונים'!$D$19,AA63&gt;='פרמטרים לקריטריונים'!$C$19),1,0))</f>
        <v/>
      </c>
      <c r="AE63" s="7" t="str" cm="1">
        <f t="array" ref="AE63">IF($F63="","",IF(OR(SUMPRODUCT(--(Z63:AA63&gt;=$Z$5:$AA$5))=COUNTA($Z$29:$AA$29),OR(AND(X63=1,OR(AB63=1,AC63=1)),AND(Y63=1,AD63=1))),1,0))</f>
        <v/>
      </c>
      <c r="AF63" s="6"/>
      <c r="AG63" s="6"/>
      <c r="AH63" s="6"/>
      <c r="AI63" s="6"/>
      <c r="AJ63" s="7" t="str">
        <f t="shared" ref="AJ63:AJ94" si="52">IF(F63="","",IF(G63&gt;=$G$5,1,0))</f>
        <v/>
      </c>
      <c r="AK63" s="7"/>
      <c r="AL63" s="7"/>
      <c r="AM63" s="7"/>
      <c r="AN63" s="7"/>
      <c r="AO63" s="229" t="str">
        <f t="shared" ref="AO63:AO94" si="53">IF($F63="","",IF(AK63=1,1,IF(AQ63&lt;&gt;1,$AR$1,IF(SUMPRODUCT(--(G63:AJ63&gt;=$G$5:$AJ$5)*($G$5:$AJ$5&lt;&gt;"")*($G$4:$AJ$4=1))=COUNTIF($G$4:$AJ$4,1),1,0))))</f>
        <v/>
      </c>
      <c r="AP63" s="357"/>
      <c r="AQ63" s="193">
        <f t="shared" ref="AQ63:AQ94" si="54">IF(OR(SUM(AT63:CB63)&lt;&gt;COUNT(AT63:CB63),SUMPRODUCT(--(G63:AJ63=$AR$1))&lt;&gt;0),0,1)</f>
        <v>0</v>
      </c>
      <c r="AR63" s="193" t="str">
        <f t="shared" si="48"/>
        <v/>
      </c>
      <c r="AS63" s="193" t="str">
        <f t="shared" si="48"/>
        <v/>
      </c>
      <c r="AT63" s="192">
        <f t="shared" si="49"/>
        <v>0</v>
      </c>
      <c r="AU63" s="192">
        <f t="shared" si="7"/>
        <v>0</v>
      </c>
      <c r="AV63" s="192">
        <f t="shared" si="8"/>
        <v>0</v>
      </c>
      <c r="AW63" s="192">
        <f t="shared" si="9"/>
        <v>0</v>
      </c>
      <c r="AX63" s="192">
        <f t="shared" si="10"/>
        <v>0</v>
      </c>
      <c r="AY63" s="192">
        <f t="shared" si="11"/>
        <v>0</v>
      </c>
      <c r="AZ63" s="192">
        <f t="shared" si="12"/>
        <v>0</v>
      </c>
      <c r="BA63" s="192">
        <f t="shared" si="13"/>
        <v>0</v>
      </c>
      <c r="BB63" s="192">
        <f t="shared" si="14"/>
        <v>0</v>
      </c>
      <c r="BC63" s="192">
        <f t="shared" si="15"/>
        <v>0</v>
      </c>
      <c r="BD63" s="192">
        <f t="shared" si="16"/>
        <v>1</v>
      </c>
      <c r="BE63" s="192">
        <f t="shared" si="17"/>
        <v>0</v>
      </c>
      <c r="BF63" s="192">
        <f t="shared" si="18"/>
        <v>0</v>
      </c>
      <c r="BG63" s="192">
        <f t="shared" si="19"/>
        <v>0</v>
      </c>
      <c r="BH63" s="192">
        <f t="shared" si="20"/>
        <v>0</v>
      </c>
      <c r="BI63" s="192">
        <f t="shared" si="21"/>
        <v>1</v>
      </c>
      <c r="BJ63" s="192">
        <f t="shared" si="22"/>
        <v>1</v>
      </c>
      <c r="BK63" s="192">
        <f t="shared" si="23"/>
        <v>1</v>
      </c>
      <c r="BL63" s="192">
        <f t="shared" si="24"/>
        <v>1</v>
      </c>
      <c r="BM63" s="192">
        <f t="shared" si="25"/>
        <v>0</v>
      </c>
      <c r="BN63" s="192">
        <f t="shared" si="26"/>
        <v>0</v>
      </c>
      <c r="BO63" s="192">
        <f t="shared" si="27"/>
        <v>1</v>
      </c>
      <c r="BP63" s="192">
        <f t="shared" si="28"/>
        <v>1</v>
      </c>
      <c r="BQ63" s="192">
        <f t="shared" si="29"/>
        <v>1</v>
      </c>
      <c r="BR63" s="192">
        <f t="shared" si="30"/>
        <v>1</v>
      </c>
      <c r="BS63" s="192">
        <f t="shared" si="31"/>
        <v>1</v>
      </c>
      <c r="BT63" s="192">
        <f t="shared" si="32"/>
        <v>0</v>
      </c>
      <c r="BU63" s="192">
        <f t="shared" si="32"/>
        <v>0</v>
      </c>
      <c r="BV63" s="192">
        <f t="shared" si="33"/>
        <v>0</v>
      </c>
      <c r="BW63" s="192">
        <f t="shared" si="34"/>
        <v>1</v>
      </c>
      <c r="BX63" s="192">
        <f t="shared" si="35"/>
        <v>1</v>
      </c>
      <c r="BY63" s="192">
        <f t="shared" si="36"/>
        <v>1</v>
      </c>
      <c r="BZ63" s="192">
        <f t="shared" si="37"/>
        <v>1</v>
      </c>
      <c r="CA63" s="192">
        <f t="shared" si="38"/>
        <v>1</v>
      </c>
      <c r="CB63" s="192">
        <f t="shared" si="39"/>
        <v>1</v>
      </c>
      <c r="CS63" s="324" t="b">
        <f t="shared" si="50"/>
        <v>0</v>
      </c>
      <c r="CT63" s="324" t="b">
        <f t="shared" si="40"/>
        <v>0</v>
      </c>
      <c r="CU63" s="324" t="b">
        <f t="shared" si="41"/>
        <v>1</v>
      </c>
      <c r="CV63" s="324" t="b">
        <f t="shared" si="42"/>
        <v>1</v>
      </c>
      <c r="CW63" s="324" t="b">
        <f t="shared" si="43"/>
        <v>1</v>
      </c>
      <c r="CX63" s="324" t="str">
        <f t="shared" si="51"/>
        <v/>
      </c>
    </row>
    <row r="64" spans="2:102" ht="11.25" customHeight="1" x14ac:dyDescent="0.25">
      <c r="B64" s="7" t="str">
        <f t="shared" si="44"/>
        <v/>
      </c>
      <c r="C64" s="7"/>
      <c r="D64" s="7"/>
      <c r="E64" s="7"/>
      <c r="F64" s="499"/>
      <c r="G64" s="6"/>
      <c r="H64" s="6"/>
      <c r="I64" s="6"/>
      <c r="J64" s="6"/>
      <c r="K64" s="6"/>
      <c r="L64" s="6"/>
      <c r="M64" s="6"/>
      <c r="N64" s="6"/>
      <c r="O64" s="6"/>
      <c r="P64" s="6"/>
      <c r="Q64" s="7" t="str">
        <f t="shared" si="45"/>
        <v/>
      </c>
      <c r="R64" s="6"/>
      <c r="S64" s="6"/>
      <c r="T64" s="6"/>
      <c r="U64" s="6"/>
      <c r="V64" s="6"/>
      <c r="W64" s="6"/>
      <c r="X64" s="6"/>
      <c r="Y64" s="6"/>
      <c r="Z64" s="450"/>
      <c r="AA64" s="6"/>
      <c r="AB64" s="7" t="str">
        <f t="shared" si="46"/>
        <v/>
      </c>
      <c r="AC64" s="7" t="str">
        <f t="shared" si="47"/>
        <v/>
      </c>
      <c r="AD64" s="7" t="str">
        <f>IF(G64="","",IF(AND(Z64&gt;='פרמטרים לקריטריונים'!$D$19,AA64&gt;='פרמטרים לקריטריונים'!$C$19),1,0))</f>
        <v/>
      </c>
      <c r="AE64" s="7" t="str" cm="1">
        <f t="array" ref="AE64">IF($F64="","",IF(OR(SUMPRODUCT(--(Z64:AA64&gt;=$Z$5:$AA$5))=COUNTA($Z$29:$AA$29),OR(AND(X64=1,OR(AB64=1,AC64=1)),AND(Y64=1,AD64=1))),1,0))</f>
        <v/>
      </c>
      <c r="AF64" s="6"/>
      <c r="AG64" s="6"/>
      <c r="AH64" s="6"/>
      <c r="AI64" s="6"/>
      <c r="AJ64" s="7" t="str">
        <f t="shared" si="52"/>
        <v/>
      </c>
      <c r="AK64" s="7"/>
      <c r="AL64" s="7"/>
      <c r="AM64" s="7"/>
      <c r="AN64" s="7"/>
      <c r="AO64" s="229" t="str">
        <f t="shared" si="53"/>
        <v/>
      </c>
      <c r="AP64" s="357"/>
      <c r="AQ64" s="193">
        <f t="shared" si="54"/>
        <v>0</v>
      </c>
      <c r="AR64" s="193" t="str">
        <f t="shared" ref="AR64:AS91" si="55">IF($F64="","",AR$30)</f>
        <v/>
      </c>
      <c r="AS64" s="193" t="str">
        <f t="shared" si="55"/>
        <v/>
      </c>
      <c r="AT64" s="192">
        <f t="shared" si="49"/>
        <v>0</v>
      </c>
      <c r="AU64" s="192">
        <f t="shared" si="7"/>
        <v>0</v>
      </c>
      <c r="AV64" s="192">
        <f t="shared" si="8"/>
        <v>0</v>
      </c>
      <c r="AW64" s="192">
        <f t="shared" si="9"/>
        <v>0</v>
      </c>
      <c r="AX64" s="192">
        <f t="shared" si="10"/>
        <v>0</v>
      </c>
      <c r="AY64" s="192">
        <f t="shared" si="11"/>
        <v>0</v>
      </c>
      <c r="AZ64" s="192">
        <f t="shared" si="12"/>
        <v>0</v>
      </c>
      <c r="BA64" s="192">
        <f t="shared" si="13"/>
        <v>0</v>
      </c>
      <c r="BB64" s="192">
        <f t="shared" si="14"/>
        <v>0</v>
      </c>
      <c r="BC64" s="192">
        <f t="shared" si="15"/>
        <v>0</v>
      </c>
      <c r="BD64" s="192">
        <f t="shared" si="16"/>
        <v>1</v>
      </c>
      <c r="BE64" s="192">
        <f t="shared" si="17"/>
        <v>0</v>
      </c>
      <c r="BF64" s="192">
        <f t="shared" si="18"/>
        <v>0</v>
      </c>
      <c r="BG64" s="192">
        <f t="shared" si="19"/>
        <v>0</v>
      </c>
      <c r="BH64" s="192">
        <f t="shared" si="20"/>
        <v>0</v>
      </c>
      <c r="BI64" s="192">
        <f t="shared" si="21"/>
        <v>1</v>
      </c>
      <c r="BJ64" s="192">
        <f t="shared" si="22"/>
        <v>1</v>
      </c>
      <c r="BK64" s="192">
        <f t="shared" si="23"/>
        <v>1</v>
      </c>
      <c r="BL64" s="192">
        <f t="shared" si="24"/>
        <v>1</v>
      </c>
      <c r="BM64" s="192">
        <f t="shared" si="25"/>
        <v>0</v>
      </c>
      <c r="BN64" s="192">
        <f t="shared" si="26"/>
        <v>0</v>
      </c>
      <c r="BO64" s="192">
        <f t="shared" si="27"/>
        <v>1</v>
      </c>
      <c r="BP64" s="192">
        <f t="shared" si="28"/>
        <v>1</v>
      </c>
      <c r="BQ64" s="192">
        <f t="shared" si="29"/>
        <v>1</v>
      </c>
      <c r="BR64" s="192">
        <f t="shared" si="30"/>
        <v>1</v>
      </c>
      <c r="BS64" s="192">
        <f t="shared" si="31"/>
        <v>1</v>
      </c>
      <c r="BT64" s="192">
        <f t="shared" si="32"/>
        <v>0</v>
      </c>
      <c r="BU64" s="192">
        <f t="shared" si="32"/>
        <v>0</v>
      </c>
      <c r="BV64" s="192">
        <f t="shared" si="33"/>
        <v>0</v>
      </c>
      <c r="BW64" s="192">
        <f t="shared" si="34"/>
        <v>1</v>
      </c>
      <c r="BX64" s="192">
        <f t="shared" si="35"/>
        <v>1</v>
      </c>
      <c r="BY64" s="192">
        <f t="shared" si="36"/>
        <v>1</v>
      </c>
      <c r="BZ64" s="192">
        <f t="shared" si="37"/>
        <v>1</v>
      </c>
      <c r="CA64" s="192">
        <f t="shared" si="38"/>
        <v>1</v>
      </c>
      <c r="CB64" s="192">
        <f t="shared" si="39"/>
        <v>1</v>
      </c>
      <c r="CS64" s="324" t="b">
        <f t="shared" si="50"/>
        <v>0</v>
      </c>
      <c r="CT64" s="324" t="b">
        <f t="shared" si="40"/>
        <v>0</v>
      </c>
      <c r="CU64" s="324" t="b">
        <f t="shared" si="41"/>
        <v>1</v>
      </c>
      <c r="CV64" s="324" t="b">
        <f t="shared" si="42"/>
        <v>1</v>
      </c>
      <c r="CW64" s="324" t="b">
        <f t="shared" si="43"/>
        <v>1</v>
      </c>
      <c r="CX64" s="324" t="str">
        <f t="shared" si="51"/>
        <v/>
      </c>
    </row>
    <row r="65" spans="2:102" ht="36.75" customHeight="1" x14ac:dyDescent="0.25">
      <c r="B65" s="7">
        <f t="shared" si="44"/>
        <v>35</v>
      </c>
      <c r="C65" s="7"/>
      <c r="D65" s="7"/>
      <c r="E65" s="7"/>
      <c r="F65" s="496" t="s">
        <v>176</v>
      </c>
      <c r="G65" s="6">
        <v>1</v>
      </c>
      <c r="H65" s="6">
        <v>1</v>
      </c>
      <c r="I65" s="6">
        <v>1</v>
      </c>
      <c r="J65" s="6">
        <v>1</v>
      </c>
      <c r="K65" s="6">
        <v>1</v>
      </c>
      <c r="L65" s="6">
        <v>1</v>
      </c>
      <c r="M65" s="6">
        <v>1</v>
      </c>
      <c r="N65" s="6">
        <v>1</v>
      </c>
      <c r="O65" s="6">
        <v>40</v>
      </c>
      <c r="P65" s="6">
        <v>26</v>
      </c>
      <c r="Q65" s="7">
        <f t="shared" si="45"/>
        <v>1</v>
      </c>
      <c r="R65" s="6">
        <v>1</v>
      </c>
      <c r="S65" s="6">
        <v>1</v>
      </c>
      <c r="T65" s="6">
        <v>1</v>
      </c>
      <c r="U65" s="6">
        <v>1</v>
      </c>
      <c r="V65" s="6"/>
      <c r="W65" s="6"/>
      <c r="X65" s="6"/>
      <c r="Y65" s="6"/>
      <c r="Z65" s="450">
        <v>26</v>
      </c>
      <c r="AA65" s="6">
        <v>552727</v>
      </c>
      <c r="AB65" s="7">
        <f t="shared" si="46"/>
        <v>1</v>
      </c>
      <c r="AC65" s="7">
        <f t="shared" si="47"/>
        <v>1</v>
      </c>
      <c r="AD65" s="7">
        <f>IF(G65="","",IF(AND(Z65&gt;='פרמטרים לקריטריונים'!$D$19,AA65&gt;='פרמטרים לקריטריונים'!$C$19),1,0))</f>
        <v>1</v>
      </c>
      <c r="AE65" s="7" cm="1">
        <f t="array" ref="AE65">IF($F65="","",IF(OR(SUMPRODUCT(--(Z65:AA65&gt;=$Z$5:$AA$5))=COUNTA($Z$29:$AA$29),OR(AND(X65=1,OR(AB65=1,AC65=1)),AND(Y65=1,AD65=1))),1,0))</f>
        <v>1</v>
      </c>
      <c r="AF65" s="6"/>
      <c r="AG65" s="6">
        <v>1</v>
      </c>
      <c r="AH65" s="6">
        <v>1</v>
      </c>
      <c r="AI65" s="6">
        <v>1</v>
      </c>
      <c r="AJ65" s="7">
        <f t="shared" si="52"/>
        <v>1</v>
      </c>
      <c r="AK65" s="7"/>
      <c r="AL65" s="7"/>
      <c r="AM65" s="7"/>
      <c r="AN65" s="7"/>
      <c r="AO65" s="229">
        <f t="shared" si="53"/>
        <v>1</v>
      </c>
      <c r="AP65" s="357" t="s">
        <v>166</v>
      </c>
      <c r="AQ65" s="193">
        <f t="shared" si="54"/>
        <v>1</v>
      </c>
      <c r="AR65" s="193">
        <f t="shared" si="55"/>
        <v>0</v>
      </c>
      <c r="AS65" s="193">
        <f t="shared" si="55"/>
        <v>1</v>
      </c>
      <c r="AT65" s="192">
        <f t="shared" si="49"/>
        <v>1</v>
      </c>
      <c r="AU65" s="192">
        <f t="shared" si="7"/>
        <v>1</v>
      </c>
      <c r="AV65" s="192">
        <f t="shared" si="8"/>
        <v>1</v>
      </c>
      <c r="AW65" s="192">
        <f t="shared" si="9"/>
        <v>1</v>
      </c>
      <c r="AX65" s="192">
        <f t="shared" si="10"/>
        <v>1</v>
      </c>
      <c r="AY65" s="192">
        <f t="shared" si="11"/>
        <v>1</v>
      </c>
      <c r="AZ65" s="192">
        <f t="shared" si="12"/>
        <v>1</v>
      </c>
      <c r="BA65" s="192">
        <f t="shared" si="13"/>
        <v>1</v>
      </c>
      <c r="BB65" s="192">
        <f t="shared" si="14"/>
        <v>1</v>
      </c>
      <c r="BC65" s="192">
        <f t="shared" si="15"/>
        <v>1</v>
      </c>
      <c r="BD65" s="192">
        <f t="shared" si="16"/>
        <v>1</v>
      </c>
      <c r="BE65" s="192">
        <f t="shared" si="17"/>
        <v>1</v>
      </c>
      <c r="BF65" s="192">
        <f t="shared" si="18"/>
        <v>1</v>
      </c>
      <c r="BG65" s="192">
        <f t="shared" si="19"/>
        <v>1</v>
      </c>
      <c r="BH65" s="192">
        <f t="shared" si="20"/>
        <v>1</v>
      </c>
      <c r="BI65" s="192">
        <f t="shared" si="21"/>
        <v>1</v>
      </c>
      <c r="BJ65" s="192">
        <f t="shared" si="22"/>
        <v>1</v>
      </c>
      <c r="BK65" s="192">
        <f t="shared" si="23"/>
        <v>1</v>
      </c>
      <c r="BL65" s="192">
        <f t="shared" si="24"/>
        <v>1</v>
      </c>
      <c r="BM65" s="192">
        <f t="shared" si="25"/>
        <v>1</v>
      </c>
      <c r="BN65" s="192">
        <f t="shared" si="26"/>
        <v>1</v>
      </c>
      <c r="BO65" s="192">
        <f t="shared" si="27"/>
        <v>1</v>
      </c>
      <c r="BP65" s="192">
        <f t="shared" si="28"/>
        <v>1</v>
      </c>
      <c r="BQ65" s="192">
        <f t="shared" si="29"/>
        <v>1</v>
      </c>
      <c r="BR65" s="192">
        <f t="shared" si="30"/>
        <v>1</v>
      </c>
      <c r="BS65" s="192">
        <f t="shared" si="31"/>
        <v>1</v>
      </c>
      <c r="BT65" s="192">
        <f t="shared" si="32"/>
        <v>1</v>
      </c>
      <c r="BU65" s="192">
        <f t="shared" si="32"/>
        <v>1</v>
      </c>
      <c r="BV65" s="192">
        <f t="shared" si="33"/>
        <v>1</v>
      </c>
      <c r="BW65" s="192">
        <f t="shared" si="34"/>
        <v>1</v>
      </c>
      <c r="BX65" s="192">
        <f t="shared" si="35"/>
        <v>1</v>
      </c>
      <c r="BY65" s="192">
        <f t="shared" si="36"/>
        <v>1</v>
      </c>
      <c r="BZ65" s="192">
        <f t="shared" si="37"/>
        <v>1</v>
      </c>
      <c r="CA65" s="192">
        <f t="shared" si="38"/>
        <v>1</v>
      </c>
      <c r="CB65" s="192">
        <f t="shared" si="39"/>
        <v>1</v>
      </c>
      <c r="CS65" s="324" t="b">
        <f t="shared" si="50"/>
        <v>1</v>
      </c>
      <c r="CT65" s="324" t="b">
        <f t="shared" si="40"/>
        <v>1</v>
      </c>
      <c r="CU65" s="324" t="b">
        <f t="shared" si="41"/>
        <v>1</v>
      </c>
      <c r="CV65" s="324" t="b">
        <f t="shared" si="42"/>
        <v>1</v>
      </c>
      <c r="CW65" s="324" t="b">
        <f t="shared" si="43"/>
        <v>1</v>
      </c>
      <c r="CX65" s="324">
        <f t="shared" si="51"/>
        <v>1</v>
      </c>
    </row>
    <row r="66" spans="2:102" ht="15" customHeight="1" x14ac:dyDescent="0.25">
      <c r="B66" s="7" t="str">
        <f t="shared" si="44"/>
        <v/>
      </c>
      <c r="C66" s="7"/>
      <c r="D66" s="7"/>
      <c r="E66" s="7"/>
      <c r="F66" s="496"/>
      <c r="G66" s="6"/>
      <c r="H66" s="6"/>
      <c r="I66" s="6"/>
      <c r="J66" s="6"/>
      <c r="K66" s="6"/>
      <c r="L66" s="6"/>
      <c r="M66" s="6"/>
      <c r="N66" s="6"/>
      <c r="O66" s="6"/>
      <c r="P66" s="6"/>
      <c r="Q66" s="7" t="str">
        <f t="shared" si="45"/>
        <v/>
      </c>
      <c r="R66" s="6"/>
      <c r="S66" s="6"/>
      <c r="T66" s="6"/>
      <c r="U66" s="6"/>
      <c r="V66" s="6"/>
      <c r="W66" s="6"/>
      <c r="X66" s="6"/>
      <c r="Y66" s="6"/>
      <c r="Z66" s="450"/>
      <c r="AA66" s="6"/>
      <c r="AB66" s="7" t="str">
        <f t="shared" si="46"/>
        <v/>
      </c>
      <c r="AC66" s="7" t="str">
        <f t="shared" si="47"/>
        <v/>
      </c>
      <c r="AD66" s="7" t="str">
        <f>IF(G66="","",IF(AND(Z66&gt;='פרמטרים לקריטריונים'!$D$19,AA66&gt;='פרמטרים לקריטריונים'!$C$19),1,0))</f>
        <v/>
      </c>
      <c r="AE66" s="7" t="str" cm="1">
        <f t="array" ref="AE66">IF($F66="","",IF(OR(SUMPRODUCT(--(Z66:AA66&gt;=$Z$5:$AA$5))=COUNTA($Z$29:$AA$29),OR(AND(X66=1,OR(AB66=1,AC66=1)),AND(Y66=1,AD66=1))),1,0))</f>
        <v/>
      </c>
      <c r="AF66" s="6"/>
      <c r="AG66" s="6"/>
      <c r="AH66" s="6"/>
      <c r="AI66" s="6"/>
      <c r="AJ66" s="7" t="str">
        <f t="shared" si="52"/>
        <v/>
      </c>
      <c r="AK66" s="7"/>
      <c r="AL66" s="7"/>
      <c r="AM66" s="7"/>
      <c r="AN66" s="7"/>
      <c r="AO66" s="229" t="str">
        <f t="shared" si="53"/>
        <v/>
      </c>
      <c r="AP66" s="357"/>
      <c r="AQ66" s="193">
        <f t="shared" si="54"/>
        <v>0</v>
      </c>
      <c r="AR66" s="193" t="str">
        <f t="shared" si="55"/>
        <v/>
      </c>
      <c r="AS66" s="193" t="str">
        <f t="shared" si="55"/>
        <v/>
      </c>
      <c r="AT66" s="192">
        <f t="shared" si="49"/>
        <v>0</v>
      </c>
      <c r="AU66" s="192">
        <f t="shared" si="7"/>
        <v>0</v>
      </c>
      <c r="AV66" s="192">
        <f t="shared" si="8"/>
        <v>0</v>
      </c>
      <c r="AW66" s="192">
        <f t="shared" si="9"/>
        <v>0</v>
      </c>
      <c r="AX66" s="192">
        <f t="shared" si="10"/>
        <v>0</v>
      </c>
      <c r="AY66" s="192">
        <f t="shared" si="11"/>
        <v>0</v>
      </c>
      <c r="AZ66" s="192">
        <f t="shared" si="12"/>
        <v>0</v>
      </c>
      <c r="BA66" s="192">
        <f t="shared" si="13"/>
        <v>0</v>
      </c>
      <c r="BB66" s="192">
        <f t="shared" si="14"/>
        <v>0</v>
      </c>
      <c r="BC66" s="192">
        <f t="shared" si="15"/>
        <v>0</v>
      </c>
      <c r="BD66" s="192">
        <f t="shared" si="16"/>
        <v>1</v>
      </c>
      <c r="BE66" s="192">
        <f t="shared" si="17"/>
        <v>0</v>
      </c>
      <c r="BF66" s="192">
        <f t="shared" si="18"/>
        <v>0</v>
      </c>
      <c r="BG66" s="192">
        <f t="shared" si="19"/>
        <v>0</v>
      </c>
      <c r="BH66" s="192">
        <f t="shared" si="20"/>
        <v>0</v>
      </c>
      <c r="BI66" s="192">
        <f t="shared" si="21"/>
        <v>1</v>
      </c>
      <c r="BJ66" s="192">
        <f t="shared" si="22"/>
        <v>1</v>
      </c>
      <c r="BK66" s="192">
        <f t="shared" si="23"/>
        <v>1</v>
      </c>
      <c r="BL66" s="192">
        <f t="shared" si="24"/>
        <v>1</v>
      </c>
      <c r="BM66" s="192">
        <f t="shared" si="25"/>
        <v>0</v>
      </c>
      <c r="BN66" s="192">
        <f t="shared" si="26"/>
        <v>0</v>
      </c>
      <c r="BO66" s="192">
        <f t="shared" si="27"/>
        <v>1</v>
      </c>
      <c r="BP66" s="192">
        <f t="shared" si="28"/>
        <v>1</v>
      </c>
      <c r="BQ66" s="192">
        <f t="shared" si="29"/>
        <v>1</v>
      </c>
      <c r="BR66" s="192">
        <f t="shared" si="30"/>
        <v>1</v>
      </c>
      <c r="BS66" s="192">
        <f t="shared" si="31"/>
        <v>1</v>
      </c>
      <c r="BT66" s="192">
        <f t="shared" si="32"/>
        <v>0</v>
      </c>
      <c r="BU66" s="192">
        <f t="shared" si="32"/>
        <v>0</v>
      </c>
      <c r="BV66" s="192">
        <f t="shared" si="33"/>
        <v>0</v>
      </c>
      <c r="BW66" s="192">
        <f t="shared" si="34"/>
        <v>1</v>
      </c>
      <c r="BX66" s="192">
        <f t="shared" si="35"/>
        <v>1</v>
      </c>
      <c r="BY66" s="192">
        <f t="shared" si="36"/>
        <v>1</v>
      </c>
      <c r="BZ66" s="192">
        <f t="shared" si="37"/>
        <v>1</v>
      </c>
      <c r="CA66" s="192">
        <f t="shared" si="38"/>
        <v>1</v>
      </c>
      <c r="CB66" s="192">
        <f t="shared" si="39"/>
        <v>1</v>
      </c>
      <c r="CS66" s="324" t="b">
        <f t="shared" si="50"/>
        <v>0</v>
      </c>
      <c r="CT66" s="324" t="b">
        <f t="shared" si="40"/>
        <v>0</v>
      </c>
      <c r="CU66" s="324" t="b">
        <f t="shared" si="41"/>
        <v>1</v>
      </c>
      <c r="CV66" s="324" t="b">
        <f t="shared" si="42"/>
        <v>1</v>
      </c>
      <c r="CW66" s="324" t="b">
        <f t="shared" si="43"/>
        <v>1</v>
      </c>
      <c r="CX66" s="324" t="str">
        <f t="shared" si="51"/>
        <v/>
      </c>
    </row>
    <row r="67" spans="2:102" ht="36.75" customHeight="1" x14ac:dyDescent="0.25">
      <c r="B67" s="7">
        <f t="shared" si="44"/>
        <v>37</v>
      </c>
      <c r="C67" s="7"/>
      <c r="D67" s="7"/>
      <c r="E67" s="7"/>
      <c r="F67" s="496" t="s">
        <v>177</v>
      </c>
      <c r="G67" s="6">
        <v>1</v>
      </c>
      <c r="H67" s="6">
        <v>1</v>
      </c>
      <c r="I67" s="6">
        <v>1</v>
      </c>
      <c r="J67" s="6">
        <v>1</v>
      </c>
      <c r="K67" s="6">
        <v>1</v>
      </c>
      <c r="L67" s="6">
        <v>1</v>
      </c>
      <c r="M67" s="6">
        <v>1</v>
      </c>
      <c r="N67" s="6">
        <v>1</v>
      </c>
      <c r="O67" s="6">
        <v>15</v>
      </c>
      <c r="P67" s="6">
        <v>14</v>
      </c>
      <c r="Q67" s="7">
        <f t="shared" si="45"/>
        <v>1</v>
      </c>
      <c r="R67" s="6">
        <v>1</v>
      </c>
      <c r="S67" s="6">
        <v>1</v>
      </c>
      <c r="T67" s="6">
        <v>1</v>
      </c>
      <c r="U67" s="6">
        <v>1</v>
      </c>
      <c r="V67" s="6"/>
      <c r="W67" s="6"/>
      <c r="X67" s="6"/>
      <c r="Y67" s="6"/>
      <c r="Z67" s="450">
        <v>22</v>
      </c>
      <c r="AA67" s="6">
        <v>562957</v>
      </c>
      <c r="AB67" s="7">
        <f t="shared" si="46"/>
        <v>1</v>
      </c>
      <c r="AC67" s="7">
        <f t="shared" si="47"/>
        <v>1</v>
      </c>
      <c r="AD67" s="7">
        <f>IF(G67="","",IF(AND(Z67&gt;='פרמטרים לקריטריונים'!$D$19,AA67&gt;='פרמטרים לקריטריונים'!$C$19),1,0))</f>
        <v>1</v>
      </c>
      <c r="AE67" s="7" cm="1">
        <f t="array" ref="AE67">IF($F67="","",IF(OR(SUMPRODUCT(--(Z67:AA67&gt;=$Z$5:$AA$5))=COUNTA($Z$29:$AA$29),OR(AND(X67=1,OR(AB67=1,AC67=1)),AND(Y67=1,AD67=1))),1,0))</f>
        <v>1</v>
      </c>
      <c r="AF67" s="6"/>
      <c r="AG67" s="6">
        <v>1</v>
      </c>
      <c r="AH67" s="6">
        <v>1</v>
      </c>
      <c r="AI67" s="6">
        <v>1</v>
      </c>
      <c r="AJ67" s="7">
        <f t="shared" si="52"/>
        <v>1</v>
      </c>
      <c r="AK67" s="7"/>
      <c r="AL67" s="7"/>
      <c r="AM67" s="7"/>
      <c r="AN67" s="7"/>
      <c r="AO67" s="229">
        <f t="shared" si="53"/>
        <v>1</v>
      </c>
      <c r="AP67" s="357" t="s">
        <v>166</v>
      </c>
      <c r="AQ67" s="193">
        <f t="shared" si="54"/>
        <v>1</v>
      </c>
      <c r="AR67" s="193">
        <f t="shared" si="55"/>
        <v>0</v>
      </c>
      <c r="AS67" s="193">
        <f t="shared" si="55"/>
        <v>1</v>
      </c>
      <c r="AT67" s="192">
        <f t="shared" si="49"/>
        <v>1</v>
      </c>
      <c r="AU67" s="192">
        <f t="shared" si="7"/>
        <v>1</v>
      </c>
      <c r="AV67" s="192">
        <f t="shared" si="8"/>
        <v>1</v>
      </c>
      <c r="AW67" s="192">
        <f t="shared" si="9"/>
        <v>1</v>
      </c>
      <c r="AX67" s="192">
        <f t="shared" si="10"/>
        <v>1</v>
      </c>
      <c r="AY67" s="192">
        <f t="shared" si="11"/>
        <v>1</v>
      </c>
      <c r="AZ67" s="192">
        <f t="shared" si="12"/>
        <v>1</v>
      </c>
      <c r="BA67" s="192">
        <f t="shared" si="13"/>
        <v>1</v>
      </c>
      <c r="BB67" s="192">
        <f t="shared" si="14"/>
        <v>1</v>
      </c>
      <c r="BC67" s="192">
        <f t="shared" si="15"/>
        <v>1</v>
      </c>
      <c r="BD67" s="192">
        <f t="shared" si="16"/>
        <v>1</v>
      </c>
      <c r="BE67" s="192">
        <f t="shared" si="17"/>
        <v>1</v>
      </c>
      <c r="BF67" s="192">
        <f t="shared" si="18"/>
        <v>1</v>
      </c>
      <c r="BG67" s="192">
        <f t="shared" si="19"/>
        <v>1</v>
      </c>
      <c r="BH67" s="192">
        <f t="shared" si="20"/>
        <v>1</v>
      </c>
      <c r="BI67" s="192">
        <f t="shared" si="21"/>
        <v>1</v>
      </c>
      <c r="BJ67" s="192">
        <f t="shared" si="22"/>
        <v>1</v>
      </c>
      <c r="BK67" s="192">
        <f t="shared" si="23"/>
        <v>1</v>
      </c>
      <c r="BL67" s="192">
        <f t="shared" si="24"/>
        <v>1</v>
      </c>
      <c r="BM67" s="192">
        <f t="shared" si="25"/>
        <v>1</v>
      </c>
      <c r="BN67" s="192">
        <f t="shared" si="26"/>
        <v>1</v>
      </c>
      <c r="BO67" s="192">
        <f t="shared" si="27"/>
        <v>1</v>
      </c>
      <c r="BP67" s="192">
        <f t="shared" si="28"/>
        <v>1</v>
      </c>
      <c r="BQ67" s="192">
        <f t="shared" si="29"/>
        <v>1</v>
      </c>
      <c r="BR67" s="192">
        <f t="shared" si="30"/>
        <v>1</v>
      </c>
      <c r="BS67" s="192">
        <f t="shared" si="31"/>
        <v>1</v>
      </c>
      <c r="BT67" s="192">
        <f t="shared" si="32"/>
        <v>1</v>
      </c>
      <c r="BU67" s="192">
        <f t="shared" si="32"/>
        <v>1</v>
      </c>
      <c r="BV67" s="192">
        <f t="shared" si="33"/>
        <v>1</v>
      </c>
      <c r="BW67" s="192">
        <f t="shared" si="34"/>
        <v>1</v>
      </c>
      <c r="BX67" s="192">
        <f t="shared" si="35"/>
        <v>1</v>
      </c>
      <c r="BY67" s="192">
        <f t="shared" si="36"/>
        <v>1</v>
      </c>
      <c r="BZ67" s="192">
        <f t="shared" si="37"/>
        <v>1</v>
      </c>
      <c r="CA67" s="192">
        <f t="shared" si="38"/>
        <v>1</v>
      </c>
      <c r="CB67" s="192">
        <f t="shared" si="39"/>
        <v>1</v>
      </c>
      <c r="CS67" s="324" t="b">
        <f t="shared" si="50"/>
        <v>1</v>
      </c>
      <c r="CT67" s="324" t="b">
        <f t="shared" si="40"/>
        <v>1</v>
      </c>
      <c r="CU67" s="324" t="b">
        <f t="shared" si="41"/>
        <v>1</v>
      </c>
      <c r="CV67" s="324" t="b">
        <f t="shared" si="42"/>
        <v>1</v>
      </c>
      <c r="CW67" s="324" t="b">
        <f t="shared" si="43"/>
        <v>1</v>
      </c>
      <c r="CX67" s="324">
        <f t="shared" si="51"/>
        <v>1</v>
      </c>
    </row>
    <row r="68" spans="2:102" ht="9.75" customHeight="1" x14ac:dyDescent="0.25">
      <c r="B68" s="7" t="str">
        <f t="shared" si="44"/>
        <v/>
      </c>
      <c r="C68" s="7"/>
      <c r="D68" s="7"/>
      <c r="E68" s="7"/>
      <c r="F68" s="496"/>
      <c r="G68" s="6"/>
      <c r="H68" s="6"/>
      <c r="I68" s="6"/>
      <c r="J68" s="6"/>
      <c r="K68" s="6"/>
      <c r="L68" s="6"/>
      <c r="M68" s="6"/>
      <c r="N68" s="6"/>
      <c r="O68" s="6"/>
      <c r="P68" s="6"/>
      <c r="Q68" s="7" t="str">
        <f t="shared" si="45"/>
        <v/>
      </c>
      <c r="R68" s="6"/>
      <c r="S68" s="6"/>
      <c r="T68" s="6"/>
      <c r="U68" s="6"/>
      <c r="V68" s="6"/>
      <c r="W68" s="6"/>
      <c r="X68" s="6"/>
      <c r="Y68" s="6"/>
      <c r="Z68" s="450"/>
      <c r="AA68" s="6"/>
      <c r="AB68" s="7" t="str">
        <f t="shared" si="46"/>
        <v/>
      </c>
      <c r="AC68" s="7" t="str">
        <f t="shared" si="47"/>
        <v/>
      </c>
      <c r="AD68" s="7" t="str">
        <f>IF(G68="","",IF(AND(Z68&gt;='פרמטרים לקריטריונים'!$D$19,AA68&gt;='פרמטרים לקריטריונים'!$C$19),1,0))</f>
        <v/>
      </c>
      <c r="AE68" s="7" t="str" cm="1">
        <f t="array" ref="AE68">IF($F68="","",IF(OR(SUMPRODUCT(--(Z68:AA68&gt;=$Z$5:$AA$5))=COUNTA($Z$29:$AA$29),OR(AND(X68=1,OR(AB68=1,AC68=1)),AND(Y68=1,AD68=1))),1,0))</f>
        <v/>
      </c>
      <c r="AF68" s="6"/>
      <c r="AG68" s="6"/>
      <c r="AH68" s="6"/>
      <c r="AI68" s="6"/>
      <c r="AJ68" s="7" t="str">
        <f t="shared" si="52"/>
        <v/>
      </c>
      <c r="AK68" s="7"/>
      <c r="AL68" s="7"/>
      <c r="AM68" s="7"/>
      <c r="AN68" s="7"/>
      <c r="AO68" s="229" t="str">
        <f t="shared" si="53"/>
        <v/>
      </c>
      <c r="AP68" s="357"/>
      <c r="AQ68" s="193">
        <f t="shared" si="54"/>
        <v>0</v>
      </c>
      <c r="AR68" s="193" t="str">
        <f t="shared" si="55"/>
        <v/>
      </c>
      <c r="AS68" s="193" t="str">
        <f t="shared" si="55"/>
        <v/>
      </c>
      <c r="AT68" s="192">
        <f t="shared" si="49"/>
        <v>0</v>
      </c>
      <c r="AU68" s="192">
        <f t="shared" si="7"/>
        <v>0</v>
      </c>
      <c r="AV68" s="192">
        <f t="shared" si="8"/>
        <v>0</v>
      </c>
      <c r="AW68" s="192">
        <f t="shared" si="9"/>
        <v>0</v>
      </c>
      <c r="AX68" s="192">
        <f t="shared" si="10"/>
        <v>0</v>
      </c>
      <c r="AY68" s="192">
        <f t="shared" si="11"/>
        <v>0</v>
      </c>
      <c r="AZ68" s="192">
        <f t="shared" si="12"/>
        <v>0</v>
      </c>
      <c r="BA68" s="192">
        <f t="shared" si="13"/>
        <v>0</v>
      </c>
      <c r="BB68" s="192">
        <f t="shared" si="14"/>
        <v>0</v>
      </c>
      <c r="BC68" s="192">
        <f t="shared" si="15"/>
        <v>0</v>
      </c>
      <c r="BD68" s="192">
        <f t="shared" si="16"/>
        <v>1</v>
      </c>
      <c r="BE68" s="192">
        <f t="shared" si="17"/>
        <v>0</v>
      </c>
      <c r="BF68" s="192">
        <f t="shared" si="18"/>
        <v>0</v>
      </c>
      <c r="BG68" s="192">
        <f t="shared" si="19"/>
        <v>0</v>
      </c>
      <c r="BH68" s="192">
        <f t="shared" si="20"/>
        <v>0</v>
      </c>
      <c r="BI68" s="192">
        <f t="shared" si="21"/>
        <v>1</v>
      </c>
      <c r="BJ68" s="192">
        <f t="shared" si="22"/>
        <v>1</v>
      </c>
      <c r="BK68" s="192">
        <f t="shared" si="23"/>
        <v>1</v>
      </c>
      <c r="BL68" s="192">
        <f t="shared" si="24"/>
        <v>1</v>
      </c>
      <c r="BM68" s="192">
        <f t="shared" si="25"/>
        <v>0</v>
      </c>
      <c r="BN68" s="192">
        <f t="shared" si="26"/>
        <v>0</v>
      </c>
      <c r="BO68" s="192">
        <f t="shared" si="27"/>
        <v>1</v>
      </c>
      <c r="BP68" s="192">
        <f t="shared" si="28"/>
        <v>1</v>
      </c>
      <c r="BQ68" s="192">
        <f t="shared" si="29"/>
        <v>1</v>
      </c>
      <c r="BR68" s="192">
        <f t="shared" si="30"/>
        <v>1</v>
      </c>
      <c r="BS68" s="192">
        <f t="shared" si="31"/>
        <v>1</v>
      </c>
      <c r="BT68" s="192">
        <f t="shared" si="32"/>
        <v>0</v>
      </c>
      <c r="BU68" s="192">
        <f t="shared" si="32"/>
        <v>0</v>
      </c>
      <c r="BV68" s="192">
        <f t="shared" si="33"/>
        <v>0</v>
      </c>
      <c r="BW68" s="192">
        <f t="shared" si="34"/>
        <v>1</v>
      </c>
      <c r="BX68" s="192">
        <f t="shared" si="35"/>
        <v>1</v>
      </c>
      <c r="BY68" s="192">
        <f t="shared" si="36"/>
        <v>1</v>
      </c>
      <c r="BZ68" s="192">
        <f t="shared" si="37"/>
        <v>1</v>
      </c>
      <c r="CA68" s="192">
        <f t="shared" si="38"/>
        <v>1</v>
      </c>
      <c r="CB68" s="192">
        <f t="shared" si="39"/>
        <v>1</v>
      </c>
      <c r="CS68" s="324" t="b">
        <f t="shared" si="50"/>
        <v>0</v>
      </c>
      <c r="CT68" s="324" t="b">
        <f t="shared" si="40"/>
        <v>0</v>
      </c>
      <c r="CU68" s="324" t="b">
        <f t="shared" si="41"/>
        <v>1</v>
      </c>
      <c r="CV68" s="324" t="b">
        <f t="shared" si="42"/>
        <v>1</v>
      </c>
      <c r="CW68" s="324" t="b">
        <f t="shared" si="43"/>
        <v>1</v>
      </c>
      <c r="CX68" s="324" t="str">
        <f t="shared" si="51"/>
        <v/>
      </c>
    </row>
    <row r="69" spans="2:102" ht="9.75" customHeight="1" x14ac:dyDescent="0.25">
      <c r="B69" s="7" t="str">
        <f t="shared" si="44"/>
        <v/>
      </c>
      <c r="C69" s="7"/>
      <c r="D69" s="7"/>
      <c r="E69" s="7"/>
      <c r="F69" s="496"/>
      <c r="G69" s="6"/>
      <c r="H69" s="6"/>
      <c r="I69" s="6"/>
      <c r="J69" s="6"/>
      <c r="K69" s="6"/>
      <c r="L69" s="6"/>
      <c r="M69" s="6"/>
      <c r="N69" s="6"/>
      <c r="O69" s="6"/>
      <c r="P69" s="6"/>
      <c r="Q69" s="7" t="str">
        <f t="shared" si="45"/>
        <v/>
      </c>
      <c r="R69" s="6"/>
      <c r="S69" s="6"/>
      <c r="T69" s="6"/>
      <c r="U69" s="6"/>
      <c r="V69" s="6"/>
      <c r="W69" s="6"/>
      <c r="X69" s="6"/>
      <c r="Y69" s="6"/>
      <c r="Z69" s="450"/>
      <c r="AA69" s="6"/>
      <c r="AB69" s="7" t="str">
        <f t="shared" si="46"/>
        <v/>
      </c>
      <c r="AC69" s="7" t="str">
        <f t="shared" si="47"/>
        <v/>
      </c>
      <c r="AD69" s="7" t="str">
        <f>IF(G69="","",IF(AND(Z69&gt;='פרמטרים לקריטריונים'!$D$19,AA69&gt;='פרמטרים לקריטריונים'!$C$19),1,0))</f>
        <v/>
      </c>
      <c r="AE69" s="7" t="str" cm="1">
        <f t="array" ref="AE69">IF($F69="","",IF(OR(SUMPRODUCT(--(Z69:AA69&gt;=$Z$5:$AA$5))=COUNTA($Z$29:$AA$29),OR(AND(X69=1,OR(AB69=1,AC69=1)),AND(Y69=1,AD69=1))),1,0))</f>
        <v/>
      </c>
      <c r="AF69" s="6"/>
      <c r="AG69" s="6"/>
      <c r="AH69" s="6"/>
      <c r="AI69" s="6"/>
      <c r="AJ69" s="7" t="str">
        <f t="shared" si="52"/>
        <v/>
      </c>
      <c r="AK69" s="7"/>
      <c r="AL69" s="7"/>
      <c r="AM69" s="7"/>
      <c r="AN69" s="7"/>
      <c r="AO69" s="229" t="str">
        <f t="shared" si="53"/>
        <v/>
      </c>
      <c r="AP69" s="357"/>
      <c r="AQ69" s="193">
        <f t="shared" si="54"/>
        <v>0</v>
      </c>
      <c r="AR69" s="193" t="str">
        <f t="shared" si="55"/>
        <v/>
      </c>
      <c r="AS69" s="193" t="str">
        <f t="shared" si="55"/>
        <v/>
      </c>
      <c r="AT69" s="192">
        <f t="shared" si="49"/>
        <v>0</v>
      </c>
      <c r="AU69" s="192">
        <f t="shared" si="7"/>
        <v>0</v>
      </c>
      <c r="AV69" s="192">
        <f t="shared" si="8"/>
        <v>0</v>
      </c>
      <c r="AW69" s="192">
        <f t="shared" si="9"/>
        <v>0</v>
      </c>
      <c r="AX69" s="192">
        <f t="shared" si="10"/>
        <v>0</v>
      </c>
      <c r="AY69" s="192">
        <f t="shared" si="11"/>
        <v>0</v>
      </c>
      <c r="AZ69" s="192">
        <f t="shared" si="12"/>
        <v>0</v>
      </c>
      <c r="BA69" s="192">
        <f t="shared" si="13"/>
        <v>0</v>
      </c>
      <c r="BB69" s="192">
        <f t="shared" si="14"/>
        <v>0</v>
      </c>
      <c r="BC69" s="192">
        <f t="shared" si="15"/>
        <v>0</v>
      </c>
      <c r="BD69" s="192">
        <f t="shared" si="16"/>
        <v>1</v>
      </c>
      <c r="BE69" s="192">
        <f t="shared" si="17"/>
        <v>0</v>
      </c>
      <c r="BF69" s="192">
        <f t="shared" si="18"/>
        <v>0</v>
      </c>
      <c r="BG69" s="192">
        <f t="shared" si="19"/>
        <v>0</v>
      </c>
      <c r="BH69" s="192">
        <f t="shared" si="20"/>
        <v>0</v>
      </c>
      <c r="BI69" s="192">
        <f t="shared" si="21"/>
        <v>1</v>
      </c>
      <c r="BJ69" s="192">
        <f t="shared" si="22"/>
        <v>1</v>
      </c>
      <c r="BK69" s="192">
        <f t="shared" si="23"/>
        <v>1</v>
      </c>
      <c r="BL69" s="192">
        <f t="shared" si="24"/>
        <v>1</v>
      </c>
      <c r="BM69" s="192">
        <f t="shared" si="25"/>
        <v>0</v>
      </c>
      <c r="BN69" s="192">
        <f t="shared" si="26"/>
        <v>0</v>
      </c>
      <c r="BO69" s="192">
        <f t="shared" si="27"/>
        <v>1</v>
      </c>
      <c r="BP69" s="192">
        <f t="shared" si="28"/>
        <v>1</v>
      </c>
      <c r="BQ69" s="192">
        <f t="shared" si="29"/>
        <v>1</v>
      </c>
      <c r="BR69" s="192">
        <f t="shared" si="30"/>
        <v>1</v>
      </c>
      <c r="BS69" s="192">
        <f t="shared" si="31"/>
        <v>1</v>
      </c>
      <c r="BT69" s="192">
        <f t="shared" si="32"/>
        <v>0</v>
      </c>
      <c r="BU69" s="192">
        <f t="shared" si="32"/>
        <v>0</v>
      </c>
      <c r="BV69" s="192">
        <f t="shared" si="33"/>
        <v>0</v>
      </c>
      <c r="BW69" s="192">
        <f t="shared" si="34"/>
        <v>1</v>
      </c>
      <c r="BX69" s="192">
        <f t="shared" si="35"/>
        <v>1</v>
      </c>
      <c r="BY69" s="192">
        <f t="shared" si="36"/>
        <v>1</v>
      </c>
      <c r="BZ69" s="192">
        <f t="shared" si="37"/>
        <v>1</v>
      </c>
      <c r="CA69" s="192">
        <f t="shared" si="38"/>
        <v>1</v>
      </c>
      <c r="CB69" s="192">
        <f t="shared" si="39"/>
        <v>1</v>
      </c>
      <c r="CS69" s="324" t="b">
        <f t="shared" si="50"/>
        <v>0</v>
      </c>
      <c r="CT69" s="324" t="b">
        <f t="shared" si="40"/>
        <v>0</v>
      </c>
      <c r="CU69" s="324" t="b">
        <f t="shared" si="41"/>
        <v>1</v>
      </c>
      <c r="CV69" s="324" t="b">
        <f t="shared" si="42"/>
        <v>1</v>
      </c>
      <c r="CW69" s="324" t="b">
        <f t="shared" si="43"/>
        <v>1</v>
      </c>
      <c r="CX69" s="324" t="str">
        <f t="shared" si="51"/>
        <v/>
      </c>
    </row>
    <row r="70" spans="2:102" ht="36.75" customHeight="1" x14ac:dyDescent="0.25">
      <c r="B70" s="7">
        <f t="shared" si="44"/>
        <v>40</v>
      </c>
      <c r="C70" s="7"/>
      <c r="D70" s="7"/>
      <c r="E70" s="7"/>
      <c r="F70" s="496" t="s">
        <v>415</v>
      </c>
      <c r="G70" s="6">
        <v>1</v>
      </c>
      <c r="H70" s="6">
        <v>1</v>
      </c>
      <c r="I70" s="6">
        <v>1</v>
      </c>
      <c r="J70" s="6">
        <v>1</v>
      </c>
      <c r="K70" s="6">
        <v>1</v>
      </c>
      <c r="L70" s="6">
        <v>1</v>
      </c>
      <c r="M70" s="6">
        <v>1</v>
      </c>
      <c r="N70" s="6">
        <v>1</v>
      </c>
      <c r="O70" s="6">
        <v>43</v>
      </c>
      <c r="P70" s="6">
        <v>30</v>
      </c>
      <c r="Q70" s="7">
        <f t="shared" si="45"/>
        <v>1</v>
      </c>
      <c r="R70" s="6">
        <v>1</v>
      </c>
      <c r="S70" s="6">
        <v>1</v>
      </c>
      <c r="T70" s="6">
        <v>1</v>
      </c>
      <c r="U70" s="6">
        <v>1</v>
      </c>
      <c r="V70" s="6"/>
      <c r="W70" s="6"/>
      <c r="X70" s="6"/>
      <c r="Y70" s="6"/>
      <c r="Z70" s="450">
        <v>22</v>
      </c>
      <c r="AA70" s="6">
        <v>258086</v>
      </c>
      <c r="AB70" s="7">
        <f t="shared" si="46"/>
        <v>1</v>
      </c>
      <c r="AC70" s="7">
        <f t="shared" si="47"/>
        <v>1</v>
      </c>
      <c r="AD70" s="7">
        <f>IF(G70="","",IF(AND(Z70&gt;='פרמטרים לקריטריונים'!$D$19,AA70&gt;='פרמטרים לקריטריונים'!$C$19),1,0))</f>
        <v>1</v>
      </c>
      <c r="AE70" s="7" cm="1">
        <f t="array" ref="AE70">IF($F70="","",IF(OR(SUMPRODUCT(--(Z70:AA70&gt;=$Z$5:$AA$5))=COUNTA($Z$29:$AA$29),OR(AND(X70=1,OR(AB70=1,AC70=1)),AND(Y70=1,AD70=1))),1,0))</f>
        <v>1</v>
      </c>
      <c r="AF70" s="6"/>
      <c r="AG70" s="6">
        <v>1</v>
      </c>
      <c r="AH70" s="6">
        <v>1</v>
      </c>
      <c r="AI70" s="6">
        <v>1</v>
      </c>
      <c r="AJ70" s="7">
        <f t="shared" si="52"/>
        <v>1</v>
      </c>
      <c r="AK70" s="7"/>
      <c r="AL70" s="7"/>
      <c r="AM70" s="7"/>
      <c r="AN70" s="7"/>
      <c r="AO70" s="229">
        <f t="shared" si="53"/>
        <v>1</v>
      </c>
      <c r="AP70" s="357" t="s">
        <v>166</v>
      </c>
      <c r="AQ70" s="193">
        <f t="shared" si="54"/>
        <v>1</v>
      </c>
      <c r="AR70" s="193">
        <f t="shared" si="55"/>
        <v>0</v>
      </c>
      <c r="AS70" s="193">
        <f t="shared" si="55"/>
        <v>1</v>
      </c>
      <c r="AT70" s="192">
        <f t="shared" si="49"/>
        <v>1</v>
      </c>
      <c r="AU70" s="192">
        <f t="shared" si="7"/>
        <v>1</v>
      </c>
      <c r="AV70" s="192">
        <f t="shared" si="8"/>
        <v>1</v>
      </c>
      <c r="AW70" s="192">
        <f t="shared" si="9"/>
        <v>1</v>
      </c>
      <c r="AX70" s="192">
        <f t="shared" si="10"/>
        <v>1</v>
      </c>
      <c r="AY70" s="192">
        <f t="shared" si="11"/>
        <v>1</v>
      </c>
      <c r="AZ70" s="192">
        <f t="shared" si="12"/>
        <v>1</v>
      </c>
      <c r="BA70" s="192">
        <f t="shared" si="13"/>
        <v>1</v>
      </c>
      <c r="BB70" s="192">
        <f t="shared" si="14"/>
        <v>1</v>
      </c>
      <c r="BC70" s="192">
        <f t="shared" si="15"/>
        <v>1</v>
      </c>
      <c r="BD70" s="192">
        <f t="shared" si="16"/>
        <v>1</v>
      </c>
      <c r="BE70" s="192">
        <f t="shared" si="17"/>
        <v>1</v>
      </c>
      <c r="BF70" s="192">
        <f t="shared" si="18"/>
        <v>1</v>
      </c>
      <c r="BG70" s="192">
        <f t="shared" si="19"/>
        <v>1</v>
      </c>
      <c r="BH70" s="192">
        <f t="shared" si="20"/>
        <v>1</v>
      </c>
      <c r="BI70" s="192">
        <f t="shared" si="21"/>
        <v>1</v>
      </c>
      <c r="BJ70" s="192">
        <f t="shared" si="22"/>
        <v>1</v>
      </c>
      <c r="BK70" s="192">
        <f t="shared" si="23"/>
        <v>1</v>
      </c>
      <c r="BL70" s="192">
        <f t="shared" si="24"/>
        <v>1</v>
      </c>
      <c r="BM70" s="192">
        <f t="shared" si="25"/>
        <v>1</v>
      </c>
      <c r="BN70" s="192">
        <f t="shared" si="26"/>
        <v>1</v>
      </c>
      <c r="BO70" s="192">
        <f t="shared" si="27"/>
        <v>1</v>
      </c>
      <c r="BP70" s="192">
        <f t="shared" si="28"/>
        <v>1</v>
      </c>
      <c r="BQ70" s="192">
        <f t="shared" si="29"/>
        <v>1</v>
      </c>
      <c r="BR70" s="192">
        <f t="shared" si="30"/>
        <v>1</v>
      </c>
      <c r="BS70" s="192">
        <f t="shared" si="31"/>
        <v>1</v>
      </c>
      <c r="BT70" s="192">
        <f t="shared" si="32"/>
        <v>1</v>
      </c>
      <c r="BU70" s="192">
        <f t="shared" si="32"/>
        <v>1</v>
      </c>
      <c r="BV70" s="192">
        <f t="shared" si="33"/>
        <v>1</v>
      </c>
      <c r="BW70" s="192">
        <f t="shared" si="34"/>
        <v>1</v>
      </c>
      <c r="BX70" s="192">
        <f t="shared" si="35"/>
        <v>1</v>
      </c>
      <c r="BY70" s="192">
        <f t="shared" si="36"/>
        <v>1</v>
      </c>
      <c r="BZ70" s="192">
        <f t="shared" si="37"/>
        <v>1</v>
      </c>
      <c r="CA70" s="192">
        <f t="shared" si="38"/>
        <v>1</v>
      </c>
      <c r="CB70" s="192">
        <f t="shared" si="39"/>
        <v>1</v>
      </c>
      <c r="CS70" s="324" t="b">
        <f t="shared" si="50"/>
        <v>1</v>
      </c>
      <c r="CT70" s="324" t="b">
        <f t="shared" si="40"/>
        <v>1</v>
      </c>
      <c r="CU70" s="324" t="b">
        <f t="shared" si="41"/>
        <v>1</v>
      </c>
      <c r="CV70" s="324" t="b">
        <f t="shared" si="42"/>
        <v>1</v>
      </c>
      <c r="CW70" s="324" t="b">
        <f t="shared" si="43"/>
        <v>1</v>
      </c>
      <c r="CX70" s="324">
        <f t="shared" si="51"/>
        <v>1</v>
      </c>
    </row>
    <row r="71" spans="2:102" ht="10.5" customHeight="1" x14ac:dyDescent="0.25">
      <c r="B71" s="7" t="str">
        <f t="shared" si="44"/>
        <v/>
      </c>
      <c r="C71" s="7"/>
      <c r="D71" s="7"/>
      <c r="E71" s="7"/>
      <c r="F71" s="499"/>
      <c r="G71" s="6"/>
      <c r="H71" s="6"/>
      <c r="I71" s="6"/>
      <c r="J71" s="6"/>
      <c r="K71" s="6"/>
      <c r="L71" s="6"/>
      <c r="M71" s="6"/>
      <c r="N71" s="6"/>
      <c r="O71" s="6"/>
      <c r="P71" s="6"/>
      <c r="Q71" s="7" t="str">
        <f t="shared" si="45"/>
        <v/>
      </c>
      <c r="R71" s="6"/>
      <c r="S71" s="6"/>
      <c r="T71" s="6"/>
      <c r="U71" s="6"/>
      <c r="V71" s="6"/>
      <c r="W71" s="6"/>
      <c r="X71" s="6"/>
      <c r="Y71" s="6"/>
      <c r="Z71" s="450"/>
      <c r="AA71" s="6"/>
      <c r="AB71" s="7" t="str">
        <f t="shared" si="46"/>
        <v/>
      </c>
      <c r="AC71" s="7" t="str">
        <f t="shared" si="47"/>
        <v/>
      </c>
      <c r="AD71" s="7" t="str">
        <f>IF(G71="","",IF(AND(Z71&gt;='פרמטרים לקריטריונים'!$D$19,AA71&gt;='פרמטרים לקריטריונים'!$C$19),1,0))</f>
        <v/>
      </c>
      <c r="AE71" s="7" t="str" cm="1">
        <f t="array" ref="AE71">IF($F71="","",IF(OR(SUMPRODUCT(--(Z71:AA71&gt;=$Z$5:$AA$5))=COUNTA($Z$29:$AA$29),OR(AND(X71=1,OR(AB71=1,AC71=1)),AND(Y71=1,AD71=1))),1,0))</f>
        <v/>
      </c>
      <c r="AF71" s="6"/>
      <c r="AG71" s="6"/>
      <c r="AH71" s="6"/>
      <c r="AI71" s="6"/>
      <c r="AJ71" s="7" t="str">
        <f t="shared" si="52"/>
        <v/>
      </c>
      <c r="AK71" s="7"/>
      <c r="AL71" s="7"/>
      <c r="AM71" s="7"/>
      <c r="AN71" s="7"/>
      <c r="AO71" s="229" t="str">
        <f t="shared" si="53"/>
        <v/>
      </c>
      <c r="AP71" s="357"/>
      <c r="AQ71" s="193">
        <f t="shared" si="54"/>
        <v>0</v>
      </c>
      <c r="AR71" s="193" t="str">
        <f t="shared" si="55"/>
        <v/>
      </c>
      <c r="AS71" s="193" t="str">
        <f t="shared" si="55"/>
        <v/>
      </c>
      <c r="AT71" s="192">
        <f t="shared" si="49"/>
        <v>0</v>
      </c>
      <c r="AU71" s="192">
        <f t="shared" si="7"/>
        <v>0</v>
      </c>
      <c r="AV71" s="192">
        <f t="shared" si="8"/>
        <v>0</v>
      </c>
      <c r="AW71" s="192">
        <f t="shared" si="9"/>
        <v>0</v>
      </c>
      <c r="AX71" s="192">
        <f t="shared" si="10"/>
        <v>0</v>
      </c>
      <c r="AY71" s="192">
        <f t="shared" si="11"/>
        <v>0</v>
      </c>
      <c r="AZ71" s="192">
        <f t="shared" si="12"/>
        <v>0</v>
      </c>
      <c r="BA71" s="192">
        <f t="shared" si="13"/>
        <v>0</v>
      </c>
      <c r="BB71" s="192">
        <f t="shared" si="14"/>
        <v>0</v>
      </c>
      <c r="BC71" s="192">
        <f t="shared" si="15"/>
        <v>0</v>
      </c>
      <c r="BD71" s="192">
        <f t="shared" si="16"/>
        <v>1</v>
      </c>
      <c r="BE71" s="192">
        <f t="shared" si="17"/>
        <v>0</v>
      </c>
      <c r="BF71" s="192">
        <f t="shared" si="18"/>
        <v>0</v>
      </c>
      <c r="BG71" s="192">
        <f t="shared" si="19"/>
        <v>0</v>
      </c>
      <c r="BH71" s="192">
        <f t="shared" si="20"/>
        <v>0</v>
      </c>
      <c r="BI71" s="192">
        <f t="shared" si="21"/>
        <v>1</v>
      </c>
      <c r="BJ71" s="192">
        <f t="shared" si="22"/>
        <v>1</v>
      </c>
      <c r="BK71" s="192">
        <f t="shared" si="23"/>
        <v>1</v>
      </c>
      <c r="BL71" s="192">
        <f t="shared" si="24"/>
        <v>1</v>
      </c>
      <c r="BM71" s="192">
        <f t="shared" si="25"/>
        <v>0</v>
      </c>
      <c r="BN71" s="192">
        <f t="shared" si="26"/>
        <v>0</v>
      </c>
      <c r="BO71" s="192">
        <f t="shared" si="27"/>
        <v>1</v>
      </c>
      <c r="BP71" s="192">
        <f t="shared" si="28"/>
        <v>1</v>
      </c>
      <c r="BQ71" s="192">
        <f t="shared" si="29"/>
        <v>1</v>
      </c>
      <c r="BR71" s="192">
        <f t="shared" si="30"/>
        <v>1</v>
      </c>
      <c r="BS71" s="192">
        <f t="shared" si="31"/>
        <v>1</v>
      </c>
      <c r="BT71" s="192">
        <f t="shared" si="32"/>
        <v>0</v>
      </c>
      <c r="BU71" s="192">
        <f t="shared" si="32"/>
        <v>0</v>
      </c>
      <c r="BV71" s="192">
        <f t="shared" si="33"/>
        <v>0</v>
      </c>
      <c r="BW71" s="192">
        <f t="shared" si="34"/>
        <v>1</v>
      </c>
      <c r="BX71" s="192">
        <f t="shared" si="35"/>
        <v>1</v>
      </c>
      <c r="BY71" s="192">
        <f t="shared" si="36"/>
        <v>1</v>
      </c>
      <c r="BZ71" s="192">
        <f t="shared" si="37"/>
        <v>1</v>
      </c>
      <c r="CA71" s="192">
        <f t="shared" si="38"/>
        <v>1</v>
      </c>
      <c r="CB71" s="192">
        <f t="shared" si="39"/>
        <v>1</v>
      </c>
      <c r="CS71" s="324" t="b">
        <f t="shared" si="50"/>
        <v>0</v>
      </c>
      <c r="CT71" s="324" t="b">
        <f t="shared" si="40"/>
        <v>0</v>
      </c>
      <c r="CU71" s="324" t="b">
        <f t="shared" si="41"/>
        <v>1</v>
      </c>
      <c r="CV71" s="324" t="b">
        <f t="shared" si="42"/>
        <v>1</v>
      </c>
      <c r="CW71" s="324" t="b">
        <f t="shared" si="43"/>
        <v>1</v>
      </c>
      <c r="CX71" s="324" t="str">
        <f t="shared" si="51"/>
        <v/>
      </c>
    </row>
    <row r="72" spans="2:102" ht="10.5" customHeight="1" x14ac:dyDescent="0.25">
      <c r="B72" s="7" t="str">
        <f t="shared" si="44"/>
        <v/>
      </c>
      <c r="C72" s="7"/>
      <c r="D72" s="7"/>
      <c r="E72" s="7"/>
      <c r="F72" s="496"/>
      <c r="G72" s="6"/>
      <c r="H72" s="6"/>
      <c r="I72" s="6"/>
      <c r="J72" s="6"/>
      <c r="K72" s="6"/>
      <c r="L72" s="6"/>
      <c r="M72" s="6"/>
      <c r="N72" s="6"/>
      <c r="O72" s="6"/>
      <c r="P72" s="6"/>
      <c r="Q72" s="7" t="str">
        <f t="shared" si="45"/>
        <v/>
      </c>
      <c r="R72" s="6"/>
      <c r="S72" s="6"/>
      <c r="T72" s="6"/>
      <c r="U72" s="6"/>
      <c r="V72" s="6"/>
      <c r="W72" s="6"/>
      <c r="X72" s="6"/>
      <c r="Y72" s="6"/>
      <c r="Z72" s="450"/>
      <c r="AA72" s="6"/>
      <c r="AB72" s="7" t="str">
        <f t="shared" si="46"/>
        <v/>
      </c>
      <c r="AC72" s="7" t="str">
        <f t="shared" si="47"/>
        <v/>
      </c>
      <c r="AD72" s="7" t="str">
        <f>IF(G72="","",IF(AND(Z72&gt;='פרמטרים לקריטריונים'!$D$19,AA72&gt;='פרמטרים לקריטריונים'!$C$19),1,0))</f>
        <v/>
      </c>
      <c r="AE72" s="7" t="str" cm="1">
        <f t="array" ref="AE72">IF($F72="","",IF(OR(SUMPRODUCT(--(Z72:AA72&gt;=$Z$5:$AA$5))=COUNTA($Z$29:$AA$29),OR(AND(X72=1,OR(AB72=1,AC72=1)),AND(Y72=1,AD72=1))),1,0))</f>
        <v/>
      </c>
      <c r="AF72" s="6"/>
      <c r="AG72" s="6"/>
      <c r="AH72" s="6"/>
      <c r="AI72" s="6"/>
      <c r="AJ72" s="7" t="str">
        <f t="shared" si="52"/>
        <v/>
      </c>
      <c r="AK72" s="7"/>
      <c r="AL72" s="7"/>
      <c r="AM72" s="7"/>
      <c r="AN72" s="7"/>
      <c r="AO72" s="229" t="str">
        <f t="shared" si="53"/>
        <v/>
      </c>
      <c r="AP72" s="357"/>
      <c r="AQ72" s="193">
        <f t="shared" si="54"/>
        <v>0</v>
      </c>
      <c r="AR72" s="193" t="str">
        <f t="shared" si="55"/>
        <v/>
      </c>
      <c r="AS72" s="193" t="str">
        <f t="shared" si="55"/>
        <v/>
      </c>
      <c r="AT72" s="192">
        <f t="shared" si="49"/>
        <v>0</v>
      </c>
      <c r="AU72" s="192">
        <f t="shared" si="7"/>
        <v>0</v>
      </c>
      <c r="AV72" s="192">
        <f t="shared" si="8"/>
        <v>0</v>
      </c>
      <c r="AW72" s="192">
        <f t="shared" si="9"/>
        <v>0</v>
      </c>
      <c r="AX72" s="192">
        <f t="shared" si="10"/>
        <v>0</v>
      </c>
      <c r="AY72" s="192">
        <f t="shared" si="11"/>
        <v>0</v>
      </c>
      <c r="AZ72" s="192">
        <f t="shared" si="12"/>
        <v>0</v>
      </c>
      <c r="BA72" s="192">
        <f t="shared" si="13"/>
        <v>0</v>
      </c>
      <c r="BB72" s="192">
        <f t="shared" si="14"/>
        <v>0</v>
      </c>
      <c r="BC72" s="192">
        <f t="shared" si="15"/>
        <v>0</v>
      </c>
      <c r="BD72" s="192">
        <f t="shared" si="16"/>
        <v>1</v>
      </c>
      <c r="BE72" s="192">
        <f t="shared" si="17"/>
        <v>0</v>
      </c>
      <c r="BF72" s="192">
        <f t="shared" si="18"/>
        <v>0</v>
      </c>
      <c r="BG72" s="192">
        <f t="shared" si="19"/>
        <v>0</v>
      </c>
      <c r="BH72" s="192">
        <f t="shared" si="20"/>
        <v>0</v>
      </c>
      <c r="BI72" s="192">
        <f t="shared" si="21"/>
        <v>1</v>
      </c>
      <c r="BJ72" s="192">
        <f t="shared" si="22"/>
        <v>1</v>
      </c>
      <c r="BK72" s="192">
        <f t="shared" si="23"/>
        <v>1</v>
      </c>
      <c r="BL72" s="192">
        <f t="shared" si="24"/>
        <v>1</v>
      </c>
      <c r="BM72" s="192">
        <f t="shared" si="25"/>
        <v>0</v>
      </c>
      <c r="BN72" s="192">
        <f t="shared" si="26"/>
        <v>0</v>
      </c>
      <c r="BO72" s="192">
        <f t="shared" si="27"/>
        <v>1</v>
      </c>
      <c r="BP72" s="192">
        <f t="shared" si="28"/>
        <v>1</v>
      </c>
      <c r="BQ72" s="192">
        <f t="shared" si="29"/>
        <v>1</v>
      </c>
      <c r="BR72" s="192">
        <f t="shared" si="30"/>
        <v>1</v>
      </c>
      <c r="BS72" s="192">
        <f t="shared" si="31"/>
        <v>1</v>
      </c>
      <c r="BT72" s="192">
        <f t="shared" si="32"/>
        <v>0</v>
      </c>
      <c r="BU72" s="192">
        <f t="shared" si="32"/>
        <v>0</v>
      </c>
      <c r="BV72" s="192">
        <f t="shared" si="33"/>
        <v>0</v>
      </c>
      <c r="BW72" s="192">
        <f t="shared" si="34"/>
        <v>1</v>
      </c>
      <c r="BX72" s="192">
        <f t="shared" si="35"/>
        <v>1</v>
      </c>
      <c r="BY72" s="192">
        <f t="shared" si="36"/>
        <v>1</v>
      </c>
      <c r="BZ72" s="192">
        <f t="shared" si="37"/>
        <v>1</v>
      </c>
      <c r="CA72" s="192">
        <f t="shared" si="38"/>
        <v>1</v>
      </c>
      <c r="CB72" s="192">
        <f t="shared" si="39"/>
        <v>1</v>
      </c>
      <c r="CS72" s="324" t="b">
        <f t="shared" si="50"/>
        <v>0</v>
      </c>
      <c r="CT72" s="324" t="b">
        <f t="shared" si="40"/>
        <v>0</v>
      </c>
      <c r="CU72" s="324" t="b">
        <f t="shared" si="41"/>
        <v>1</v>
      </c>
      <c r="CV72" s="324" t="b">
        <f t="shared" si="42"/>
        <v>1</v>
      </c>
      <c r="CW72" s="324" t="b">
        <f t="shared" si="43"/>
        <v>1</v>
      </c>
      <c r="CX72" s="324" t="str">
        <f t="shared" si="51"/>
        <v/>
      </c>
    </row>
    <row r="73" spans="2:102" ht="36.75" customHeight="1" x14ac:dyDescent="0.25">
      <c r="B73" s="7">
        <f t="shared" si="44"/>
        <v>43</v>
      </c>
      <c r="C73" s="7"/>
      <c r="D73" s="7"/>
      <c r="E73" s="7"/>
      <c r="F73" s="496" t="s">
        <v>1077</v>
      </c>
      <c r="G73" s="6">
        <v>1</v>
      </c>
      <c r="H73" s="6">
        <v>1</v>
      </c>
      <c r="I73" s="6">
        <v>1</v>
      </c>
      <c r="J73" s="6">
        <v>1</v>
      </c>
      <c r="K73" s="6">
        <v>1</v>
      </c>
      <c r="L73" s="6">
        <v>1</v>
      </c>
      <c r="M73" s="6">
        <v>1</v>
      </c>
      <c r="N73" s="6">
        <v>1</v>
      </c>
      <c r="O73" s="6">
        <v>9</v>
      </c>
      <c r="P73" s="6">
        <v>9</v>
      </c>
      <c r="Q73" s="7">
        <f t="shared" si="45"/>
        <v>1</v>
      </c>
      <c r="R73" s="6">
        <v>1</v>
      </c>
      <c r="S73" s="6">
        <v>1</v>
      </c>
      <c r="T73" s="6">
        <v>1</v>
      </c>
      <c r="U73" s="6">
        <v>1</v>
      </c>
      <c r="V73" s="6"/>
      <c r="W73" s="6"/>
      <c r="X73" s="6"/>
      <c r="Y73" s="6"/>
      <c r="Z73" s="450">
        <v>16</v>
      </c>
      <c r="AA73" s="6">
        <v>128950</v>
      </c>
      <c r="AB73" s="7">
        <f t="shared" si="46"/>
        <v>1</v>
      </c>
      <c r="AC73" s="7">
        <f t="shared" si="47"/>
        <v>1</v>
      </c>
      <c r="AD73" s="7">
        <f>IF(G73="","",IF(AND(Z73&gt;='פרמטרים לקריטריונים'!$D$19,AA73&gt;='פרמטרים לקריטריונים'!$C$19),1,0))</f>
        <v>1</v>
      </c>
      <c r="AE73" s="7" cm="1">
        <f t="array" ref="AE73">IF($F73="","",IF(OR(SUMPRODUCT(--(Z73:AA73&gt;=$Z$5:$AA$5))=COUNTA($Z$29:$AA$29),OR(AND(X73=1,OR(AB73=1,AC73=1)),AND(Y73=1,AD73=1))),1,0))</f>
        <v>1</v>
      </c>
      <c r="AF73" s="6"/>
      <c r="AG73" s="6">
        <v>1</v>
      </c>
      <c r="AH73" s="6">
        <v>1</v>
      </c>
      <c r="AI73" s="6">
        <v>1</v>
      </c>
      <c r="AJ73" s="7">
        <f t="shared" si="52"/>
        <v>1</v>
      </c>
      <c r="AK73" s="7"/>
      <c r="AL73" s="7"/>
      <c r="AM73" s="7"/>
      <c r="AN73" s="7"/>
      <c r="AO73" s="229">
        <f t="shared" si="53"/>
        <v>1</v>
      </c>
      <c r="AP73" s="357" t="s">
        <v>178</v>
      </c>
      <c r="AQ73" s="193">
        <f t="shared" si="54"/>
        <v>1</v>
      </c>
      <c r="AR73" s="193">
        <f t="shared" si="55"/>
        <v>0</v>
      </c>
      <c r="AS73" s="193">
        <f t="shared" si="55"/>
        <v>1</v>
      </c>
      <c r="AT73" s="192">
        <f t="shared" si="49"/>
        <v>1</v>
      </c>
      <c r="AU73" s="192">
        <f t="shared" si="7"/>
        <v>1</v>
      </c>
      <c r="AV73" s="192">
        <f t="shared" si="8"/>
        <v>1</v>
      </c>
      <c r="AW73" s="192">
        <f t="shared" si="9"/>
        <v>1</v>
      </c>
      <c r="AX73" s="192">
        <f t="shared" si="10"/>
        <v>1</v>
      </c>
      <c r="AY73" s="192">
        <f t="shared" si="11"/>
        <v>1</v>
      </c>
      <c r="AZ73" s="192">
        <f t="shared" si="12"/>
        <v>1</v>
      </c>
      <c r="BA73" s="192">
        <f t="shared" si="13"/>
        <v>1</v>
      </c>
      <c r="BB73" s="192">
        <f t="shared" si="14"/>
        <v>1</v>
      </c>
      <c r="BC73" s="192">
        <f t="shared" si="15"/>
        <v>1</v>
      </c>
      <c r="BD73" s="192">
        <f t="shared" si="16"/>
        <v>1</v>
      </c>
      <c r="BE73" s="192">
        <f t="shared" si="17"/>
        <v>1</v>
      </c>
      <c r="BF73" s="192">
        <f t="shared" si="18"/>
        <v>1</v>
      </c>
      <c r="BG73" s="192">
        <f t="shared" si="19"/>
        <v>1</v>
      </c>
      <c r="BH73" s="192">
        <f t="shared" si="20"/>
        <v>1</v>
      </c>
      <c r="BI73" s="192">
        <f t="shared" si="21"/>
        <v>1</v>
      </c>
      <c r="BJ73" s="192">
        <f t="shared" si="22"/>
        <v>1</v>
      </c>
      <c r="BK73" s="192">
        <f t="shared" si="23"/>
        <v>1</v>
      </c>
      <c r="BL73" s="192">
        <f t="shared" si="24"/>
        <v>1</v>
      </c>
      <c r="BM73" s="192">
        <f t="shared" si="25"/>
        <v>1</v>
      </c>
      <c r="BN73" s="192">
        <f t="shared" si="26"/>
        <v>1</v>
      </c>
      <c r="BO73" s="192">
        <f t="shared" si="27"/>
        <v>1</v>
      </c>
      <c r="BP73" s="192">
        <f t="shared" si="28"/>
        <v>1</v>
      </c>
      <c r="BQ73" s="192">
        <f t="shared" si="29"/>
        <v>1</v>
      </c>
      <c r="BR73" s="192">
        <f t="shared" si="30"/>
        <v>1</v>
      </c>
      <c r="BS73" s="192">
        <f t="shared" si="31"/>
        <v>1</v>
      </c>
      <c r="BT73" s="192">
        <f t="shared" si="32"/>
        <v>1</v>
      </c>
      <c r="BU73" s="192">
        <f t="shared" si="32"/>
        <v>1</v>
      </c>
      <c r="BV73" s="192">
        <f t="shared" si="33"/>
        <v>1</v>
      </c>
      <c r="BW73" s="192">
        <f t="shared" si="34"/>
        <v>1</v>
      </c>
      <c r="BX73" s="192">
        <f t="shared" si="35"/>
        <v>1</v>
      </c>
      <c r="BY73" s="192">
        <f t="shared" si="36"/>
        <v>1</v>
      </c>
      <c r="BZ73" s="192">
        <f t="shared" si="37"/>
        <v>1</v>
      </c>
      <c r="CA73" s="192">
        <f t="shared" si="38"/>
        <v>1</v>
      </c>
      <c r="CB73" s="192">
        <f t="shared" si="39"/>
        <v>1</v>
      </c>
      <c r="CS73" s="324" t="b">
        <f t="shared" si="50"/>
        <v>1</v>
      </c>
      <c r="CT73" s="324" t="b">
        <f t="shared" si="40"/>
        <v>1</v>
      </c>
      <c r="CU73" s="324" t="b">
        <f t="shared" si="41"/>
        <v>1</v>
      </c>
      <c r="CV73" s="324" t="b">
        <f t="shared" si="42"/>
        <v>1</v>
      </c>
      <c r="CW73" s="324" t="b">
        <f t="shared" si="43"/>
        <v>1</v>
      </c>
      <c r="CX73" s="324">
        <f t="shared" si="51"/>
        <v>1</v>
      </c>
    </row>
    <row r="74" spans="2:102" ht="15" customHeight="1" x14ac:dyDescent="0.25">
      <c r="B74" s="7" t="str">
        <f t="shared" si="44"/>
        <v/>
      </c>
      <c r="C74" s="7"/>
      <c r="D74" s="7"/>
      <c r="E74" s="7"/>
      <c r="F74" s="496"/>
      <c r="G74" s="6"/>
      <c r="H74" s="6"/>
      <c r="I74" s="6"/>
      <c r="J74" s="6"/>
      <c r="K74" s="6"/>
      <c r="L74" s="6"/>
      <c r="M74" s="6"/>
      <c r="N74" s="6"/>
      <c r="O74" s="6"/>
      <c r="P74" s="6"/>
      <c r="Q74" s="7" t="str">
        <f t="shared" si="45"/>
        <v/>
      </c>
      <c r="R74" s="6"/>
      <c r="S74" s="6"/>
      <c r="T74" s="6"/>
      <c r="U74" s="6"/>
      <c r="V74" s="6"/>
      <c r="W74" s="6"/>
      <c r="X74" s="6"/>
      <c r="Y74" s="6"/>
      <c r="Z74" s="6"/>
      <c r="AA74" s="6"/>
      <c r="AB74" s="7" t="str">
        <f t="shared" si="46"/>
        <v/>
      </c>
      <c r="AC74" s="7" t="str">
        <f t="shared" si="47"/>
        <v/>
      </c>
      <c r="AD74" s="7" t="str">
        <f>IF(G74="","",IF(AND(Z74&gt;='פרמטרים לקריטריונים'!$D$19,AA74&gt;='פרמטרים לקריטריונים'!$C$19),1,0))</f>
        <v/>
      </c>
      <c r="AE74" s="7" t="str" cm="1">
        <f t="array" ref="AE74">IF($F74="","",IF(OR(SUMPRODUCT(--(Z74:AA74&gt;=$Z$5:$AA$5))=COUNTA($Z$29:$AA$29),OR(AND(X74=1,OR(AB74=1,AC74=1)),AND(Y74=1,AD74=1))),1,0))</f>
        <v/>
      </c>
      <c r="AF74" s="6"/>
      <c r="AG74" s="6"/>
      <c r="AH74" s="6"/>
      <c r="AI74" s="6"/>
      <c r="AJ74" s="7" t="str">
        <f t="shared" si="52"/>
        <v/>
      </c>
      <c r="AK74" s="7"/>
      <c r="AL74" s="7"/>
      <c r="AM74" s="7"/>
      <c r="AN74" s="7"/>
      <c r="AO74" s="229" t="str">
        <f t="shared" si="53"/>
        <v/>
      </c>
      <c r="AP74" s="357"/>
      <c r="AQ74" s="193">
        <f t="shared" si="54"/>
        <v>0</v>
      </c>
      <c r="AR74" s="193" t="str">
        <f t="shared" si="55"/>
        <v/>
      </c>
      <c r="AS74" s="193" t="str">
        <f t="shared" si="55"/>
        <v/>
      </c>
      <c r="AT74" s="192">
        <f t="shared" si="49"/>
        <v>0</v>
      </c>
      <c r="AU74" s="192">
        <f t="shared" si="7"/>
        <v>0</v>
      </c>
      <c r="AV74" s="192">
        <f t="shared" si="8"/>
        <v>0</v>
      </c>
      <c r="AW74" s="192">
        <f t="shared" si="9"/>
        <v>0</v>
      </c>
      <c r="AX74" s="192">
        <f t="shared" si="10"/>
        <v>0</v>
      </c>
      <c r="AY74" s="192">
        <f t="shared" si="11"/>
        <v>0</v>
      </c>
      <c r="AZ74" s="192">
        <f t="shared" si="12"/>
        <v>0</v>
      </c>
      <c r="BA74" s="192">
        <f t="shared" si="13"/>
        <v>0</v>
      </c>
      <c r="BB74" s="192">
        <f t="shared" si="14"/>
        <v>0</v>
      </c>
      <c r="BC74" s="192">
        <f t="shared" si="15"/>
        <v>0</v>
      </c>
      <c r="BD74" s="192">
        <f t="shared" si="16"/>
        <v>1</v>
      </c>
      <c r="BE74" s="192">
        <f t="shared" si="17"/>
        <v>0</v>
      </c>
      <c r="BF74" s="192">
        <f t="shared" si="18"/>
        <v>0</v>
      </c>
      <c r="BG74" s="192">
        <f t="shared" si="19"/>
        <v>0</v>
      </c>
      <c r="BH74" s="192">
        <f t="shared" si="20"/>
        <v>0</v>
      </c>
      <c r="BI74" s="192">
        <f t="shared" si="21"/>
        <v>1</v>
      </c>
      <c r="BJ74" s="192">
        <f t="shared" si="22"/>
        <v>1</v>
      </c>
      <c r="BK74" s="192">
        <f t="shared" si="23"/>
        <v>1</v>
      </c>
      <c r="BL74" s="192">
        <f t="shared" si="24"/>
        <v>1</v>
      </c>
      <c r="BM74" s="192">
        <f t="shared" si="25"/>
        <v>0</v>
      </c>
      <c r="BN74" s="192">
        <f t="shared" si="26"/>
        <v>0</v>
      </c>
      <c r="BO74" s="192">
        <f t="shared" si="27"/>
        <v>1</v>
      </c>
      <c r="BP74" s="192">
        <f t="shared" si="28"/>
        <v>1</v>
      </c>
      <c r="BQ74" s="192">
        <f t="shared" si="29"/>
        <v>1</v>
      </c>
      <c r="BR74" s="192">
        <f t="shared" si="30"/>
        <v>1</v>
      </c>
      <c r="BS74" s="192">
        <f t="shared" si="31"/>
        <v>1</v>
      </c>
      <c r="BT74" s="192">
        <f t="shared" si="32"/>
        <v>0</v>
      </c>
      <c r="BU74" s="192">
        <f t="shared" si="32"/>
        <v>0</v>
      </c>
      <c r="BV74" s="192">
        <f t="shared" si="33"/>
        <v>0</v>
      </c>
      <c r="BW74" s="192">
        <f t="shared" si="34"/>
        <v>1</v>
      </c>
      <c r="BX74" s="192">
        <f t="shared" si="35"/>
        <v>1</v>
      </c>
      <c r="BY74" s="192">
        <f t="shared" si="36"/>
        <v>1</v>
      </c>
      <c r="BZ74" s="192">
        <f t="shared" si="37"/>
        <v>1</v>
      </c>
      <c r="CA74" s="192">
        <f t="shared" si="38"/>
        <v>1</v>
      </c>
      <c r="CB74" s="192">
        <f t="shared" si="39"/>
        <v>1</v>
      </c>
      <c r="CS74" s="324" t="b">
        <f t="shared" si="50"/>
        <v>0</v>
      </c>
      <c r="CT74" s="324" t="b">
        <f t="shared" si="40"/>
        <v>0</v>
      </c>
      <c r="CU74" s="324" t="b">
        <f t="shared" si="41"/>
        <v>1</v>
      </c>
      <c r="CV74" s="324" t="b">
        <f t="shared" si="42"/>
        <v>1</v>
      </c>
      <c r="CW74" s="324" t="b">
        <f t="shared" si="43"/>
        <v>1</v>
      </c>
      <c r="CX74" s="324" t="str">
        <f t="shared" si="51"/>
        <v/>
      </c>
    </row>
    <row r="75" spans="2:102" ht="36.75" customHeight="1" x14ac:dyDescent="0.25">
      <c r="B75" s="7">
        <f t="shared" si="44"/>
        <v>45</v>
      </c>
      <c r="C75" s="7"/>
      <c r="D75" s="7"/>
      <c r="E75" s="7"/>
      <c r="F75" s="496" t="s">
        <v>179</v>
      </c>
      <c r="G75" s="6">
        <v>1</v>
      </c>
      <c r="H75" s="6">
        <v>1</v>
      </c>
      <c r="I75" s="6">
        <v>1</v>
      </c>
      <c r="J75" s="6">
        <v>1</v>
      </c>
      <c r="K75" s="6">
        <v>1</v>
      </c>
      <c r="L75" s="6">
        <v>1</v>
      </c>
      <c r="M75" s="6">
        <v>1</v>
      </c>
      <c r="N75" s="6">
        <v>1</v>
      </c>
      <c r="O75" s="6">
        <v>21</v>
      </c>
      <c r="P75" s="6">
        <v>13</v>
      </c>
      <c r="Q75" s="7">
        <f t="shared" si="45"/>
        <v>1</v>
      </c>
      <c r="R75" s="6">
        <v>1</v>
      </c>
      <c r="S75" s="6">
        <v>1</v>
      </c>
      <c r="T75" s="6">
        <v>1</v>
      </c>
      <c r="U75" s="6">
        <v>1</v>
      </c>
      <c r="V75" s="6"/>
      <c r="W75" s="6"/>
      <c r="X75" s="6"/>
      <c r="Y75" s="6"/>
      <c r="Z75" s="6">
        <v>12</v>
      </c>
      <c r="AA75" s="6">
        <v>179700</v>
      </c>
      <c r="AB75" s="7">
        <f t="shared" si="46"/>
        <v>1</v>
      </c>
      <c r="AC75" s="7">
        <f t="shared" si="47"/>
        <v>1</v>
      </c>
      <c r="AD75" s="7">
        <f>IF(G75="","",IF(AND(Z75&gt;='פרמטרים לקריטריונים'!$D$19,AA75&gt;='פרמטרים לקריטריונים'!$C$19),1,0))</f>
        <v>1</v>
      </c>
      <c r="AE75" s="7" cm="1">
        <f t="array" ref="AE75">IF($F75="","",IF(OR(SUMPRODUCT(--(Z75:AA75&gt;=$Z$5:$AA$5))=COUNTA($Z$29:$AA$29),OR(AND(X75=1,OR(AB75=1,AC75=1)),AND(Y75=1,AD75=1))),1,0))</f>
        <v>1</v>
      </c>
      <c r="AF75" s="6"/>
      <c r="AG75" s="6">
        <v>1</v>
      </c>
      <c r="AH75" s="6">
        <v>1</v>
      </c>
      <c r="AI75" s="6">
        <v>1</v>
      </c>
      <c r="AJ75" s="7">
        <f t="shared" si="52"/>
        <v>1</v>
      </c>
      <c r="AK75" s="7"/>
      <c r="AL75" s="7"/>
      <c r="AM75" s="7"/>
      <c r="AN75" s="7"/>
      <c r="AO75" s="229">
        <f t="shared" si="53"/>
        <v>1</v>
      </c>
      <c r="AP75" s="357" t="s">
        <v>166</v>
      </c>
      <c r="AQ75" s="193">
        <f t="shared" si="54"/>
        <v>1</v>
      </c>
      <c r="AR75" s="193">
        <f t="shared" si="55"/>
        <v>0</v>
      </c>
      <c r="AS75" s="193">
        <f t="shared" si="55"/>
        <v>1</v>
      </c>
      <c r="AT75" s="192">
        <f t="shared" si="49"/>
        <v>1</v>
      </c>
      <c r="AU75" s="192">
        <f t="shared" si="7"/>
        <v>1</v>
      </c>
      <c r="AV75" s="192">
        <f t="shared" si="8"/>
        <v>1</v>
      </c>
      <c r="AW75" s="192">
        <f t="shared" si="9"/>
        <v>1</v>
      </c>
      <c r="AX75" s="192">
        <f t="shared" si="10"/>
        <v>1</v>
      </c>
      <c r="AY75" s="192">
        <f t="shared" si="11"/>
        <v>1</v>
      </c>
      <c r="AZ75" s="192">
        <f t="shared" si="12"/>
        <v>1</v>
      </c>
      <c r="BA75" s="192">
        <f t="shared" si="13"/>
        <v>1</v>
      </c>
      <c r="BB75" s="192">
        <f t="shared" si="14"/>
        <v>1</v>
      </c>
      <c r="BC75" s="192">
        <f t="shared" si="15"/>
        <v>1</v>
      </c>
      <c r="BD75" s="192">
        <f t="shared" si="16"/>
        <v>1</v>
      </c>
      <c r="BE75" s="192">
        <f t="shared" si="17"/>
        <v>1</v>
      </c>
      <c r="BF75" s="192">
        <f t="shared" si="18"/>
        <v>1</v>
      </c>
      <c r="BG75" s="192">
        <f t="shared" si="19"/>
        <v>1</v>
      </c>
      <c r="BH75" s="192">
        <f t="shared" si="20"/>
        <v>1</v>
      </c>
      <c r="BI75" s="192">
        <f t="shared" si="21"/>
        <v>1</v>
      </c>
      <c r="BJ75" s="192">
        <f t="shared" si="22"/>
        <v>1</v>
      </c>
      <c r="BK75" s="192">
        <f t="shared" si="23"/>
        <v>1</v>
      </c>
      <c r="BL75" s="192">
        <f t="shared" si="24"/>
        <v>1</v>
      </c>
      <c r="BM75" s="192">
        <f t="shared" si="25"/>
        <v>1</v>
      </c>
      <c r="BN75" s="192">
        <f t="shared" si="26"/>
        <v>1</v>
      </c>
      <c r="BO75" s="192">
        <f t="shared" si="27"/>
        <v>1</v>
      </c>
      <c r="BP75" s="192">
        <f t="shared" si="28"/>
        <v>1</v>
      </c>
      <c r="BQ75" s="192">
        <f t="shared" si="29"/>
        <v>1</v>
      </c>
      <c r="BR75" s="192">
        <f t="shared" si="30"/>
        <v>1</v>
      </c>
      <c r="BS75" s="192">
        <f t="shared" si="31"/>
        <v>1</v>
      </c>
      <c r="BT75" s="192">
        <f t="shared" si="32"/>
        <v>1</v>
      </c>
      <c r="BU75" s="192">
        <f t="shared" si="32"/>
        <v>1</v>
      </c>
      <c r="BV75" s="192">
        <f t="shared" si="33"/>
        <v>1</v>
      </c>
      <c r="BW75" s="192">
        <f t="shared" si="34"/>
        <v>1</v>
      </c>
      <c r="BX75" s="192">
        <f t="shared" si="35"/>
        <v>1</v>
      </c>
      <c r="BY75" s="192">
        <f t="shared" si="36"/>
        <v>1</v>
      </c>
      <c r="BZ75" s="192">
        <f t="shared" si="37"/>
        <v>1</v>
      </c>
      <c r="CA75" s="192">
        <f t="shared" si="38"/>
        <v>1</v>
      </c>
      <c r="CB75" s="192">
        <f t="shared" si="39"/>
        <v>1</v>
      </c>
      <c r="CS75" s="324" t="b">
        <f t="shared" si="50"/>
        <v>1</v>
      </c>
      <c r="CT75" s="324" t="b">
        <f t="shared" si="40"/>
        <v>1</v>
      </c>
      <c r="CU75" s="324" t="b">
        <f t="shared" si="41"/>
        <v>1</v>
      </c>
      <c r="CV75" s="324" t="b">
        <f t="shared" si="42"/>
        <v>1</v>
      </c>
      <c r="CW75" s="324" t="b">
        <f t="shared" si="43"/>
        <v>1</v>
      </c>
      <c r="CX75" s="324">
        <f t="shared" si="51"/>
        <v>1</v>
      </c>
    </row>
    <row r="76" spans="2:102" ht="15.75" customHeight="1" x14ac:dyDescent="0.25">
      <c r="B76" s="7" t="str">
        <f t="shared" si="44"/>
        <v/>
      </c>
      <c r="C76" s="7"/>
      <c r="D76" s="7"/>
      <c r="E76" s="7"/>
      <c r="F76" s="496"/>
      <c r="G76" s="6"/>
      <c r="H76" s="6"/>
      <c r="I76" s="6"/>
      <c r="J76" s="6"/>
      <c r="K76" s="6"/>
      <c r="L76" s="6"/>
      <c r="M76" s="6"/>
      <c r="N76" s="6"/>
      <c r="O76" s="6"/>
      <c r="P76" s="6"/>
      <c r="Q76" s="7" t="str">
        <f t="shared" si="45"/>
        <v/>
      </c>
      <c r="R76" s="6"/>
      <c r="S76" s="6"/>
      <c r="T76" s="6"/>
      <c r="U76" s="6"/>
      <c r="V76" s="6"/>
      <c r="W76" s="6"/>
      <c r="X76" s="6"/>
      <c r="Y76" s="6"/>
      <c r="Z76" s="6"/>
      <c r="AA76" s="6"/>
      <c r="AB76" s="7" t="str">
        <f t="shared" si="46"/>
        <v/>
      </c>
      <c r="AC76" s="7" t="str">
        <f t="shared" si="47"/>
        <v/>
      </c>
      <c r="AD76" s="7" t="str">
        <f>IF(G76="","",IF(AND(Z76&gt;='פרמטרים לקריטריונים'!$D$19,AA76&gt;='פרמטרים לקריטריונים'!$C$19),1,0))</f>
        <v/>
      </c>
      <c r="AE76" s="7" t="str" cm="1">
        <f t="array" ref="AE76">IF($F76="","",IF(OR(SUMPRODUCT(--(Z76:AA76&gt;=$Z$5:$AA$5))=COUNTA($Z$29:$AA$29),OR(AND(X76=1,OR(AB76=1,AC76=1)),AND(Y76=1,AD76=1))),1,0))</f>
        <v/>
      </c>
      <c r="AF76" s="6"/>
      <c r="AG76" s="6"/>
      <c r="AH76" s="6"/>
      <c r="AI76" s="6"/>
      <c r="AJ76" s="7" t="str">
        <f t="shared" si="52"/>
        <v/>
      </c>
      <c r="AK76" s="7"/>
      <c r="AL76" s="7"/>
      <c r="AM76" s="7"/>
      <c r="AN76" s="7"/>
      <c r="AO76" s="229" t="str">
        <f t="shared" si="53"/>
        <v/>
      </c>
      <c r="AP76" s="357"/>
      <c r="AQ76" s="193">
        <f t="shared" si="54"/>
        <v>0</v>
      </c>
      <c r="AR76" s="193" t="str">
        <f t="shared" si="55"/>
        <v/>
      </c>
      <c r="AS76" s="193" t="str">
        <f t="shared" si="55"/>
        <v/>
      </c>
      <c r="AT76" s="192">
        <f t="shared" si="49"/>
        <v>0</v>
      </c>
      <c r="AU76" s="192">
        <f t="shared" si="7"/>
        <v>0</v>
      </c>
      <c r="AV76" s="192">
        <f t="shared" si="8"/>
        <v>0</v>
      </c>
      <c r="AW76" s="192">
        <f t="shared" si="9"/>
        <v>0</v>
      </c>
      <c r="AX76" s="192">
        <f t="shared" si="10"/>
        <v>0</v>
      </c>
      <c r="AY76" s="192">
        <f t="shared" si="11"/>
        <v>0</v>
      </c>
      <c r="AZ76" s="192">
        <f t="shared" si="12"/>
        <v>0</v>
      </c>
      <c r="BA76" s="192">
        <f t="shared" si="13"/>
        <v>0</v>
      </c>
      <c r="BB76" s="192">
        <f t="shared" si="14"/>
        <v>0</v>
      </c>
      <c r="BC76" s="192">
        <f t="shared" si="15"/>
        <v>0</v>
      </c>
      <c r="BD76" s="192">
        <f t="shared" si="16"/>
        <v>1</v>
      </c>
      <c r="BE76" s="192">
        <f t="shared" si="17"/>
        <v>0</v>
      </c>
      <c r="BF76" s="192">
        <f t="shared" si="18"/>
        <v>0</v>
      </c>
      <c r="BG76" s="192">
        <f t="shared" si="19"/>
        <v>0</v>
      </c>
      <c r="BH76" s="192">
        <f t="shared" si="20"/>
        <v>0</v>
      </c>
      <c r="BI76" s="192">
        <f t="shared" si="21"/>
        <v>1</v>
      </c>
      <c r="BJ76" s="192">
        <f t="shared" si="22"/>
        <v>1</v>
      </c>
      <c r="BK76" s="192">
        <f t="shared" si="23"/>
        <v>1</v>
      </c>
      <c r="BL76" s="192">
        <f t="shared" si="24"/>
        <v>1</v>
      </c>
      <c r="BM76" s="192">
        <f t="shared" si="25"/>
        <v>0</v>
      </c>
      <c r="BN76" s="192">
        <f t="shared" si="26"/>
        <v>0</v>
      </c>
      <c r="BO76" s="192">
        <f t="shared" si="27"/>
        <v>1</v>
      </c>
      <c r="BP76" s="192">
        <f t="shared" si="28"/>
        <v>1</v>
      </c>
      <c r="BQ76" s="192">
        <f t="shared" si="29"/>
        <v>1</v>
      </c>
      <c r="BR76" s="192">
        <f t="shared" si="30"/>
        <v>1</v>
      </c>
      <c r="BS76" s="192">
        <f t="shared" si="31"/>
        <v>1</v>
      </c>
      <c r="BT76" s="192">
        <f t="shared" si="32"/>
        <v>0</v>
      </c>
      <c r="BU76" s="192">
        <f t="shared" si="32"/>
        <v>0</v>
      </c>
      <c r="BV76" s="192">
        <f t="shared" si="33"/>
        <v>0</v>
      </c>
      <c r="BW76" s="192">
        <f t="shared" si="34"/>
        <v>1</v>
      </c>
      <c r="BX76" s="192">
        <f t="shared" si="35"/>
        <v>1</v>
      </c>
      <c r="BY76" s="192">
        <f t="shared" si="36"/>
        <v>1</v>
      </c>
      <c r="BZ76" s="192">
        <f t="shared" si="37"/>
        <v>1</v>
      </c>
      <c r="CA76" s="192">
        <f t="shared" si="38"/>
        <v>1</v>
      </c>
      <c r="CB76" s="192">
        <f t="shared" si="39"/>
        <v>1</v>
      </c>
      <c r="CS76" s="324" t="b">
        <f t="shared" si="50"/>
        <v>0</v>
      </c>
      <c r="CT76" s="324" t="b">
        <f t="shared" si="40"/>
        <v>0</v>
      </c>
      <c r="CU76" s="324" t="b">
        <f t="shared" si="41"/>
        <v>1</v>
      </c>
      <c r="CV76" s="324" t="b">
        <f t="shared" si="42"/>
        <v>1</v>
      </c>
      <c r="CW76" s="324" t="b">
        <f t="shared" si="43"/>
        <v>1</v>
      </c>
      <c r="CX76" s="324" t="str">
        <f t="shared" si="51"/>
        <v/>
      </c>
    </row>
    <row r="77" spans="2:102" ht="15.75" customHeight="1" x14ac:dyDescent="0.25">
      <c r="B77" s="7" t="str">
        <f t="shared" si="44"/>
        <v/>
      </c>
      <c r="C77" s="7"/>
      <c r="D77" s="7"/>
      <c r="E77" s="7"/>
      <c r="F77" s="496"/>
      <c r="G77" s="6"/>
      <c r="H77" s="6"/>
      <c r="I77" s="6"/>
      <c r="J77" s="6"/>
      <c r="K77" s="6"/>
      <c r="L77" s="6"/>
      <c r="M77" s="6"/>
      <c r="N77" s="6"/>
      <c r="O77" s="6"/>
      <c r="P77" s="6"/>
      <c r="Q77" s="7" t="str">
        <f t="shared" si="45"/>
        <v/>
      </c>
      <c r="R77" s="6"/>
      <c r="S77" s="6"/>
      <c r="T77" s="6"/>
      <c r="U77" s="6"/>
      <c r="V77" s="6"/>
      <c r="W77" s="6"/>
      <c r="X77" s="6"/>
      <c r="Y77" s="6"/>
      <c r="Z77" s="6"/>
      <c r="AA77" s="6"/>
      <c r="AB77" s="7" t="str">
        <f t="shared" si="46"/>
        <v/>
      </c>
      <c r="AC77" s="7" t="str">
        <f t="shared" si="47"/>
        <v/>
      </c>
      <c r="AD77" s="7" t="str">
        <f>IF(G77="","",IF(AND(Z77&gt;='פרמטרים לקריטריונים'!$D$19,AA77&gt;='פרמטרים לקריטריונים'!$C$19),1,0))</f>
        <v/>
      </c>
      <c r="AE77" s="7" t="str" cm="1">
        <f t="array" ref="AE77">IF($F77="","",IF(OR(SUMPRODUCT(--(Z77:AA77&gt;=$Z$5:$AA$5))=COUNTA($Z$29:$AA$29),OR(AND(X77=1,OR(AB77=1,AC77=1)),AND(Y77=1,AD77=1))),1,0))</f>
        <v/>
      </c>
      <c r="AF77" s="6"/>
      <c r="AG77" s="6"/>
      <c r="AH77" s="6"/>
      <c r="AI77" s="6"/>
      <c r="AJ77" s="7" t="str">
        <f t="shared" si="52"/>
        <v/>
      </c>
      <c r="AK77" s="7"/>
      <c r="AL77" s="7"/>
      <c r="AM77" s="7"/>
      <c r="AN77" s="7"/>
      <c r="AO77" s="229" t="str">
        <f t="shared" si="53"/>
        <v/>
      </c>
      <c r="AP77" s="357"/>
      <c r="AQ77" s="193">
        <f t="shared" si="54"/>
        <v>0</v>
      </c>
      <c r="AR77" s="193" t="str">
        <f t="shared" si="55"/>
        <v/>
      </c>
      <c r="AS77" s="193" t="str">
        <f t="shared" si="55"/>
        <v/>
      </c>
      <c r="AT77" s="192">
        <f t="shared" si="49"/>
        <v>0</v>
      </c>
      <c r="AU77" s="192">
        <f t="shared" si="7"/>
        <v>0</v>
      </c>
      <c r="AV77" s="192">
        <f t="shared" si="8"/>
        <v>0</v>
      </c>
      <c r="AW77" s="192">
        <f t="shared" si="9"/>
        <v>0</v>
      </c>
      <c r="AX77" s="192">
        <f t="shared" si="10"/>
        <v>0</v>
      </c>
      <c r="AY77" s="192">
        <f t="shared" si="11"/>
        <v>0</v>
      </c>
      <c r="AZ77" s="192">
        <f t="shared" si="12"/>
        <v>0</v>
      </c>
      <c r="BA77" s="192">
        <f t="shared" si="13"/>
        <v>0</v>
      </c>
      <c r="BB77" s="192">
        <f t="shared" si="14"/>
        <v>0</v>
      </c>
      <c r="BC77" s="192">
        <f t="shared" si="15"/>
        <v>0</v>
      </c>
      <c r="BD77" s="192">
        <f t="shared" si="16"/>
        <v>1</v>
      </c>
      <c r="BE77" s="192">
        <f t="shared" si="17"/>
        <v>0</v>
      </c>
      <c r="BF77" s="192">
        <f t="shared" si="18"/>
        <v>0</v>
      </c>
      <c r="BG77" s="192">
        <f t="shared" si="19"/>
        <v>0</v>
      </c>
      <c r="BH77" s="192">
        <f t="shared" si="20"/>
        <v>0</v>
      </c>
      <c r="BI77" s="192">
        <f t="shared" si="21"/>
        <v>1</v>
      </c>
      <c r="BJ77" s="192">
        <f t="shared" si="22"/>
        <v>1</v>
      </c>
      <c r="BK77" s="192">
        <f t="shared" si="23"/>
        <v>1</v>
      </c>
      <c r="BL77" s="192">
        <f t="shared" si="24"/>
        <v>1</v>
      </c>
      <c r="BM77" s="192">
        <f t="shared" si="25"/>
        <v>0</v>
      </c>
      <c r="BN77" s="192">
        <f t="shared" si="26"/>
        <v>0</v>
      </c>
      <c r="BO77" s="192">
        <f t="shared" si="27"/>
        <v>1</v>
      </c>
      <c r="BP77" s="192">
        <f t="shared" si="28"/>
        <v>1</v>
      </c>
      <c r="BQ77" s="192">
        <f t="shared" si="29"/>
        <v>1</v>
      </c>
      <c r="BR77" s="192">
        <f t="shared" si="30"/>
        <v>1</v>
      </c>
      <c r="BS77" s="192">
        <f t="shared" si="31"/>
        <v>1</v>
      </c>
      <c r="BT77" s="192">
        <f t="shared" si="32"/>
        <v>0</v>
      </c>
      <c r="BU77" s="192">
        <f t="shared" si="32"/>
        <v>0</v>
      </c>
      <c r="BV77" s="192">
        <f t="shared" si="33"/>
        <v>0</v>
      </c>
      <c r="BW77" s="192">
        <f t="shared" si="34"/>
        <v>1</v>
      </c>
      <c r="BX77" s="192">
        <f t="shared" si="35"/>
        <v>1</v>
      </c>
      <c r="BY77" s="192">
        <f t="shared" si="36"/>
        <v>1</v>
      </c>
      <c r="BZ77" s="192">
        <f t="shared" si="37"/>
        <v>1</v>
      </c>
      <c r="CA77" s="192">
        <f t="shared" si="38"/>
        <v>1</v>
      </c>
      <c r="CB77" s="192">
        <f t="shared" si="39"/>
        <v>1</v>
      </c>
      <c r="CS77" s="324" t="b">
        <f t="shared" si="50"/>
        <v>0</v>
      </c>
      <c r="CT77" s="324" t="b">
        <f t="shared" si="40"/>
        <v>0</v>
      </c>
      <c r="CU77" s="324" t="b">
        <f t="shared" si="41"/>
        <v>1</v>
      </c>
      <c r="CV77" s="324" t="b">
        <f t="shared" si="42"/>
        <v>1</v>
      </c>
      <c r="CW77" s="324" t="b">
        <f t="shared" si="43"/>
        <v>1</v>
      </c>
      <c r="CX77" s="324" t="str">
        <f t="shared" si="51"/>
        <v/>
      </c>
    </row>
    <row r="78" spans="2:102" ht="36.75" customHeight="1" x14ac:dyDescent="0.25">
      <c r="B78" s="7">
        <f t="shared" si="44"/>
        <v>48</v>
      </c>
      <c r="C78" s="7"/>
      <c r="D78" s="7"/>
      <c r="E78" s="7"/>
      <c r="F78" s="496" t="s">
        <v>180</v>
      </c>
      <c r="G78" s="6">
        <v>1</v>
      </c>
      <c r="H78" s="6">
        <v>1</v>
      </c>
      <c r="I78" s="6">
        <v>1</v>
      </c>
      <c r="J78" s="6">
        <v>1</v>
      </c>
      <c r="K78" s="6">
        <v>1</v>
      </c>
      <c r="L78" s="6">
        <v>1</v>
      </c>
      <c r="M78" s="6">
        <v>1</v>
      </c>
      <c r="N78" s="6">
        <v>1</v>
      </c>
      <c r="O78" s="6">
        <v>14</v>
      </c>
      <c r="P78" s="6">
        <v>11</v>
      </c>
      <c r="Q78" s="7">
        <f t="shared" si="45"/>
        <v>1</v>
      </c>
      <c r="R78" s="6">
        <v>1</v>
      </c>
      <c r="S78" s="6">
        <v>1</v>
      </c>
      <c r="T78" s="6">
        <v>1</v>
      </c>
      <c r="U78" s="6">
        <v>1</v>
      </c>
      <c r="V78" s="6"/>
      <c r="W78" s="6"/>
      <c r="X78" s="6"/>
      <c r="Y78" s="6"/>
      <c r="Z78" s="6">
        <v>23</v>
      </c>
      <c r="AA78" s="6">
        <v>272603</v>
      </c>
      <c r="AB78" s="7">
        <f t="shared" si="46"/>
        <v>1</v>
      </c>
      <c r="AC78" s="7">
        <f t="shared" si="47"/>
        <v>1</v>
      </c>
      <c r="AD78" s="7">
        <f>IF(G78="","",IF(AND(Z78&gt;='פרמטרים לקריטריונים'!$D$19,AA78&gt;='פרמטרים לקריטריונים'!$C$19),1,0))</f>
        <v>1</v>
      </c>
      <c r="AE78" s="7" cm="1">
        <f t="array" ref="AE78">IF($F78="","",IF(OR(SUMPRODUCT(--(Z78:AA78&gt;=$Z$5:$AA$5))=COUNTA($Z$29:$AA$29),OR(AND(X78=1,OR(AB78=1,AC78=1)),AND(Y78=1,AD78=1))),1,0))</f>
        <v>1</v>
      </c>
      <c r="AF78" s="6"/>
      <c r="AG78" s="6">
        <v>1</v>
      </c>
      <c r="AH78" s="6">
        <v>1</v>
      </c>
      <c r="AI78" s="6">
        <v>1</v>
      </c>
      <c r="AJ78" s="7">
        <f t="shared" si="52"/>
        <v>1</v>
      </c>
      <c r="AK78" s="7"/>
      <c r="AL78" s="7"/>
      <c r="AM78" s="7"/>
      <c r="AN78" s="7"/>
      <c r="AO78" s="229">
        <f t="shared" si="53"/>
        <v>1</v>
      </c>
      <c r="AP78" s="357" t="s">
        <v>166</v>
      </c>
      <c r="AQ78" s="193">
        <f t="shared" si="54"/>
        <v>1</v>
      </c>
      <c r="AR78" s="193">
        <f t="shared" si="55"/>
        <v>0</v>
      </c>
      <c r="AS78" s="193">
        <f t="shared" si="55"/>
        <v>1</v>
      </c>
      <c r="AT78" s="192">
        <f t="shared" si="49"/>
        <v>1</v>
      </c>
      <c r="AU78" s="192">
        <f t="shared" si="7"/>
        <v>1</v>
      </c>
      <c r="AV78" s="192">
        <f t="shared" si="8"/>
        <v>1</v>
      </c>
      <c r="AW78" s="192">
        <f t="shared" si="9"/>
        <v>1</v>
      </c>
      <c r="AX78" s="192">
        <f t="shared" si="10"/>
        <v>1</v>
      </c>
      <c r="AY78" s="192">
        <f t="shared" si="11"/>
        <v>1</v>
      </c>
      <c r="AZ78" s="192">
        <f t="shared" si="12"/>
        <v>1</v>
      </c>
      <c r="BA78" s="192">
        <f t="shared" si="13"/>
        <v>1</v>
      </c>
      <c r="BB78" s="192">
        <f t="shared" si="14"/>
        <v>1</v>
      </c>
      <c r="BC78" s="192">
        <f t="shared" si="15"/>
        <v>1</v>
      </c>
      <c r="BD78" s="192">
        <f t="shared" si="16"/>
        <v>1</v>
      </c>
      <c r="BE78" s="192">
        <f t="shared" si="17"/>
        <v>1</v>
      </c>
      <c r="BF78" s="192">
        <f t="shared" si="18"/>
        <v>1</v>
      </c>
      <c r="BG78" s="192">
        <f t="shared" si="19"/>
        <v>1</v>
      </c>
      <c r="BH78" s="192">
        <f t="shared" si="20"/>
        <v>1</v>
      </c>
      <c r="BI78" s="192">
        <f t="shared" si="21"/>
        <v>1</v>
      </c>
      <c r="BJ78" s="192">
        <f t="shared" si="22"/>
        <v>1</v>
      </c>
      <c r="BK78" s="192">
        <f t="shared" si="23"/>
        <v>1</v>
      </c>
      <c r="BL78" s="192">
        <f t="shared" si="24"/>
        <v>1</v>
      </c>
      <c r="BM78" s="192">
        <f t="shared" si="25"/>
        <v>1</v>
      </c>
      <c r="BN78" s="192">
        <f t="shared" si="26"/>
        <v>1</v>
      </c>
      <c r="BO78" s="192">
        <f t="shared" si="27"/>
        <v>1</v>
      </c>
      <c r="BP78" s="192">
        <f t="shared" si="28"/>
        <v>1</v>
      </c>
      <c r="BQ78" s="192">
        <f t="shared" si="29"/>
        <v>1</v>
      </c>
      <c r="BR78" s="192">
        <f t="shared" si="30"/>
        <v>1</v>
      </c>
      <c r="BS78" s="192">
        <f t="shared" si="31"/>
        <v>1</v>
      </c>
      <c r="BT78" s="192">
        <f t="shared" si="32"/>
        <v>1</v>
      </c>
      <c r="BU78" s="192">
        <f t="shared" si="32"/>
        <v>1</v>
      </c>
      <c r="BV78" s="192">
        <f t="shared" si="33"/>
        <v>1</v>
      </c>
      <c r="BW78" s="192">
        <f t="shared" si="34"/>
        <v>1</v>
      </c>
      <c r="BX78" s="192">
        <f t="shared" si="35"/>
        <v>1</v>
      </c>
      <c r="BY78" s="192">
        <f t="shared" si="36"/>
        <v>1</v>
      </c>
      <c r="BZ78" s="192">
        <f t="shared" si="37"/>
        <v>1</v>
      </c>
      <c r="CA78" s="192">
        <f t="shared" si="38"/>
        <v>1</v>
      </c>
      <c r="CB78" s="192">
        <f t="shared" si="39"/>
        <v>1</v>
      </c>
      <c r="CS78" s="324" t="b">
        <f t="shared" si="50"/>
        <v>1</v>
      </c>
      <c r="CT78" s="324" t="b">
        <f t="shared" si="40"/>
        <v>1</v>
      </c>
      <c r="CU78" s="324" t="b">
        <f t="shared" si="41"/>
        <v>1</v>
      </c>
      <c r="CV78" s="324" t="b">
        <f t="shared" si="42"/>
        <v>1</v>
      </c>
      <c r="CW78" s="324" t="b">
        <f t="shared" si="43"/>
        <v>1</v>
      </c>
      <c r="CX78" s="324">
        <f t="shared" si="51"/>
        <v>1</v>
      </c>
    </row>
    <row r="79" spans="2:102" ht="8.25" customHeight="1" x14ac:dyDescent="0.25">
      <c r="B79" s="7" t="str">
        <f t="shared" si="44"/>
        <v/>
      </c>
      <c r="C79" s="7"/>
      <c r="D79" s="7"/>
      <c r="E79" s="7"/>
      <c r="F79" s="496"/>
      <c r="G79" s="6"/>
      <c r="H79" s="6"/>
      <c r="I79" s="6"/>
      <c r="J79" s="6"/>
      <c r="K79" s="6"/>
      <c r="L79" s="6"/>
      <c r="M79" s="6"/>
      <c r="N79" s="6"/>
      <c r="O79" s="6"/>
      <c r="P79" s="6"/>
      <c r="Q79" s="7" t="str">
        <f t="shared" si="45"/>
        <v/>
      </c>
      <c r="R79" s="6"/>
      <c r="S79" s="6"/>
      <c r="T79" s="6"/>
      <c r="U79" s="6"/>
      <c r="V79" s="6"/>
      <c r="W79" s="6"/>
      <c r="X79" s="6"/>
      <c r="Y79" s="6"/>
      <c r="Z79" s="6"/>
      <c r="AA79" s="6"/>
      <c r="AB79" s="7" t="str">
        <f t="shared" si="46"/>
        <v/>
      </c>
      <c r="AC79" s="7" t="str">
        <f t="shared" si="47"/>
        <v/>
      </c>
      <c r="AD79" s="7" t="str">
        <f>IF(G79="","",IF(AND(Z79&gt;='פרמטרים לקריטריונים'!$D$19,AA79&gt;='פרמטרים לקריטריונים'!$C$19),1,0))</f>
        <v/>
      </c>
      <c r="AE79" s="7" t="str" cm="1">
        <f t="array" ref="AE79">IF($F79="","",IF(OR(SUMPRODUCT(--(Z79:AA79&gt;=$Z$5:$AA$5))=COUNTA($Z$29:$AA$29),OR(AND(X79=1,OR(AB79=1,AC79=1)),AND(Y79=1,AD79=1))),1,0))</f>
        <v/>
      </c>
      <c r="AF79" s="6"/>
      <c r="AG79" s="6"/>
      <c r="AH79" s="6"/>
      <c r="AI79" s="6"/>
      <c r="AJ79" s="7" t="str">
        <f t="shared" si="52"/>
        <v/>
      </c>
      <c r="AK79" s="7"/>
      <c r="AL79" s="7"/>
      <c r="AM79" s="7"/>
      <c r="AN79" s="7"/>
      <c r="AO79" s="229" t="str">
        <f t="shared" si="53"/>
        <v/>
      </c>
      <c r="AP79" s="357"/>
      <c r="AQ79" s="193">
        <f t="shared" si="54"/>
        <v>0</v>
      </c>
      <c r="AR79" s="193" t="str">
        <f t="shared" si="55"/>
        <v/>
      </c>
      <c r="AS79" s="193" t="str">
        <f t="shared" si="55"/>
        <v/>
      </c>
      <c r="AT79" s="192">
        <f t="shared" si="49"/>
        <v>0</v>
      </c>
      <c r="AU79" s="192">
        <f t="shared" si="7"/>
        <v>0</v>
      </c>
      <c r="AV79" s="192">
        <f t="shared" si="8"/>
        <v>0</v>
      </c>
      <c r="AW79" s="192">
        <f t="shared" si="9"/>
        <v>0</v>
      </c>
      <c r="AX79" s="192">
        <f t="shared" si="10"/>
        <v>0</v>
      </c>
      <c r="AY79" s="192">
        <f t="shared" si="11"/>
        <v>0</v>
      </c>
      <c r="AZ79" s="192">
        <f t="shared" si="12"/>
        <v>0</v>
      </c>
      <c r="BA79" s="192">
        <f t="shared" si="13"/>
        <v>0</v>
      </c>
      <c r="BB79" s="192">
        <f t="shared" si="14"/>
        <v>0</v>
      </c>
      <c r="BC79" s="192">
        <f t="shared" si="15"/>
        <v>0</v>
      </c>
      <c r="BD79" s="192">
        <f t="shared" si="16"/>
        <v>1</v>
      </c>
      <c r="BE79" s="192">
        <f t="shared" si="17"/>
        <v>0</v>
      </c>
      <c r="BF79" s="192">
        <f t="shared" si="18"/>
        <v>0</v>
      </c>
      <c r="BG79" s="192">
        <f t="shared" si="19"/>
        <v>0</v>
      </c>
      <c r="BH79" s="192">
        <f t="shared" si="20"/>
        <v>0</v>
      </c>
      <c r="BI79" s="192">
        <f t="shared" si="21"/>
        <v>1</v>
      </c>
      <c r="BJ79" s="192">
        <f t="shared" si="22"/>
        <v>1</v>
      </c>
      <c r="BK79" s="192">
        <f t="shared" si="23"/>
        <v>1</v>
      </c>
      <c r="BL79" s="192">
        <f t="shared" si="24"/>
        <v>1</v>
      </c>
      <c r="BM79" s="192">
        <f t="shared" si="25"/>
        <v>0</v>
      </c>
      <c r="BN79" s="192">
        <f t="shared" si="26"/>
        <v>0</v>
      </c>
      <c r="BO79" s="192">
        <f t="shared" si="27"/>
        <v>1</v>
      </c>
      <c r="BP79" s="192">
        <f t="shared" si="28"/>
        <v>1</v>
      </c>
      <c r="BQ79" s="192">
        <f t="shared" si="29"/>
        <v>1</v>
      </c>
      <c r="BR79" s="192">
        <f t="shared" si="30"/>
        <v>1</v>
      </c>
      <c r="BS79" s="192">
        <f t="shared" si="31"/>
        <v>1</v>
      </c>
      <c r="BT79" s="192">
        <f t="shared" si="32"/>
        <v>0</v>
      </c>
      <c r="BU79" s="192">
        <f t="shared" si="32"/>
        <v>0</v>
      </c>
      <c r="BV79" s="192">
        <f t="shared" si="33"/>
        <v>0</v>
      </c>
      <c r="BW79" s="192">
        <f t="shared" si="34"/>
        <v>1</v>
      </c>
      <c r="BX79" s="192">
        <f t="shared" si="35"/>
        <v>1</v>
      </c>
      <c r="BY79" s="192">
        <f t="shared" si="36"/>
        <v>1</v>
      </c>
      <c r="BZ79" s="192">
        <f t="shared" si="37"/>
        <v>1</v>
      </c>
      <c r="CA79" s="192">
        <f t="shared" si="38"/>
        <v>1</v>
      </c>
      <c r="CB79" s="192">
        <f t="shared" si="39"/>
        <v>1</v>
      </c>
      <c r="CS79" s="324" t="b">
        <f t="shared" si="50"/>
        <v>0</v>
      </c>
      <c r="CT79" s="324" t="b">
        <f t="shared" si="40"/>
        <v>0</v>
      </c>
      <c r="CU79" s="324" t="b">
        <f t="shared" si="41"/>
        <v>1</v>
      </c>
      <c r="CV79" s="324" t="b">
        <f t="shared" si="42"/>
        <v>1</v>
      </c>
      <c r="CW79" s="324" t="b">
        <f t="shared" si="43"/>
        <v>1</v>
      </c>
      <c r="CX79" s="324" t="str">
        <f t="shared" si="51"/>
        <v/>
      </c>
    </row>
    <row r="80" spans="2:102" ht="8.25" customHeight="1" x14ac:dyDescent="0.25">
      <c r="B80" s="7" t="str">
        <f t="shared" si="44"/>
        <v/>
      </c>
      <c r="C80" s="7"/>
      <c r="D80" s="7"/>
      <c r="E80" s="7"/>
      <c r="F80" s="496"/>
      <c r="G80" s="6"/>
      <c r="H80" s="6"/>
      <c r="I80" s="6"/>
      <c r="J80" s="6"/>
      <c r="K80" s="6"/>
      <c r="L80" s="6"/>
      <c r="M80" s="6"/>
      <c r="N80" s="6"/>
      <c r="O80" s="6"/>
      <c r="P80" s="6"/>
      <c r="Q80" s="7" t="str">
        <f t="shared" si="45"/>
        <v/>
      </c>
      <c r="R80" s="6"/>
      <c r="S80" s="6"/>
      <c r="T80" s="6"/>
      <c r="U80" s="6"/>
      <c r="V80" s="6"/>
      <c r="W80" s="6"/>
      <c r="X80" s="6"/>
      <c r="Y80" s="6"/>
      <c r="Z80" s="6"/>
      <c r="AA80" s="6"/>
      <c r="AB80" s="7" t="str">
        <f t="shared" si="46"/>
        <v/>
      </c>
      <c r="AC80" s="7" t="str">
        <f t="shared" si="47"/>
        <v/>
      </c>
      <c r="AD80" s="7" t="str">
        <f>IF(G80="","",IF(AND(Z80&gt;='פרמטרים לקריטריונים'!$D$19,AA80&gt;='פרמטרים לקריטריונים'!$C$19),1,0))</f>
        <v/>
      </c>
      <c r="AE80" s="7" t="str" cm="1">
        <f t="array" ref="AE80">IF($F80="","",IF(OR(SUMPRODUCT(--(Z80:AA80&gt;=$Z$5:$AA$5))=COUNTA($Z$29:$AA$29),OR(AND(X80=1,OR(AB80=1,AC80=1)),AND(Y80=1,AD80=1))),1,0))</f>
        <v/>
      </c>
      <c r="AF80" s="6"/>
      <c r="AG80" s="6"/>
      <c r="AH80" s="6"/>
      <c r="AI80" s="6"/>
      <c r="AJ80" s="7" t="str">
        <f t="shared" si="52"/>
        <v/>
      </c>
      <c r="AK80" s="7"/>
      <c r="AL80" s="7"/>
      <c r="AM80" s="7"/>
      <c r="AN80" s="7"/>
      <c r="AO80" s="229" t="str">
        <f t="shared" si="53"/>
        <v/>
      </c>
      <c r="AP80" s="357"/>
      <c r="AQ80" s="193">
        <f t="shared" si="54"/>
        <v>0</v>
      </c>
      <c r="AR80" s="193" t="str">
        <f t="shared" si="55"/>
        <v/>
      </c>
      <c r="AS80" s="193" t="str">
        <f t="shared" si="55"/>
        <v/>
      </c>
      <c r="AT80" s="192">
        <f t="shared" si="49"/>
        <v>0</v>
      </c>
      <c r="AU80" s="192">
        <f t="shared" si="7"/>
        <v>0</v>
      </c>
      <c r="AV80" s="192">
        <f t="shared" si="8"/>
        <v>0</v>
      </c>
      <c r="AW80" s="192">
        <f t="shared" si="9"/>
        <v>0</v>
      </c>
      <c r="AX80" s="192">
        <f t="shared" si="10"/>
        <v>0</v>
      </c>
      <c r="AY80" s="192">
        <f t="shared" si="11"/>
        <v>0</v>
      </c>
      <c r="AZ80" s="192">
        <f t="shared" si="12"/>
        <v>0</v>
      </c>
      <c r="BA80" s="192">
        <f t="shared" si="13"/>
        <v>0</v>
      </c>
      <c r="BB80" s="192">
        <f t="shared" si="14"/>
        <v>0</v>
      </c>
      <c r="BC80" s="192">
        <f t="shared" si="15"/>
        <v>0</v>
      </c>
      <c r="BD80" s="192">
        <f t="shared" si="16"/>
        <v>1</v>
      </c>
      <c r="BE80" s="192">
        <f t="shared" si="17"/>
        <v>0</v>
      </c>
      <c r="BF80" s="192">
        <f t="shared" si="18"/>
        <v>0</v>
      </c>
      <c r="BG80" s="192">
        <f t="shared" si="19"/>
        <v>0</v>
      </c>
      <c r="BH80" s="192">
        <f t="shared" si="20"/>
        <v>0</v>
      </c>
      <c r="BI80" s="192">
        <f t="shared" si="21"/>
        <v>1</v>
      </c>
      <c r="BJ80" s="192">
        <f t="shared" si="22"/>
        <v>1</v>
      </c>
      <c r="BK80" s="192">
        <f t="shared" si="23"/>
        <v>1</v>
      </c>
      <c r="BL80" s="192">
        <f t="shared" si="24"/>
        <v>1</v>
      </c>
      <c r="BM80" s="192">
        <f t="shared" si="25"/>
        <v>0</v>
      </c>
      <c r="BN80" s="192">
        <f t="shared" si="26"/>
        <v>0</v>
      </c>
      <c r="BO80" s="192">
        <f t="shared" si="27"/>
        <v>1</v>
      </c>
      <c r="BP80" s="192">
        <f t="shared" si="28"/>
        <v>1</v>
      </c>
      <c r="BQ80" s="192">
        <f t="shared" si="29"/>
        <v>1</v>
      </c>
      <c r="BR80" s="192">
        <f t="shared" si="30"/>
        <v>1</v>
      </c>
      <c r="BS80" s="192">
        <f t="shared" si="31"/>
        <v>1</v>
      </c>
      <c r="BT80" s="192">
        <f t="shared" si="32"/>
        <v>0</v>
      </c>
      <c r="BU80" s="192">
        <f t="shared" si="32"/>
        <v>0</v>
      </c>
      <c r="BV80" s="192">
        <f t="shared" si="33"/>
        <v>0</v>
      </c>
      <c r="BW80" s="192">
        <f t="shared" si="34"/>
        <v>1</v>
      </c>
      <c r="BX80" s="192">
        <f t="shared" si="35"/>
        <v>1</v>
      </c>
      <c r="BY80" s="192">
        <f t="shared" si="36"/>
        <v>1</v>
      </c>
      <c r="BZ80" s="192">
        <f t="shared" si="37"/>
        <v>1</v>
      </c>
      <c r="CA80" s="192">
        <f t="shared" si="38"/>
        <v>1</v>
      </c>
      <c r="CB80" s="192">
        <f t="shared" si="39"/>
        <v>1</v>
      </c>
      <c r="CS80" s="324" t="b">
        <f t="shared" si="50"/>
        <v>0</v>
      </c>
      <c r="CT80" s="324" t="b">
        <f t="shared" si="40"/>
        <v>0</v>
      </c>
      <c r="CU80" s="324" t="b">
        <f t="shared" si="41"/>
        <v>1</v>
      </c>
      <c r="CV80" s="324" t="b">
        <f t="shared" si="42"/>
        <v>1</v>
      </c>
      <c r="CW80" s="324" t="b">
        <f t="shared" si="43"/>
        <v>1</v>
      </c>
      <c r="CX80" s="324" t="str">
        <f t="shared" si="51"/>
        <v/>
      </c>
    </row>
    <row r="81" spans="2:102" ht="8.25" customHeight="1" x14ac:dyDescent="0.25">
      <c r="B81" s="7" t="str">
        <f t="shared" si="44"/>
        <v/>
      </c>
      <c r="C81" s="7"/>
      <c r="D81" s="7"/>
      <c r="E81" s="7"/>
      <c r="F81" s="497"/>
      <c r="G81" s="6"/>
      <c r="H81" s="6"/>
      <c r="I81" s="6"/>
      <c r="J81" s="6"/>
      <c r="K81" s="6"/>
      <c r="L81" s="6"/>
      <c r="M81" s="6"/>
      <c r="N81" s="6"/>
      <c r="O81" s="6"/>
      <c r="P81" s="6"/>
      <c r="Q81" s="7" t="str">
        <f t="shared" si="45"/>
        <v/>
      </c>
      <c r="R81" s="6"/>
      <c r="S81" s="6"/>
      <c r="T81" s="6"/>
      <c r="U81" s="6"/>
      <c r="V81" s="6"/>
      <c r="W81" s="6"/>
      <c r="X81" s="6"/>
      <c r="Y81" s="6"/>
      <c r="Z81" s="6"/>
      <c r="AA81" s="6"/>
      <c r="AB81" s="7" t="str">
        <f t="shared" si="46"/>
        <v/>
      </c>
      <c r="AC81" s="7" t="str">
        <f t="shared" si="47"/>
        <v/>
      </c>
      <c r="AD81" s="7" t="str">
        <f>IF(G81="","",IF(AND(Z81&gt;='פרמטרים לקריטריונים'!$D$19,AA81&gt;='פרמטרים לקריטריונים'!$C$19),1,0))</f>
        <v/>
      </c>
      <c r="AE81" s="7" t="str" cm="1">
        <f t="array" ref="AE81">IF($F81="","",IF(OR(SUMPRODUCT(--(Z81:AA81&gt;=$Z$5:$AA$5))=COUNTA($Z$29:$AA$29),OR(AND(X81=1,OR(AB81=1,AC81=1)),AND(Y81=1,AD81=1))),1,0))</f>
        <v/>
      </c>
      <c r="AF81" s="6"/>
      <c r="AG81" s="6"/>
      <c r="AH81" s="6"/>
      <c r="AI81" s="6"/>
      <c r="AJ81" s="7" t="str">
        <f t="shared" si="52"/>
        <v/>
      </c>
      <c r="AK81" s="7"/>
      <c r="AL81" s="7"/>
      <c r="AM81" s="7"/>
      <c r="AN81" s="7"/>
      <c r="AO81" s="229" t="str">
        <f t="shared" si="53"/>
        <v/>
      </c>
      <c r="AP81" s="357"/>
      <c r="AQ81" s="193">
        <f t="shared" si="54"/>
        <v>0</v>
      </c>
      <c r="AR81" s="193" t="str">
        <f t="shared" si="55"/>
        <v/>
      </c>
      <c r="AS81" s="193" t="str">
        <f t="shared" si="55"/>
        <v/>
      </c>
      <c r="AT81" s="192">
        <f t="shared" si="49"/>
        <v>0</v>
      </c>
      <c r="AU81" s="192">
        <f t="shared" si="7"/>
        <v>0</v>
      </c>
      <c r="AV81" s="192">
        <f t="shared" si="8"/>
        <v>0</v>
      </c>
      <c r="AW81" s="192">
        <f t="shared" si="9"/>
        <v>0</v>
      </c>
      <c r="AX81" s="192">
        <f t="shared" si="10"/>
        <v>0</v>
      </c>
      <c r="AY81" s="192">
        <f t="shared" si="11"/>
        <v>0</v>
      </c>
      <c r="AZ81" s="192">
        <f t="shared" si="12"/>
        <v>0</v>
      </c>
      <c r="BA81" s="192">
        <f t="shared" si="13"/>
        <v>0</v>
      </c>
      <c r="BB81" s="192">
        <f t="shared" si="14"/>
        <v>0</v>
      </c>
      <c r="BC81" s="192">
        <f t="shared" si="15"/>
        <v>0</v>
      </c>
      <c r="BD81" s="192">
        <f t="shared" si="16"/>
        <v>1</v>
      </c>
      <c r="BE81" s="192">
        <f t="shared" si="17"/>
        <v>0</v>
      </c>
      <c r="BF81" s="192">
        <f t="shared" si="18"/>
        <v>0</v>
      </c>
      <c r="BG81" s="192">
        <f t="shared" si="19"/>
        <v>0</v>
      </c>
      <c r="BH81" s="192">
        <f t="shared" si="20"/>
        <v>0</v>
      </c>
      <c r="BI81" s="192">
        <f t="shared" si="21"/>
        <v>1</v>
      </c>
      <c r="BJ81" s="192">
        <f t="shared" si="22"/>
        <v>1</v>
      </c>
      <c r="BK81" s="192">
        <f t="shared" si="23"/>
        <v>1</v>
      </c>
      <c r="BL81" s="192">
        <f t="shared" si="24"/>
        <v>1</v>
      </c>
      <c r="BM81" s="192">
        <f t="shared" si="25"/>
        <v>0</v>
      </c>
      <c r="BN81" s="192">
        <f t="shared" si="26"/>
        <v>0</v>
      </c>
      <c r="BO81" s="192">
        <f t="shared" si="27"/>
        <v>1</v>
      </c>
      <c r="BP81" s="192">
        <f t="shared" si="28"/>
        <v>1</v>
      </c>
      <c r="BQ81" s="192">
        <f t="shared" si="29"/>
        <v>1</v>
      </c>
      <c r="BR81" s="192">
        <f t="shared" si="30"/>
        <v>1</v>
      </c>
      <c r="BS81" s="192">
        <f t="shared" si="31"/>
        <v>1</v>
      </c>
      <c r="BT81" s="192">
        <f t="shared" si="32"/>
        <v>0</v>
      </c>
      <c r="BU81" s="192">
        <f t="shared" si="32"/>
        <v>0</v>
      </c>
      <c r="BV81" s="192">
        <f t="shared" si="33"/>
        <v>0</v>
      </c>
      <c r="BW81" s="192">
        <f t="shared" si="34"/>
        <v>1</v>
      </c>
      <c r="BX81" s="192">
        <f t="shared" si="35"/>
        <v>1</v>
      </c>
      <c r="BY81" s="192">
        <f t="shared" si="36"/>
        <v>1</v>
      </c>
      <c r="BZ81" s="192">
        <f t="shared" si="37"/>
        <v>1</v>
      </c>
      <c r="CA81" s="192">
        <f t="shared" si="38"/>
        <v>1</v>
      </c>
      <c r="CB81" s="192">
        <f t="shared" si="39"/>
        <v>1</v>
      </c>
      <c r="CS81" s="324" t="b">
        <f t="shared" si="50"/>
        <v>0</v>
      </c>
      <c r="CT81" s="324" t="b">
        <f t="shared" si="40"/>
        <v>0</v>
      </c>
      <c r="CU81" s="324" t="b">
        <f t="shared" si="41"/>
        <v>1</v>
      </c>
      <c r="CV81" s="324" t="b">
        <f t="shared" si="42"/>
        <v>1</v>
      </c>
      <c r="CW81" s="324" t="b">
        <f t="shared" si="43"/>
        <v>1</v>
      </c>
      <c r="CX81" s="324" t="str">
        <f t="shared" si="51"/>
        <v/>
      </c>
    </row>
    <row r="82" spans="2:102" ht="36.75" customHeight="1" x14ac:dyDescent="0.25">
      <c r="B82" s="7">
        <f t="shared" si="44"/>
        <v>52</v>
      </c>
      <c r="C82" s="7"/>
      <c r="D82" s="7"/>
      <c r="E82" s="7"/>
      <c r="F82" s="496" t="s">
        <v>181</v>
      </c>
      <c r="G82" s="6">
        <v>1</v>
      </c>
      <c r="H82" s="6">
        <v>1</v>
      </c>
      <c r="I82" s="6">
        <v>1</v>
      </c>
      <c r="J82" s="6">
        <v>1</v>
      </c>
      <c r="K82" s="6">
        <v>1</v>
      </c>
      <c r="L82" s="6">
        <v>1</v>
      </c>
      <c r="M82" s="6">
        <v>1</v>
      </c>
      <c r="N82" s="6">
        <v>1</v>
      </c>
      <c r="O82" s="6">
        <v>7</v>
      </c>
      <c r="P82" s="6">
        <v>7</v>
      </c>
      <c r="Q82" s="7">
        <f t="shared" si="45"/>
        <v>1</v>
      </c>
      <c r="R82" s="6">
        <v>1</v>
      </c>
      <c r="S82" s="6">
        <v>1</v>
      </c>
      <c r="T82" s="6">
        <v>1</v>
      </c>
      <c r="U82" s="6">
        <v>1</v>
      </c>
      <c r="V82" s="6"/>
      <c r="W82" s="6"/>
      <c r="X82" s="6"/>
      <c r="Y82" s="6"/>
      <c r="Z82" s="6">
        <v>27</v>
      </c>
      <c r="AA82" s="6">
        <v>244285</v>
      </c>
      <c r="AB82" s="7">
        <f t="shared" si="46"/>
        <v>1</v>
      </c>
      <c r="AC82" s="7">
        <f t="shared" si="47"/>
        <v>1</v>
      </c>
      <c r="AD82" s="7">
        <f>IF(G82="","",IF(AND(Z82&gt;='פרמטרים לקריטריונים'!$D$19,AA82&gt;='פרמטרים לקריטריונים'!$C$19),1,0))</f>
        <v>1</v>
      </c>
      <c r="AE82" s="7" cm="1">
        <f t="array" ref="AE82">IF($F82="","",IF(OR(SUMPRODUCT(--(Z82:AA82&gt;=$Z$5:$AA$5))=COUNTA($Z$29:$AA$29),OR(AND(X82=1,OR(AB82=1,AC82=1)),AND(Y82=1,AD82=1))),1,0))</f>
        <v>1</v>
      </c>
      <c r="AF82" s="6"/>
      <c r="AG82" s="6">
        <v>1</v>
      </c>
      <c r="AH82" s="6">
        <v>1</v>
      </c>
      <c r="AI82" s="6">
        <v>1</v>
      </c>
      <c r="AJ82" s="7">
        <f t="shared" si="52"/>
        <v>1</v>
      </c>
      <c r="AK82" s="7"/>
      <c r="AL82" s="7"/>
      <c r="AM82" s="7"/>
      <c r="AN82" s="7"/>
      <c r="AO82" s="229">
        <f t="shared" si="53"/>
        <v>1</v>
      </c>
      <c r="AP82" s="357" t="s">
        <v>182</v>
      </c>
      <c r="AQ82" s="193">
        <f t="shared" si="54"/>
        <v>1</v>
      </c>
      <c r="AR82" s="193">
        <f t="shared" si="55"/>
        <v>0</v>
      </c>
      <c r="AS82" s="193">
        <f t="shared" si="55"/>
        <v>1</v>
      </c>
      <c r="AT82" s="192">
        <f t="shared" si="49"/>
        <v>1</v>
      </c>
      <c r="AU82" s="192">
        <f t="shared" si="7"/>
        <v>1</v>
      </c>
      <c r="AV82" s="192">
        <f t="shared" si="8"/>
        <v>1</v>
      </c>
      <c r="AW82" s="192">
        <f t="shared" si="9"/>
        <v>1</v>
      </c>
      <c r="AX82" s="192">
        <f t="shared" si="10"/>
        <v>1</v>
      </c>
      <c r="AY82" s="192">
        <f t="shared" si="11"/>
        <v>1</v>
      </c>
      <c r="AZ82" s="192">
        <f t="shared" si="12"/>
        <v>1</v>
      </c>
      <c r="BA82" s="192">
        <f t="shared" si="13"/>
        <v>1</v>
      </c>
      <c r="BB82" s="192">
        <f t="shared" si="14"/>
        <v>1</v>
      </c>
      <c r="BC82" s="192">
        <f t="shared" si="15"/>
        <v>1</v>
      </c>
      <c r="BD82" s="192">
        <f t="shared" si="16"/>
        <v>1</v>
      </c>
      <c r="BE82" s="192">
        <f t="shared" si="17"/>
        <v>1</v>
      </c>
      <c r="BF82" s="192">
        <f t="shared" si="18"/>
        <v>1</v>
      </c>
      <c r="BG82" s="192">
        <f t="shared" si="19"/>
        <v>1</v>
      </c>
      <c r="BH82" s="192">
        <f t="shared" si="20"/>
        <v>1</v>
      </c>
      <c r="BI82" s="192">
        <f t="shared" si="21"/>
        <v>1</v>
      </c>
      <c r="BJ82" s="192">
        <f t="shared" si="22"/>
        <v>1</v>
      </c>
      <c r="BK82" s="192">
        <f t="shared" si="23"/>
        <v>1</v>
      </c>
      <c r="BL82" s="192">
        <f t="shared" si="24"/>
        <v>1</v>
      </c>
      <c r="BM82" s="192">
        <f t="shared" si="25"/>
        <v>1</v>
      </c>
      <c r="BN82" s="192">
        <f t="shared" si="26"/>
        <v>1</v>
      </c>
      <c r="BO82" s="192">
        <f t="shared" si="27"/>
        <v>1</v>
      </c>
      <c r="BP82" s="192">
        <f t="shared" si="28"/>
        <v>1</v>
      </c>
      <c r="BQ82" s="192">
        <f t="shared" si="29"/>
        <v>1</v>
      </c>
      <c r="BR82" s="192">
        <f t="shared" si="30"/>
        <v>1</v>
      </c>
      <c r="BS82" s="192">
        <f t="shared" si="31"/>
        <v>1</v>
      </c>
      <c r="BT82" s="192">
        <f t="shared" si="32"/>
        <v>1</v>
      </c>
      <c r="BU82" s="192">
        <f t="shared" si="32"/>
        <v>1</v>
      </c>
      <c r="BV82" s="192">
        <f t="shared" si="33"/>
        <v>1</v>
      </c>
      <c r="BW82" s="192">
        <f t="shared" si="34"/>
        <v>1</v>
      </c>
      <c r="BX82" s="192">
        <f t="shared" si="35"/>
        <v>1</v>
      </c>
      <c r="BY82" s="192">
        <f t="shared" si="36"/>
        <v>1</v>
      </c>
      <c r="BZ82" s="192">
        <f t="shared" si="37"/>
        <v>1</v>
      </c>
      <c r="CA82" s="192">
        <f t="shared" si="38"/>
        <v>1</v>
      </c>
      <c r="CB82" s="192">
        <f t="shared" si="39"/>
        <v>1</v>
      </c>
      <c r="CS82" s="324" t="b">
        <f t="shared" si="50"/>
        <v>1</v>
      </c>
      <c r="CT82" s="324" t="b">
        <f t="shared" si="40"/>
        <v>1</v>
      </c>
      <c r="CU82" s="324" t="b">
        <f t="shared" si="41"/>
        <v>1</v>
      </c>
      <c r="CV82" s="324" t="b">
        <f t="shared" si="42"/>
        <v>1</v>
      </c>
      <c r="CW82" s="324" t="b">
        <f t="shared" si="43"/>
        <v>1</v>
      </c>
      <c r="CX82" s="324">
        <f t="shared" si="51"/>
        <v>1</v>
      </c>
    </row>
    <row r="83" spans="2:102" ht="14.25" customHeight="1" x14ac:dyDescent="0.25">
      <c r="B83" s="7" t="str">
        <f t="shared" si="44"/>
        <v/>
      </c>
      <c r="C83" s="7"/>
      <c r="D83" s="7"/>
      <c r="E83" s="7"/>
      <c r="F83" s="496"/>
      <c r="G83" s="6"/>
      <c r="H83" s="6"/>
      <c r="I83" s="6"/>
      <c r="J83" s="6"/>
      <c r="K83" s="6"/>
      <c r="L83" s="6"/>
      <c r="M83" s="6"/>
      <c r="N83" s="6"/>
      <c r="O83" s="6"/>
      <c r="P83" s="6"/>
      <c r="Q83" s="7" t="str">
        <f t="shared" si="45"/>
        <v/>
      </c>
      <c r="R83" s="6"/>
      <c r="S83" s="6"/>
      <c r="T83" s="6"/>
      <c r="U83" s="6"/>
      <c r="V83" s="6"/>
      <c r="W83" s="6"/>
      <c r="X83" s="6"/>
      <c r="Y83" s="6"/>
      <c r="Z83" s="6"/>
      <c r="AA83" s="6"/>
      <c r="AB83" s="7" t="str">
        <f t="shared" si="46"/>
        <v/>
      </c>
      <c r="AC83" s="7" t="str">
        <f t="shared" si="47"/>
        <v/>
      </c>
      <c r="AD83" s="7" t="str">
        <f>IF(G83="","",IF(AND(Z83&gt;='פרמטרים לקריטריונים'!$D$19,AA83&gt;='פרמטרים לקריטריונים'!$C$19),1,0))</f>
        <v/>
      </c>
      <c r="AE83" s="7" t="str" cm="1">
        <f t="array" ref="AE83">IF($F83="","",IF(OR(SUMPRODUCT(--(Z83:AA83&gt;=$Z$5:$AA$5))=COUNTA($Z$29:$AA$29),OR(AND(X83=1,OR(AB83=1,AC83=1)),AND(Y83=1,AD83=1))),1,0))</f>
        <v/>
      </c>
      <c r="AF83" s="6"/>
      <c r="AG83" s="6"/>
      <c r="AH83" s="6"/>
      <c r="AI83" s="6"/>
      <c r="AJ83" s="7" t="str">
        <f t="shared" si="52"/>
        <v/>
      </c>
      <c r="AK83" s="7"/>
      <c r="AL83" s="7"/>
      <c r="AM83" s="7"/>
      <c r="AN83" s="7"/>
      <c r="AO83" s="229" t="str">
        <f t="shared" si="53"/>
        <v/>
      </c>
      <c r="AP83" s="357"/>
      <c r="AQ83" s="193">
        <f t="shared" si="54"/>
        <v>0</v>
      </c>
      <c r="AR83" s="193" t="str">
        <f t="shared" si="55"/>
        <v/>
      </c>
      <c r="AS83" s="193" t="str">
        <f t="shared" si="55"/>
        <v/>
      </c>
      <c r="AT83" s="192">
        <f t="shared" si="49"/>
        <v>0</v>
      </c>
      <c r="AU83" s="192">
        <f t="shared" si="7"/>
        <v>0</v>
      </c>
      <c r="AV83" s="192">
        <f t="shared" si="8"/>
        <v>0</v>
      </c>
      <c r="AW83" s="192">
        <f t="shared" si="9"/>
        <v>0</v>
      </c>
      <c r="AX83" s="192">
        <f t="shared" si="10"/>
        <v>0</v>
      </c>
      <c r="AY83" s="192">
        <f t="shared" si="11"/>
        <v>0</v>
      </c>
      <c r="AZ83" s="192">
        <f t="shared" si="12"/>
        <v>0</v>
      </c>
      <c r="BA83" s="192">
        <f t="shared" si="13"/>
        <v>0</v>
      </c>
      <c r="BB83" s="192">
        <f t="shared" si="14"/>
        <v>0</v>
      </c>
      <c r="BC83" s="192">
        <f t="shared" si="15"/>
        <v>0</v>
      </c>
      <c r="BD83" s="192">
        <f t="shared" si="16"/>
        <v>1</v>
      </c>
      <c r="BE83" s="192">
        <f t="shared" si="17"/>
        <v>0</v>
      </c>
      <c r="BF83" s="192">
        <f t="shared" si="18"/>
        <v>0</v>
      </c>
      <c r="BG83" s="192">
        <f t="shared" si="19"/>
        <v>0</v>
      </c>
      <c r="BH83" s="192">
        <f t="shared" si="20"/>
        <v>0</v>
      </c>
      <c r="BI83" s="192">
        <f t="shared" si="21"/>
        <v>1</v>
      </c>
      <c r="BJ83" s="192">
        <f t="shared" si="22"/>
        <v>1</v>
      </c>
      <c r="BK83" s="192">
        <f t="shared" si="23"/>
        <v>1</v>
      </c>
      <c r="BL83" s="192">
        <f t="shared" si="24"/>
        <v>1</v>
      </c>
      <c r="BM83" s="192">
        <f t="shared" si="25"/>
        <v>0</v>
      </c>
      <c r="BN83" s="192">
        <f t="shared" si="26"/>
        <v>0</v>
      </c>
      <c r="BO83" s="192">
        <f t="shared" si="27"/>
        <v>1</v>
      </c>
      <c r="BP83" s="192">
        <f t="shared" si="28"/>
        <v>1</v>
      </c>
      <c r="BQ83" s="192">
        <f t="shared" si="29"/>
        <v>1</v>
      </c>
      <c r="BR83" s="192">
        <f t="shared" si="30"/>
        <v>1</v>
      </c>
      <c r="BS83" s="192">
        <f t="shared" si="31"/>
        <v>1</v>
      </c>
      <c r="BT83" s="192">
        <f t="shared" si="32"/>
        <v>0</v>
      </c>
      <c r="BU83" s="192">
        <f t="shared" si="32"/>
        <v>0</v>
      </c>
      <c r="BV83" s="192">
        <f t="shared" si="33"/>
        <v>0</v>
      </c>
      <c r="BW83" s="192">
        <f t="shared" si="34"/>
        <v>1</v>
      </c>
      <c r="BX83" s="192">
        <f t="shared" si="35"/>
        <v>1</v>
      </c>
      <c r="BY83" s="192">
        <f t="shared" si="36"/>
        <v>1</v>
      </c>
      <c r="BZ83" s="192">
        <f t="shared" si="37"/>
        <v>1</v>
      </c>
      <c r="CA83" s="192">
        <f t="shared" si="38"/>
        <v>1</v>
      </c>
      <c r="CB83" s="192">
        <f t="shared" si="39"/>
        <v>1</v>
      </c>
      <c r="CS83" s="324" t="b">
        <f t="shared" si="50"/>
        <v>0</v>
      </c>
      <c r="CT83" s="324" t="b">
        <f t="shared" si="40"/>
        <v>0</v>
      </c>
      <c r="CU83" s="324" t="b">
        <f t="shared" si="41"/>
        <v>1</v>
      </c>
      <c r="CV83" s="324" t="b">
        <f t="shared" si="42"/>
        <v>1</v>
      </c>
      <c r="CW83" s="324" t="b">
        <f t="shared" si="43"/>
        <v>1</v>
      </c>
      <c r="CX83" s="324" t="str">
        <f t="shared" si="51"/>
        <v/>
      </c>
    </row>
    <row r="84" spans="2:102" ht="14.25" customHeight="1" x14ac:dyDescent="0.25">
      <c r="B84" s="7" t="str">
        <f t="shared" si="44"/>
        <v/>
      </c>
      <c r="C84" s="7"/>
      <c r="D84" s="7"/>
      <c r="E84" s="7"/>
      <c r="F84" s="496"/>
      <c r="G84" s="6"/>
      <c r="H84" s="6"/>
      <c r="I84" s="6"/>
      <c r="J84" s="6"/>
      <c r="K84" s="6"/>
      <c r="L84" s="6"/>
      <c r="M84" s="6"/>
      <c r="N84" s="6"/>
      <c r="O84" s="6"/>
      <c r="P84" s="6"/>
      <c r="Q84" s="7" t="str">
        <f t="shared" si="45"/>
        <v/>
      </c>
      <c r="R84" s="6"/>
      <c r="S84" s="6"/>
      <c r="T84" s="6"/>
      <c r="U84" s="6"/>
      <c r="V84" s="6"/>
      <c r="W84" s="6"/>
      <c r="X84" s="6"/>
      <c r="Y84" s="6"/>
      <c r="Z84" s="6"/>
      <c r="AA84" s="6"/>
      <c r="AB84" s="7" t="str">
        <f t="shared" si="46"/>
        <v/>
      </c>
      <c r="AC84" s="7" t="str">
        <f t="shared" si="47"/>
        <v/>
      </c>
      <c r="AD84" s="7" t="str">
        <f>IF(G84="","",IF(AND(Z84&gt;='פרמטרים לקריטריונים'!$D$19,AA84&gt;='פרמטרים לקריטריונים'!$C$19),1,0))</f>
        <v/>
      </c>
      <c r="AE84" s="7" t="str" cm="1">
        <f t="array" ref="AE84">IF($F84="","",IF(OR(SUMPRODUCT(--(Z84:AA84&gt;=$Z$5:$AA$5))=COUNTA($Z$29:$AA$29),OR(AND(X84=1,OR(AB84=1,AC84=1)),AND(Y84=1,AD84=1))),1,0))</f>
        <v/>
      </c>
      <c r="AF84" s="6"/>
      <c r="AG84" s="6"/>
      <c r="AH84" s="6"/>
      <c r="AI84" s="6"/>
      <c r="AJ84" s="7" t="str">
        <f t="shared" si="52"/>
        <v/>
      </c>
      <c r="AK84" s="7"/>
      <c r="AL84" s="7"/>
      <c r="AM84" s="7"/>
      <c r="AN84" s="7"/>
      <c r="AO84" s="229" t="str">
        <f t="shared" si="53"/>
        <v/>
      </c>
      <c r="AP84" s="357"/>
      <c r="AQ84" s="193">
        <f t="shared" si="54"/>
        <v>0</v>
      </c>
      <c r="AR84" s="193" t="str">
        <f t="shared" si="55"/>
        <v/>
      </c>
      <c r="AS84" s="193" t="str">
        <f t="shared" si="55"/>
        <v/>
      </c>
      <c r="AT84" s="192">
        <f t="shared" si="49"/>
        <v>0</v>
      </c>
      <c r="AU84" s="192">
        <f t="shared" si="7"/>
        <v>0</v>
      </c>
      <c r="AV84" s="192">
        <f t="shared" si="8"/>
        <v>0</v>
      </c>
      <c r="AW84" s="192">
        <f t="shared" si="9"/>
        <v>0</v>
      </c>
      <c r="AX84" s="192">
        <f t="shared" si="10"/>
        <v>0</v>
      </c>
      <c r="AY84" s="192">
        <f t="shared" si="11"/>
        <v>0</v>
      </c>
      <c r="AZ84" s="192">
        <f t="shared" si="12"/>
        <v>0</v>
      </c>
      <c r="BA84" s="192">
        <f t="shared" si="13"/>
        <v>0</v>
      </c>
      <c r="BB84" s="192">
        <f t="shared" si="14"/>
        <v>0</v>
      </c>
      <c r="BC84" s="192">
        <f t="shared" si="15"/>
        <v>0</v>
      </c>
      <c r="BD84" s="192">
        <f t="shared" si="16"/>
        <v>1</v>
      </c>
      <c r="BE84" s="192">
        <f t="shared" si="17"/>
        <v>0</v>
      </c>
      <c r="BF84" s="192">
        <f t="shared" si="18"/>
        <v>0</v>
      </c>
      <c r="BG84" s="192">
        <f t="shared" si="19"/>
        <v>0</v>
      </c>
      <c r="BH84" s="192">
        <f t="shared" si="20"/>
        <v>0</v>
      </c>
      <c r="BI84" s="192">
        <f t="shared" si="21"/>
        <v>1</v>
      </c>
      <c r="BJ84" s="192">
        <f t="shared" si="22"/>
        <v>1</v>
      </c>
      <c r="BK84" s="192">
        <f t="shared" si="23"/>
        <v>1</v>
      </c>
      <c r="BL84" s="192">
        <f t="shared" si="24"/>
        <v>1</v>
      </c>
      <c r="BM84" s="192">
        <f t="shared" si="25"/>
        <v>0</v>
      </c>
      <c r="BN84" s="192">
        <f t="shared" si="26"/>
        <v>0</v>
      </c>
      <c r="BO84" s="192">
        <f t="shared" si="27"/>
        <v>1</v>
      </c>
      <c r="BP84" s="192">
        <f t="shared" si="28"/>
        <v>1</v>
      </c>
      <c r="BQ84" s="192">
        <f t="shared" si="29"/>
        <v>1</v>
      </c>
      <c r="BR84" s="192">
        <f t="shared" si="30"/>
        <v>1</v>
      </c>
      <c r="BS84" s="192">
        <f t="shared" si="31"/>
        <v>1</v>
      </c>
      <c r="BT84" s="192">
        <f t="shared" si="32"/>
        <v>0</v>
      </c>
      <c r="BU84" s="192">
        <f t="shared" si="32"/>
        <v>0</v>
      </c>
      <c r="BV84" s="192">
        <f t="shared" si="33"/>
        <v>0</v>
      </c>
      <c r="BW84" s="192">
        <f t="shared" si="34"/>
        <v>1</v>
      </c>
      <c r="BX84" s="192">
        <f t="shared" si="35"/>
        <v>1</v>
      </c>
      <c r="BY84" s="192">
        <f t="shared" si="36"/>
        <v>1</v>
      </c>
      <c r="BZ84" s="192">
        <f t="shared" si="37"/>
        <v>1</v>
      </c>
      <c r="CA84" s="192">
        <f t="shared" si="38"/>
        <v>1</v>
      </c>
      <c r="CB84" s="192">
        <f t="shared" si="39"/>
        <v>1</v>
      </c>
      <c r="CS84" s="324" t="b">
        <f t="shared" si="50"/>
        <v>0</v>
      </c>
      <c r="CT84" s="324" t="b">
        <f t="shared" si="40"/>
        <v>0</v>
      </c>
      <c r="CU84" s="324" t="b">
        <f t="shared" si="41"/>
        <v>1</v>
      </c>
      <c r="CV84" s="324" t="b">
        <f t="shared" si="42"/>
        <v>1</v>
      </c>
      <c r="CW84" s="324" t="b">
        <f t="shared" si="43"/>
        <v>1</v>
      </c>
      <c r="CX84" s="324" t="str">
        <f t="shared" si="51"/>
        <v/>
      </c>
    </row>
    <row r="85" spans="2:102" ht="36.75" customHeight="1" x14ac:dyDescent="0.25">
      <c r="B85" s="7">
        <f t="shared" si="44"/>
        <v>55</v>
      </c>
      <c r="C85" s="7"/>
      <c r="D85" s="7"/>
      <c r="E85" s="7"/>
      <c r="F85" s="496" t="s">
        <v>183</v>
      </c>
      <c r="G85" s="6">
        <v>1</v>
      </c>
      <c r="H85" s="6">
        <v>1</v>
      </c>
      <c r="I85" s="6">
        <v>1</v>
      </c>
      <c r="J85" s="6">
        <v>1</v>
      </c>
      <c r="K85" s="6">
        <v>1</v>
      </c>
      <c r="L85" s="6">
        <v>1</v>
      </c>
      <c r="M85" s="6">
        <v>1</v>
      </c>
      <c r="N85" s="6">
        <v>1</v>
      </c>
      <c r="O85" s="6">
        <v>15</v>
      </c>
      <c r="P85" s="6">
        <v>13</v>
      </c>
      <c r="Q85" s="7">
        <f t="shared" si="45"/>
        <v>1</v>
      </c>
      <c r="R85" s="6">
        <v>1</v>
      </c>
      <c r="S85" s="6">
        <v>1</v>
      </c>
      <c r="T85" s="6">
        <v>1</v>
      </c>
      <c r="U85" s="6">
        <v>1</v>
      </c>
      <c r="V85" s="6"/>
      <c r="W85" s="6"/>
      <c r="X85" s="6"/>
      <c r="Y85" s="6"/>
      <c r="Z85" s="6">
        <v>11</v>
      </c>
      <c r="AA85" s="6">
        <v>97373</v>
      </c>
      <c r="AB85" s="7">
        <f t="shared" si="46"/>
        <v>1</v>
      </c>
      <c r="AC85" s="7">
        <f t="shared" si="47"/>
        <v>1</v>
      </c>
      <c r="AD85" s="7">
        <f>IF(G85="","",IF(AND(Z85&gt;='פרמטרים לקריטריונים'!$D$19,AA85&gt;='פרמטרים לקריטריונים'!$C$19),1,0))</f>
        <v>1</v>
      </c>
      <c r="AE85" s="7" cm="1">
        <f t="array" ref="AE85">IF($F85="","",IF(OR(SUMPRODUCT(--(Z85:AA85&gt;=$Z$5:$AA$5))=COUNTA($Z$29:$AA$29),OR(AND(X85=1,OR(AB85=1,AC85=1)),AND(Y85=1,AD85=1))),1,0))</f>
        <v>1</v>
      </c>
      <c r="AF85" s="6"/>
      <c r="AG85" s="6">
        <v>1</v>
      </c>
      <c r="AH85" s="6">
        <v>1</v>
      </c>
      <c r="AI85" s="6">
        <v>1</v>
      </c>
      <c r="AJ85" s="7">
        <f t="shared" si="52"/>
        <v>1</v>
      </c>
      <c r="AK85" s="7"/>
      <c r="AL85" s="7"/>
      <c r="AM85" s="7"/>
      <c r="AN85" s="7"/>
      <c r="AO85" s="229">
        <f t="shared" si="53"/>
        <v>1</v>
      </c>
      <c r="AP85" s="357" t="s">
        <v>182</v>
      </c>
      <c r="AQ85" s="193">
        <f t="shared" si="54"/>
        <v>1</v>
      </c>
      <c r="AR85" s="193">
        <f t="shared" si="55"/>
        <v>0</v>
      </c>
      <c r="AS85" s="193">
        <f t="shared" si="55"/>
        <v>1</v>
      </c>
      <c r="AT85" s="192">
        <f t="shared" si="49"/>
        <v>1</v>
      </c>
      <c r="AU85" s="192">
        <f t="shared" si="7"/>
        <v>1</v>
      </c>
      <c r="AV85" s="192">
        <f t="shared" si="8"/>
        <v>1</v>
      </c>
      <c r="AW85" s="192">
        <f t="shared" si="9"/>
        <v>1</v>
      </c>
      <c r="AX85" s="192">
        <f t="shared" si="10"/>
        <v>1</v>
      </c>
      <c r="AY85" s="192">
        <f t="shared" si="11"/>
        <v>1</v>
      </c>
      <c r="AZ85" s="192">
        <f t="shared" si="12"/>
        <v>1</v>
      </c>
      <c r="BA85" s="192">
        <f t="shared" si="13"/>
        <v>1</v>
      </c>
      <c r="BB85" s="192">
        <f t="shared" si="14"/>
        <v>1</v>
      </c>
      <c r="BC85" s="192">
        <f t="shared" si="15"/>
        <v>1</v>
      </c>
      <c r="BD85" s="192">
        <f t="shared" si="16"/>
        <v>1</v>
      </c>
      <c r="BE85" s="192">
        <f t="shared" si="17"/>
        <v>1</v>
      </c>
      <c r="BF85" s="192">
        <f t="shared" si="18"/>
        <v>1</v>
      </c>
      <c r="BG85" s="192">
        <f t="shared" si="19"/>
        <v>1</v>
      </c>
      <c r="BH85" s="192">
        <f t="shared" si="20"/>
        <v>1</v>
      </c>
      <c r="BI85" s="192">
        <f t="shared" si="21"/>
        <v>1</v>
      </c>
      <c r="BJ85" s="192">
        <f t="shared" si="22"/>
        <v>1</v>
      </c>
      <c r="BK85" s="192">
        <f t="shared" si="23"/>
        <v>1</v>
      </c>
      <c r="BL85" s="192">
        <f t="shared" si="24"/>
        <v>1</v>
      </c>
      <c r="BM85" s="192">
        <f t="shared" si="25"/>
        <v>1</v>
      </c>
      <c r="BN85" s="192">
        <f t="shared" si="26"/>
        <v>1</v>
      </c>
      <c r="BO85" s="192">
        <f t="shared" si="27"/>
        <v>1</v>
      </c>
      <c r="BP85" s="192">
        <f t="shared" si="28"/>
        <v>1</v>
      </c>
      <c r="BQ85" s="192">
        <f t="shared" si="29"/>
        <v>1</v>
      </c>
      <c r="BR85" s="192">
        <f t="shared" si="30"/>
        <v>1</v>
      </c>
      <c r="BS85" s="192">
        <f t="shared" si="31"/>
        <v>1</v>
      </c>
      <c r="BT85" s="192">
        <f t="shared" si="32"/>
        <v>1</v>
      </c>
      <c r="BU85" s="192">
        <f t="shared" si="32"/>
        <v>1</v>
      </c>
      <c r="BV85" s="192">
        <f t="shared" si="33"/>
        <v>1</v>
      </c>
      <c r="BW85" s="192">
        <f t="shared" si="34"/>
        <v>1</v>
      </c>
      <c r="BX85" s="192">
        <f t="shared" si="35"/>
        <v>1</v>
      </c>
      <c r="BY85" s="192">
        <f t="shared" si="36"/>
        <v>1</v>
      </c>
      <c r="BZ85" s="192">
        <f t="shared" si="37"/>
        <v>1</v>
      </c>
      <c r="CA85" s="192">
        <f t="shared" si="38"/>
        <v>1</v>
      </c>
      <c r="CB85" s="192">
        <f t="shared" si="39"/>
        <v>1</v>
      </c>
      <c r="CS85" s="324" t="b">
        <f t="shared" si="50"/>
        <v>1</v>
      </c>
      <c r="CT85" s="324" t="b">
        <f t="shared" si="40"/>
        <v>1</v>
      </c>
      <c r="CU85" s="324" t="b">
        <f t="shared" si="41"/>
        <v>1</v>
      </c>
      <c r="CV85" s="324" t="b">
        <f t="shared" si="42"/>
        <v>1</v>
      </c>
      <c r="CW85" s="324" t="b">
        <f t="shared" si="43"/>
        <v>1</v>
      </c>
      <c r="CX85" s="324">
        <f t="shared" si="51"/>
        <v>1</v>
      </c>
    </row>
    <row r="86" spans="2:102" ht="18.75" customHeight="1" x14ac:dyDescent="0.25">
      <c r="B86" s="7" t="str">
        <f t="shared" si="44"/>
        <v/>
      </c>
      <c r="C86" s="7"/>
      <c r="D86" s="7"/>
      <c r="E86" s="7"/>
      <c r="F86" s="496"/>
      <c r="G86" s="6"/>
      <c r="H86" s="6"/>
      <c r="I86" s="6"/>
      <c r="J86" s="6"/>
      <c r="K86" s="6"/>
      <c r="L86" s="6"/>
      <c r="M86" s="6"/>
      <c r="N86" s="6"/>
      <c r="O86" s="6"/>
      <c r="P86" s="6"/>
      <c r="Q86" s="7" t="str">
        <f t="shared" si="45"/>
        <v/>
      </c>
      <c r="R86" s="6"/>
      <c r="S86" s="6"/>
      <c r="T86" s="6"/>
      <c r="U86" s="6"/>
      <c r="V86" s="6"/>
      <c r="W86" s="6"/>
      <c r="X86" s="6"/>
      <c r="Y86" s="6"/>
      <c r="Z86" s="6"/>
      <c r="AA86" s="6"/>
      <c r="AB86" s="7" t="str">
        <f t="shared" si="46"/>
        <v/>
      </c>
      <c r="AC86" s="7" t="str">
        <f t="shared" si="47"/>
        <v/>
      </c>
      <c r="AD86" s="7" t="str">
        <f>IF(G86="","",IF(AND(Z86&gt;='פרמטרים לקריטריונים'!$D$19,AA86&gt;='פרמטרים לקריטריונים'!$C$19),1,0))</f>
        <v/>
      </c>
      <c r="AE86" s="7" t="str" cm="1">
        <f t="array" ref="AE86">IF($F86="","",IF(OR(SUMPRODUCT(--(Z86:AA86&gt;=$Z$5:$AA$5))=COUNTA($Z$29:$AA$29),OR(AND(X86=1,OR(AB86=1,AC86=1)),AND(Y86=1,AD86=1))),1,0))</f>
        <v/>
      </c>
      <c r="AF86" s="6"/>
      <c r="AG86" s="6"/>
      <c r="AH86" s="6"/>
      <c r="AI86" s="6"/>
      <c r="AJ86" s="7" t="str">
        <f t="shared" si="52"/>
        <v/>
      </c>
      <c r="AK86" s="7"/>
      <c r="AL86" s="7"/>
      <c r="AM86" s="7"/>
      <c r="AN86" s="7"/>
      <c r="AO86" s="229" t="str">
        <f t="shared" si="53"/>
        <v/>
      </c>
      <c r="AP86" s="357"/>
      <c r="AQ86" s="193">
        <f t="shared" si="54"/>
        <v>0</v>
      </c>
      <c r="AR86" s="193" t="str">
        <f t="shared" si="55"/>
        <v/>
      </c>
      <c r="AS86" s="193" t="str">
        <f t="shared" si="55"/>
        <v/>
      </c>
      <c r="AT86" s="192">
        <f t="shared" si="49"/>
        <v>0</v>
      </c>
      <c r="AU86" s="192">
        <f t="shared" si="7"/>
        <v>0</v>
      </c>
      <c r="AV86" s="192">
        <f t="shared" si="8"/>
        <v>0</v>
      </c>
      <c r="AW86" s="192">
        <f t="shared" si="9"/>
        <v>0</v>
      </c>
      <c r="AX86" s="192">
        <f t="shared" si="10"/>
        <v>0</v>
      </c>
      <c r="AY86" s="192">
        <f t="shared" si="11"/>
        <v>0</v>
      </c>
      <c r="AZ86" s="192">
        <f t="shared" si="12"/>
        <v>0</v>
      </c>
      <c r="BA86" s="192">
        <f t="shared" si="13"/>
        <v>0</v>
      </c>
      <c r="BB86" s="192">
        <f t="shared" si="14"/>
        <v>0</v>
      </c>
      <c r="BC86" s="192">
        <f t="shared" si="15"/>
        <v>0</v>
      </c>
      <c r="BD86" s="192">
        <f t="shared" si="16"/>
        <v>1</v>
      </c>
      <c r="BE86" s="192">
        <f t="shared" si="17"/>
        <v>0</v>
      </c>
      <c r="BF86" s="192">
        <f t="shared" si="18"/>
        <v>0</v>
      </c>
      <c r="BG86" s="192">
        <f t="shared" si="19"/>
        <v>0</v>
      </c>
      <c r="BH86" s="192">
        <f t="shared" si="20"/>
        <v>0</v>
      </c>
      <c r="BI86" s="192">
        <f t="shared" si="21"/>
        <v>1</v>
      </c>
      <c r="BJ86" s="192">
        <f t="shared" si="22"/>
        <v>1</v>
      </c>
      <c r="BK86" s="192">
        <f t="shared" si="23"/>
        <v>1</v>
      </c>
      <c r="BL86" s="192">
        <f t="shared" si="24"/>
        <v>1</v>
      </c>
      <c r="BM86" s="192">
        <f t="shared" si="25"/>
        <v>0</v>
      </c>
      <c r="BN86" s="192">
        <f t="shared" si="26"/>
        <v>0</v>
      </c>
      <c r="BO86" s="192">
        <f t="shared" si="27"/>
        <v>1</v>
      </c>
      <c r="BP86" s="192">
        <f t="shared" si="28"/>
        <v>1</v>
      </c>
      <c r="BQ86" s="192">
        <f t="shared" si="29"/>
        <v>1</v>
      </c>
      <c r="BR86" s="192">
        <f t="shared" si="30"/>
        <v>1</v>
      </c>
      <c r="BS86" s="192">
        <f t="shared" si="31"/>
        <v>1</v>
      </c>
      <c r="BT86" s="192">
        <f t="shared" si="32"/>
        <v>0</v>
      </c>
      <c r="BU86" s="192">
        <f t="shared" si="32"/>
        <v>0</v>
      </c>
      <c r="BV86" s="192">
        <f t="shared" si="33"/>
        <v>0</v>
      </c>
      <c r="BW86" s="192">
        <f t="shared" si="34"/>
        <v>1</v>
      </c>
      <c r="BX86" s="192">
        <f t="shared" si="35"/>
        <v>1</v>
      </c>
      <c r="BY86" s="192">
        <f t="shared" si="36"/>
        <v>1</v>
      </c>
      <c r="BZ86" s="192">
        <f t="shared" si="37"/>
        <v>1</v>
      </c>
      <c r="CA86" s="192">
        <f t="shared" si="38"/>
        <v>1</v>
      </c>
      <c r="CB86" s="192">
        <f t="shared" si="39"/>
        <v>1</v>
      </c>
      <c r="CS86" s="324" t="b">
        <f t="shared" si="50"/>
        <v>0</v>
      </c>
      <c r="CT86" s="324" t="b">
        <f t="shared" si="40"/>
        <v>0</v>
      </c>
      <c r="CU86" s="324" t="b">
        <f t="shared" si="41"/>
        <v>1</v>
      </c>
      <c r="CV86" s="324" t="b">
        <f t="shared" si="42"/>
        <v>1</v>
      </c>
      <c r="CW86" s="324" t="b">
        <f t="shared" si="43"/>
        <v>1</v>
      </c>
      <c r="CX86" s="324" t="str">
        <f t="shared" si="51"/>
        <v/>
      </c>
    </row>
    <row r="87" spans="2:102" ht="36.75" customHeight="1" x14ac:dyDescent="0.25">
      <c r="B87" s="7">
        <f t="shared" si="44"/>
        <v>57</v>
      </c>
      <c r="C87" s="7"/>
      <c r="D87" s="7"/>
      <c r="E87" s="7"/>
      <c r="F87" s="501" t="s">
        <v>184</v>
      </c>
      <c r="G87" s="6">
        <v>1</v>
      </c>
      <c r="H87" s="6">
        <v>1</v>
      </c>
      <c r="I87" s="6">
        <v>1</v>
      </c>
      <c r="J87" s="6">
        <v>1</v>
      </c>
      <c r="K87" s="6">
        <v>1</v>
      </c>
      <c r="L87" s="6">
        <v>1</v>
      </c>
      <c r="M87" s="6">
        <v>1</v>
      </c>
      <c r="N87" s="6">
        <v>1</v>
      </c>
      <c r="O87" s="6">
        <v>14</v>
      </c>
      <c r="P87" s="6">
        <v>12</v>
      </c>
      <c r="Q87" s="7">
        <f t="shared" si="45"/>
        <v>1</v>
      </c>
      <c r="R87" s="6">
        <v>1</v>
      </c>
      <c r="S87" s="6">
        <v>1</v>
      </c>
      <c r="T87" s="6">
        <v>1</v>
      </c>
      <c r="U87" s="6">
        <v>1</v>
      </c>
      <c r="V87" s="6"/>
      <c r="W87" s="6"/>
      <c r="X87" s="6"/>
      <c r="Y87" s="6"/>
      <c r="Z87" s="6">
        <v>10</v>
      </c>
      <c r="AA87" s="6">
        <v>139544</v>
      </c>
      <c r="AB87" s="7">
        <f t="shared" si="46"/>
        <v>1</v>
      </c>
      <c r="AC87" s="7">
        <f t="shared" si="47"/>
        <v>1</v>
      </c>
      <c r="AD87" s="7">
        <f>IF(G87="","",IF(AND(Z87&gt;='פרמטרים לקריטריונים'!$D$19,AA87&gt;='פרמטרים לקריטריונים'!$C$19),1,0))</f>
        <v>1</v>
      </c>
      <c r="AE87" s="7" cm="1">
        <f t="array" ref="AE87">IF($F87="","",IF(OR(SUMPRODUCT(--(Z87:AA87&gt;=$Z$5:$AA$5))=COUNTA($Z$29:$AA$29),OR(AND(X87=1,OR(AB87=1,AC87=1)),AND(Y87=1,AD87=1))),1,0))</f>
        <v>1</v>
      </c>
      <c r="AF87" s="6"/>
      <c r="AG87" s="6">
        <v>1</v>
      </c>
      <c r="AH87" s="6">
        <v>1</v>
      </c>
      <c r="AI87" s="6">
        <v>1</v>
      </c>
      <c r="AJ87" s="7">
        <f t="shared" si="52"/>
        <v>1</v>
      </c>
      <c r="AK87" s="7"/>
      <c r="AL87" s="7"/>
      <c r="AM87" s="7"/>
      <c r="AN87" s="7"/>
      <c r="AO87" s="229">
        <f t="shared" si="53"/>
        <v>1</v>
      </c>
      <c r="AP87" s="357" t="s">
        <v>182</v>
      </c>
      <c r="AQ87" s="193">
        <f t="shared" si="54"/>
        <v>1</v>
      </c>
      <c r="AR87" s="193">
        <f t="shared" si="55"/>
        <v>0</v>
      </c>
      <c r="AS87" s="193">
        <f t="shared" si="55"/>
        <v>1</v>
      </c>
      <c r="AT87" s="192">
        <f t="shared" si="49"/>
        <v>1</v>
      </c>
      <c r="AU87" s="192">
        <f t="shared" si="7"/>
        <v>1</v>
      </c>
      <c r="AV87" s="192">
        <f t="shared" si="8"/>
        <v>1</v>
      </c>
      <c r="AW87" s="192">
        <f t="shared" si="9"/>
        <v>1</v>
      </c>
      <c r="AX87" s="192">
        <f t="shared" si="10"/>
        <v>1</v>
      </c>
      <c r="AY87" s="192">
        <f t="shared" si="11"/>
        <v>1</v>
      </c>
      <c r="AZ87" s="192">
        <f t="shared" si="12"/>
        <v>1</v>
      </c>
      <c r="BA87" s="192">
        <f t="shared" si="13"/>
        <v>1</v>
      </c>
      <c r="BB87" s="192">
        <f t="shared" si="14"/>
        <v>1</v>
      </c>
      <c r="BC87" s="192">
        <f t="shared" si="15"/>
        <v>1</v>
      </c>
      <c r="BD87" s="192">
        <f t="shared" si="16"/>
        <v>1</v>
      </c>
      <c r="BE87" s="192">
        <f t="shared" si="17"/>
        <v>1</v>
      </c>
      <c r="BF87" s="192">
        <f t="shared" si="18"/>
        <v>1</v>
      </c>
      <c r="BG87" s="192">
        <f t="shared" si="19"/>
        <v>1</v>
      </c>
      <c r="BH87" s="192">
        <f t="shared" si="20"/>
        <v>1</v>
      </c>
      <c r="BI87" s="192">
        <f t="shared" si="21"/>
        <v>1</v>
      </c>
      <c r="BJ87" s="192">
        <f t="shared" si="22"/>
        <v>1</v>
      </c>
      <c r="BK87" s="192">
        <f t="shared" si="23"/>
        <v>1</v>
      </c>
      <c r="BL87" s="192">
        <f t="shared" si="24"/>
        <v>1</v>
      </c>
      <c r="BM87" s="192">
        <f t="shared" si="25"/>
        <v>1</v>
      </c>
      <c r="BN87" s="192">
        <f t="shared" si="26"/>
        <v>1</v>
      </c>
      <c r="BO87" s="192">
        <f t="shared" si="27"/>
        <v>1</v>
      </c>
      <c r="BP87" s="192">
        <f t="shared" si="28"/>
        <v>1</v>
      </c>
      <c r="BQ87" s="192">
        <f t="shared" si="29"/>
        <v>1</v>
      </c>
      <c r="BR87" s="192">
        <f t="shared" si="30"/>
        <v>1</v>
      </c>
      <c r="BS87" s="192">
        <f t="shared" si="31"/>
        <v>1</v>
      </c>
      <c r="BT87" s="192">
        <f t="shared" si="32"/>
        <v>1</v>
      </c>
      <c r="BU87" s="192">
        <f t="shared" si="32"/>
        <v>1</v>
      </c>
      <c r="BV87" s="192">
        <f t="shared" si="33"/>
        <v>1</v>
      </c>
      <c r="BW87" s="192">
        <f t="shared" si="34"/>
        <v>1</v>
      </c>
      <c r="BX87" s="192">
        <f t="shared" si="35"/>
        <v>1</v>
      </c>
      <c r="BY87" s="192">
        <f t="shared" si="36"/>
        <v>1</v>
      </c>
      <c r="BZ87" s="192">
        <f t="shared" si="37"/>
        <v>1</v>
      </c>
      <c r="CA87" s="192">
        <f t="shared" si="38"/>
        <v>1</v>
      </c>
      <c r="CB87" s="192">
        <f t="shared" si="39"/>
        <v>1</v>
      </c>
      <c r="CS87" s="324" t="b">
        <f t="shared" si="50"/>
        <v>1</v>
      </c>
      <c r="CT87" s="324" t="b">
        <f t="shared" si="40"/>
        <v>1</v>
      </c>
      <c r="CU87" s="324" t="b">
        <f t="shared" si="41"/>
        <v>1</v>
      </c>
      <c r="CV87" s="324" t="b">
        <f t="shared" si="42"/>
        <v>1</v>
      </c>
      <c r="CW87" s="324" t="b">
        <f t="shared" si="43"/>
        <v>1</v>
      </c>
      <c r="CX87" s="324">
        <f t="shared" si="51"/>
        <v>1</v>
      </c>
    </row>
    <row r="88" spans="2:102" ht="17.25" customHeight="1" x14ac:dyDescent="0.25">
      <c r="B88" s="7" t="str">
        <f t="shared" si="44"/>
        <v/>
      </c>
      <c r="C88" s="7"/>
      <c r="D88" s="7"/>
      <c r="E88" s="7"/>
      <c r="F88" s="496"/>
      <c r="G88" s="6"/>
      <c r="H88" s="6"/>
      <c r="I88" s="6"/>
      <c r="J88" s="6"/>
      <c r="K88" s="6"/>
      <c r="L88" s="6"/>
      <c r="M88" s="6"/>
      <c r="N88" s="6"/>
      <c r="O88" s="6"/>
      <c r="P88" s="6"/>
      <c r="Q88" s="7" t="str">
        <f t="shared" si="45"/>
        <v/>
      </c>
      <c r="R88" s="6"/>
      <c r="S88" s="6"/>
      <c r="T88" s="6"/>
      <c r="U88" s="6"/>
      <c r="V88" s="6"/>
      <c r="W88" s="6"/>
      <c r="X88" s="6"/>
      <c r="Y88" s="6"/>
      <c r="Z88" s="6"/>
      <c r="AA88" s="6"/>
      <c r="AB88" s="7" t="str">
        <f t="shared" si="46"/>
        <v/>
      </c>
      <c r="AC88" s="7" t="str">
        <f t="shared" si="47"/>
        <v/>
      </c>
      <c r="AD88" s="7" t="str">
        <f>IF(G88="","",IF(AND(Z88&gt;='פרמטרים לקריטריונים'!$D$19,AA88&gt;='פרמטרים לקריטריונים'!$C$19),1,0))</f>
        <v/>
      </c>
      <c r="AE88" s="7" t="str" cm="1">
        <f t="array" ref="AE88">IF($F88="","",IF(OR(SUMPRODUCT(--(Z88:AA88&gt;=$Z$5:$AA$5))=COUNTA($Z$29:$AA$29),OR(AND(X88=1,OR(AB88=1,AC88=1)),AND(Y88=1,AD88=1))),1,0))</f>
        <v/>
      </c>
      <c r="AF88" s="6"/>
      <c r="AG88" s="6"/>
      <c r="AH88" s="6"/>
      <c r="AI88" s="6"/>
      <c r="AJ88" s="7" t="str">
        <f t="shared" si="52"/>
        <v/>
      </c>
      <c r="AK88" s="7"/>
      <c r="AL88" s="7"/>
      <c r="AM88" s="7"/>
      <c r="AN88" s="7"/>
      <c r="AO88" s="229" t="str">
        <f t="shared" si="53"/>
        <v/>
      </c>
      <c r="AP88" s="357"/>
      <c r="AQ88" s="193">
        <f t="shared" si="54"/>
        <v>0</v>
      </c>
      <c r="AR88" s="193" t="str">
        <f t="shared" si="55"/>
        <v/>
      </c>
      <c r="AS88" s="193" t="str">
        <f t="shared" si="55"/>
        <v/>
      </c>
      <c r="AT88" s="192">
        <f t="shared" si="49"/>
        <v>0</v>
      </c>
      <c r="AU88" s="192">
        <f t="shared" si="7"/>
        <v>0</v>
      </c>
      <c r="AV88" s="192">
        <f t="shared" si="8"/>
        <v>0</v>
      </c>
      <c r="AW88" s="192">
        <f t="shared" si="9"/>
        <v>0</v>
      </c>
      <c r="AX88" s="192">
        <f t="shared" si="10"/>
        <v>0</v>
      </c>
      <c r="AY88" s="192">
        <f t="shared" si="11"/>
        <v>0</v>
      </c>
      <c r="AZ88" s="192">
        <f t="shared" si="12"/>
        <v>0</v>
      </c>
      <c r="BA88" s="192">
        <f t="shared" si="13"/>
        <v>0</v>
      </c>
      <c r="BB88" s="192">
        <f t="shared" si="14"/>
        <v>0</v>
      </c>
      <c r="BC88" s="192">
        <f t="shared" si="15"/>
        <v>0</v>
      </c>
      <c r="BD88" s="192">
        <f t="shared" si="16"/>
        <v>1</v>
      </c>
      <c r="BE88" s="192">
        <f t="shared" si="17"/>
        <v>0</v>
      </c>
      <c r="BF88" s="192">
        <f t="shared" si="18"/>
        <v>0</v>
      </c>
      <c r="BG88" s="192">
        <f t="shared" si="19"/>
        <v>0</v>
      </c>
      <c r="BH88" s="192">
        <f t="shared" si="20"/>
        <v>0</v>
      </c>
      <c r="BI88" s="192">
        <f t="shared" si="21"/>
        <v>1</v>
      </c>
      <c r="BJ88" s="192">
        <f t="shared" si="22"/>
        <v>1</v>
      </c>
      <c r="BK88" s="192">
        <f t="shared" si="23"/>
        <v>1</v>
      </c>
      <c r="BL88" s="192">
        <f t="shared" si="24"/>
        <v>1</v>
      </c>
      <c r="BM88" s="192">
        <f t="shared" si="25"/>
        <v>0</v>
      </c>
      <c r="BN88" s="192">
        <f t="shared" si="26"/>
        <v>0</v>
      </c>
      <c r="BO88" s="192">
        <f t="shared" si="27"/>
        <v>1</v>
      </c>
      <c r="BP88" s="192">
        <f t="shared" si="28"/>
        <v>1</v>
      </c>
      <c r="BQ88" s="192">
        <f t="shared" si="29"/>
        <v>1</v>
      </c>
      <c r="BR88" s="192">
        <f t="shared" si="30"/>
        <v>1</v>
      </c>
      <c r="BS88" s="192">
        <f t="shared" si="31"/>
        <v>1</v>
      </c>
      <c r="BT88" s="192">
        <f t="shared" si="32"/>
        <v>0</v>
      </c>
      <c r="BU88" s="192">
        <f t="shared" si="32"/>
        <v>0</v>
      </c>
      <c r="BV88" s="192">
        <f t="shared" si="33"/>
        <v>0</v>
      </c>
      <c r="BW88" s="192">
        <f t="shared" si="34"/>
        <v>1</v>
      </c>
      <c r="BX88" s="192">
        <f t="shared" si="35"/>
        <v>1</v>
      </c>
      <c r="BY88" s="192">
        <f t="shared" si="36"/>
        <v>1</v>
      </c>
      <c r="BZ88" s="192">
        <f t="shared" si="37"/>
        <v>1</v>
      </c>
      <c r="CA88" s="192">
        <f t="shared" si="38"/>
        <v>1</v>
      </c>
      <c r="CB88" s="192">
        <f t="shared" si="39"/>
        <v>1</v>
      </c>
      <c r="CS88" s="324" t="b">
        <f t="shared" si="50"/>
        <v>0</v>
      </c>
      <c r="CT88" s="324" t="b">
        <f t="shared" si="40"/>
        <v>0</v>
      </c>
      <c r="CU88" s="324" t="b">
        <f t="shared" si="41"/>
        <v>1</v>
      </c>
      <c r="CV88" s="324" t="b">
        <f t="shared" si="42"/>
        <v>1</v>
      </c>
      <c r="CW88" s="324" t="b">
        <f t="shared" si="43"/>
        <v>1</v>
      </c>
      <c r="CX88" s="324" t="str">
        <f t="shared" si="51"/>
        <v/>
      </c>
    </row>
    <row r="89" spans="2:102" ht="56.25" customHeight="1" x14ac:dyDescent="0.25">
      <c r="B89" s="7">
        <f t="shared" si="44"/>
        <v>59</v>
      </c>
      <c r="C89" s="7"/>
      <c r="D89" s="7"/>
      <c r="E89" s="7"/>
      <c r="F89" s="496" t="s">
        <v>185</v>
      </c>
      <c r="G89" s="6">
        <v>1</v>
      </c>
      <c r="H89" s="6">
        <v>1</v>
      </c>
      <c r="I89" s="6">
        <v>1</v>
      </c>
      <c r="J89" s="6">
        <v>1</v>
      </c>
      <c r="K89" s="6">
        <v>1</v>
      </c>
      <c r="L89" s="6">
        <v>1</v>
      </c>
      <c r="M89" s="6">
        <v>1</v>
      </c>
      <c r="N89" s="6">
        <v>1</v>
      </c>
      <c r="O89" s="6">
        <v>15</v>
      </c>
      <c r="P89" s="6">
        <v>11</v>
      </c>
      <c r="Q89" s="7">
        <f t="shared" si="45"/>
        <v>1</v>
      </c>
      <c r="R89" s="6">
        <v>1</v>
      </c>
      <c r="S89" s="6">
        <v>1</v>
      </c>
      <c r="T89" s="6">
        <v>1</v>
      </c>
      <c r="U89" s="6">
        <v>1</v>
      </c>
      <c r="V89" s="6"/>
      <c r="W89" s="6"/>
      <c r="X89" s="6"/>
      <c r="Y89" s="6"/>
      <c r="Z89" s="6">
        <v>18</v>
      </c>
      <c r="AA89" s="6">
        <v>176210</v>
      </c>
      <c r="AB89" s="7">
        <f t="shared" si="46"/>
        <v>1</v>
      </c>
      <c r="AC89" s="7">
        <f t="shared" si="47"/>
        <v>1</v>
      </c>
      <c r="AD89" s="7">
        <f>IF(G89="","",IF(AND(Z89&gt;='פרמטרים לקריטריונים'!$D$19,AA89&gt;='פרמטרים לקריטריונים'!$C$19),1,0))</f>
        <v>1</v>
      </c>
      <c r="AE89" s="7" cm="1">
        <f t="array" ref="AE89">IF($F89="","",IF(OR(SUMPRODUCT(--(Z89:AA89&gt;=$Z$5:$AA$5))=COUNTA($Z$29:$AA$29),OR(AND(X89=1,OR(AB89=1,AC89=1)),AND(Y89=1,AD89=1))),1,0))</f>
        <v>1</v>
      </c>
      <c r="AF89" s="6"/>
      <c r="AG89" s="6">
        <v>1</v>
      </c>
      <c r="AH89" s="6">
        <v>1</v>
      </c>
      <c r="AI89" s="6">
        <v>1</v>
      </c>
      <c r="AJ89" s="7">
        <f t="shared" si="52"/>
        <v>1</v>
      </c>
      <c r="AK89" s="7"/>
      <c r="AL89" s="7"/>
      <c r="AM89" s="7"/>
      <c r="AN89" s="7"/>
      <c r="AO89" s="229">
        <f t="shared" si="53"/>
        <v>1</v>
      </c>
      <c r="AP89" s="357" t="s">
        <v>182</v>
      </c>
      <c r="AQ89" s="193">
        <f t="shared" si="54"/>
        <v>1</v>
      </c>
      <c r="AR89" s="193">
        <f t="shared" si="55"/>
        <v>0</v>
      </c>
      <c r="AS89" s="193">
        <f t="shared" si="55"/>
        <v>1</v>
      </c>
      <c r="AT89" s="192">
        <f t="shared" si="49"/>
        <v>1</v>
      </c>
      <c r="AU89" s="192">
        <f t="shared" si="7"/>
        <v>1</v>
      </c>
      <c r="AV89" s="192">
        <f t="shared" si="8"/>
        <v>1</v>
      </c>
      <c r="AW89" s="192">
        <f t="shared" si="9"/>
        <v>1</v>
      </c>
      <c r="AX89" s="192">
        <f t="shared" si="10"/>
        <v>1</v>
      </c>
      <c r="AY89" s="192">
        <f t="shared" si="11"/>
        <v>1</v>
      </c>
      <c r="AZ89" s="192">
        <f t="shared" si="12"/>
        <v>1</v>
      </c>
      <c r="BA89" s="192">
        <f t="shared" si="13"/>
        <v>1</v>
      </c>
      <c r="BB89" s="192">
        <f t="shared" si="14"/>
        <v>1</v>
      </c>
      <c r="BC89" s="192">
        <f t="shared" si="15"/>
        <v>1</v>
      </c>
      <c r="BD89" s="192">
        <f t="shared" si="16"/>
        <v>1</v>
      </c>
      <c r="BE89" s="192">
        <f t="shared" si="17"/>
        <v>1</v>
      </c>
      <c r="BF89" s="192">
        <f t="shared" si="18"/>
        <v>1</v>
      </c>
      <c r="BG89" s="192">
        <f t="shared" si="19"/>
        <v>1</v>
      </c>
      <c r="BH89" s="192">
        <f t="shared" si="20"/>
        <v>1</v>
      </c>
      <c r="BI89" s="192">
        <f t="shared" si="21"/>
        <v>1</v>
      </c>
      <c r="BJ89" s="192">
        <f t="shared" si="22"/>
        <v>1</v>
      </c>
      <c r="BK89" s="192">
        <f t="shared" si="23"/>
        <v>1</v>
      </c>
      <c r="BL89" s="192">
        <f t="shared" si="24"/>
        <v>1</v>
      </c>
      <c r="BM89" s="192">
        <f t="shared" si="25"/>
        <v>1</v>
      </c>
      <c r="BN89" s="192">
        <f t="shared" si="26"/>
        <v>1</v>
      </c>
      <c r="BO89" s="192">
        <f t="shared" si="27"/>
        <v>1</v>
      </c>
      <c r="BP89" s="192">
        <f t="shared" si="28"/>
        <v>1</v>
      </c>
      <c r="BQ89" s="192">
        <f t="shared" si="29"/>
        <v>1</v>
      </c>
      <c r="BR89" s="192">
        <f t="shared" si="30"/>
        <v>1</v>
      </c>
      <c r="BS89" s="192">
        <f t="shared" si="31"/>
        <v>1</v>
      </c>
      <c r="BT89" s="192">
        <f t="shared" si="32"/>
        <v>1</v>
      </c>
      <c r="BU89" s="192">
        <f t="shared" si="32"/>
        <v>1</v>
      </c>
      <c r="BV89" s="192">
        <f t="shared" si="33"/>
        <v>1</v>
      </c>
      <c r="BW89" s="192">
        <f t="shared" si="34"/>
        <v>1</v>
      </c>
      <c r="BX89" s="192">
        <f t="shared" si="35"/>
        <v>1</v>
      </c>
      <c r="BY89" s="192">
        <f t="shared" si="36"/>
        <v>1</v>
      </c>
      <c r="BZ89" s="192">
        <f t="shared" si="37"/>
        <v>1</v>
      </c>
      <c r="CA89" s="192">
        <f t="shared" si="38"/>
        <v>1</v>
      </c>
      <c r="CB89" s="192">
        <f t="shared" si="39"/>
        <v>1</v>
      </c>
      <c r="CS89" s="324" t="b">
        <f t="shared" si="50"/>
        <v>1</v>
      </c>
      <c r="CT89" s="324" t="b">
        <f t="shared" si="40"/>
        <v>1</v>
      </c>
      <c r="CU89" s="324" t="b">
        <f t="shared" si="41"/>
        <v>1</v>
      </c>
      <c r="CV89" s="324" t="b">
        <f t="shared" si="42"/>
        <v>1</v>
      </c>
      <c r="CW89" s="324" t="b">
        <f t="shared" si="43"/>
        <v>1</v>
      </c>
      <c r="CX89" s="324">
        <f t="shared" si="51"/>
        <v>1</v>
      </c>
    </row>
    <row r="90" spans="2:102" ht="36.75" customHeight="1" x14ac:dyDescent="0.25">
      <c r="B90" s="7">
        <f t="shared" si="44"/>
        <v>60</v>
      </c>
      <c r="C90" s="7"/>
      <c r="D90" s="7"/>
      <c r="E90" s="7"/>
      <c r="F90" s="496" t="s">
        <v>421</v>
      </c>
      <c r="G90" s="6">
        <v>1</v>
      </c>
      <c r="H90" s="6">
        <v>1</v>
      </c>
      <c r="I90" s="6">
        <v>1</v>
      </c>
      <c r="J90" s="6">
        <v>1</v>
      </c>
      <c r="K90" s="6">
        <v>1</v>
      </c>
      <c r="L90" s="6">
        <v>1</v>
      </c>
      <c r="M90" s="6">
        <v>1</v>
      </c>
      <c r="N90" s="6">
        <v>1</v>
      </c>
      <c r="O90" s="6">
        <v>22</v>
      </c>
      <c r="P90" s="6">
        <v>19</v>
      </c>
      <c r="Q90" s="7">
        <f t="shared" si="45"/>
        <v>1</v>
      </c>
      <c r="R90" s="6">
        <v>1</v>
      </c>
      <c r="S90" s="6">
        <v>1</v>
      </c>
      <c r="T90" s="6">
        <v>1</v>
      </c>
      <c r="U90" s="6">
        <v>1</v>
      </c>
      <c r="V90" s="6"/>
      <c r="W90" s="6"/>
      <c r="X90" s="6"/>
      <c r="Y90" s="6"/>
      <c r="Z90" s="6">
        <v>8</v>
      </c>
      <c r="AA90" s="6">
        <v>251896</v>
      </c>
      <c r="AB90" s="7">
        <f t="shared" si="46"/>
        <v>1</v>
      </c>
      <c r="AC90" s="7">
        <f t="shared" si="47"/>
        <v>1</v>
      </c>
      <c r="AD90" s="7">
        <f>IF(G90="","",IF(AND(Z90&gt;='פרמטרים לקריטריונים'!$D$19,AA90&gt;='פרמטרים לקריטריונים'!$C$19),1,0))</f>
        <v>1</v>
      </c>
      <c r="AE90" s="7" cm="1">
        <f t="array" ref="AE90">IF($F90="","",IF(OR(SUMPRODUCT(--(Z90:AA90&gt;=$Z$5:$AA$5))=COUNTA($Z$29:$AA$29),OR(AND(X90=1,OR(AB90=1,AC90=1)),AND(Y90=1,AD90=1))),1,0))</f>
        <v>1</v>
      </c>
      <c r="AF90" s="6"/>
      <c r="AG90" s="6">
        <v>1</v>
      </c>
      <c r="AH90" s="6">
        <v>1</v>
      </c>
      <c r="AI90" s="6">
        <v>1</v>
      </c>
      <c r="AJ90" s="7">
        <f t="shared" si="52"/>
        <v>1</v>
      </c>
      <c r="AK90" s="7"/>
      <c r="AL90" s="7"/>
      <c r="AM90" s="7"/>
      <c r="AN90" s="7"/>
      <c r="AO90" s="229">
        <f t="shared" si="53"/>
        <v>1</v>
      </c>
      <c r="AP90" s="357" t="s">
        <v>166</v>
      </c>
      <c r="AQ90" s="193">
        <f t="shared" si="54"/>
        <v>1</v>
      </c>
      <c r="AR90" s="193">
        <f t="shared" si="55"/>
        <v>0</v>
      </c>
      <c r="AS90" s="193">
        <f t="shared" si="55"/>
        <v>1</v>
      </c>
      <c r="AT90" s="192">
        <f t="shared" si="49"/>
        <v>1</v>
      </c>
      <c r="AU90" s="192">
        <f t="shared" si="7"/>
        <v>1</v>
      </c>
      <c r="AV90" s="192">
        <f t="shared" si="8"/>
        <v>1</v>
      </c>
      <c r="AW90" s="192">
        <f t="shared" si="9"/>
        <v>1</v>
      </c>
      <c r="AX90" s="192">
        <f t="shared" si="10"/>
        <v>1</v>
      </c>
      <c r="AY90" s="192">
        <f t="shared" si="11"/>
        <v>1</v>
      </c>
      <c r="AZ90" s="192">
        <f t="shared" si="12"/>
        <v>1</v>
      </c>
      <c r="BA90" s="192">
        <f t="shared" si="13"/>
        <v>1</v>
      </c>
      <c r="BB90" s="192">
        <f t="shared" si="14"/>
        <v>1</v>
      </c>
      <c r="BC90" s="192">
        <f t="shared" si="15"/>
        <v>1</v>
      </c>
      <c r="BD90" s="192">
        <f t="shared" si="16"/>
        <v>1</v>
      </c>
      <c r="BE90" s="192">
        <f t="shared" si="17"/>
        <v>1</v>
      </c>
      <c r="BF90" s="192">
        <f t="shared" si="18"/>
        <v>1</v>
      </c>
      <c r="BG90" s="192">
        <f t="shared" si="19"/>
        <v>1</v>
      </c>
      <c r="BH90" s="192">
        <f t="shared" si="20"/>
        <v>1</v>
      </c>
      <c r="BI90" s="192">
        <f t="shared" si="21"/>
        <v>1</v>
      </c>
      <c r="BJ90" s="192">
        <f t="shared" si="22"/>
        <v>1</v>
      </c>
      <c r="BK90" s="192">
        <f t="shared" si="23"/>
        <v>1</v>
      </c>
      <c r="BL90" s="192">
        <f t="shared" si="24"/>
        <v>1</v>
      </c>
      <c r="BM90" s="192">
        <f t="shared" si="25"/>
        <v>1</v>
      </c>
      <c r="BN90" s="192">
        <f t="shared" si="26"/>
        <v>1</v>
      </c>
      <c r="BO90" s="192">
        <f t="shared" si="27"/>
        <v>1</v>
      </c>
      <c r="BP90" s="192">
        <f t="shared" si="28"/>
        <v>1</v>
      </c>
      <c r="BQ90" s="192">
        <f t="shared" si="29"/>
        <v>1</v>
      </c>
      <c r="BR90" s="192">
        <f t="shared" si="30"/>
        <v>1</v>
      </c>
      <c r="BS90" s="192">
        <f t="shared" si="31"/>
        <v>1</v>
      </c>
      <c r="BT90" s="192">
        <f t="shared" si="32"/>
        <v>1</v>
      </c>
      <c r="BU90" s="192">
        <f t="shared" si="32"/>
        <v>1</v>
      </c>
      <c r="BV90" s="192">
        <f t="shared" si="33"/>
        <v>1</v>
      </c>
      <c r="BW90" s="192">
        <f t="shared" si="34"/>
        <v>1</v>
      </c>
      <c r="BX90" s="192">
        <f t="shared" si="35"/>
        <v>1</v>
      </c>
      <c r="BY90" s="192">
        <f t="shared" si="36"/>
        <v>1</v>
      </c>
      <c r="BZ90" s="192">
        <f t="shared" si="37"/>
        <v>1</v>
      </c>
      <c r="CA90" s="192">
        <f t="shared" si="38"/>
        <v>1</v>
      </c>
      <c r="CB90" s="192">
        <f t="shared" si="39"/>
        <v>1</v>
      </c>
      <c r="CS90" s="324" t="b">
        <f t="shared" si="50"/>
        <v>1</v>
      </c>
      <c r="CT90" s="324" t="b">
        <f t="shared" si="40"/>
        <v>1</v>
      </c>
      <c r="CU90" s="324" t="b">
        <f t="shared" si="41"/>
        <v>1</v>
      </c>
      <c r="CV90" s="324" t="b">
        <f t="shared" si="42"/>
        <v>1</v>
      </c>
      <c r="CW90" s="324" t="b">
        <f t="shared" si="43"/>
        <v>1</v>
      </c>
      <c r="CX90" s="324">
        <f t="shared" si="51"/>
        <v>1</v>
      </c>
    </row>
    <row r="91" spans="2:102" ht="46.5" customHeight="1" x14ac:dyDescent="0.25">
      <c r="B91" s="7">
        <f t="shared" si="44"/>
        <v>61</v>
      </c>
      <c r="C91" s="7"/>
      <c r="D91" s="7"/>
      <c r="E91" s="7"/>
      <c r="F91" s="496" t="s">
        <v>403</v>
      </c>
      <c r="G91" s="6">
        <v>1</v>
      </c>
      <c r="H91" s="6">
        <v>1</v>
      </c>
      <c r="I91" s="6">
        <v>1</v>
      </c>
      <c r="J91" s="6">
        <v>1</v>
      </c>
      <c r="K91" s="6">
        <v>1</v>
      </c>
      <c r="L91" s="6">
        <v>1</v>
      </c>
      <c r="M91" s="6">
        <v>1</v>
      </c>
      <c r="N91" s="6">
        <v>1</v>
      </c>
      <c r="O91" s="6">
        <v>9</v>
      </c>
      <c r="P91" s="6">
        <v>9</v>
      </c>
      <c r="Q91" s="7">
        <f t="shared" si="45"/>
        <v>1</v>
      </c>
      <c r="R91" s="6">
        <v>1</v>
      </c>
      <c r="S91" s="6">
        <v>1</v>
      </c>
      <c r="T91" s="6">
        <v>1</v>
      </c>
      <c r="U91" s="6">
        <v>1</v>
      </c>
      <c r="V91" s="6"/>
      <c r="W91" s="6"/>
      <c r="X91" s="6"/>
      <c r="Y91" s="6"/>
      <c r="Z91" s="6">
        <v>8</v>
      </c>
      <c r="AA91" s="6">
        <v>68771</v>
      </c>
      <c r="AB91" s="7">
        <f t="shared" si="46"/>
        <v>1</v>
      </c>
      <c r="AC91" s="7">
        <f t="shared" si="47"/>
        <v>1</v>
      </c>
      <c r="AD91" s="7">
        <f>IF(G91="","",IF(AND(Z91&gt;='פרמטרים לקריטריונים'!$D$19,AA91&gt;='פרמטרים לקריטריונים'!$C$19),1,0))</f>
        <v>1</v>
      </c>
      <c r="AE91" s="7" cm="1">
        <f t="array" ref="AE91">IF($F91="","",IF(OR(SUMPRODUCT(--(Z91:AA91&gt;=$Z$5:$AA$5))=COUNTA($Z$29:$AA$29),OR(AND(X91=1,OR(AB91=1,AC91=1)),AND(Y91=1,AD91=1))),1,0))</f>
        <v>1</v>
      </c>
      <c r="AF91" s="6"/>
      <c r="AG91" s="6">
        <v>1</v>
      </c>
      <c r="AH91" s="6">
        <v>1</v>
      </c>
      <c r="AI91" s="6">
        <v>1</v>
      </c>
      <c r="AJ91" s="7">
        <f t="shared" si="52"/>
        <v>1</v>
      </c>
      <c r="AK91" s="7"/>
      <c r="AL91" s="7"/>
      <c r="AM91" s="7"/>
      <c r="AN91" s="7"/>
      <c r="AO91" s="229">
        <f t="shared" si="53"/>
        <v>1</v>
      </c>
      <c r="AP91" s="357" t="s">
        <v>166</v>
      </c>
      <c r="AQ91" s="193">
        <f t="shared" si="54"/>
        <v>1</v>
      </c>
      <c r="AR91" s="193">
        <f t="shared" si="55"/>
        <v>0</v>
      </c>
      <c r="AS91" s="193">
        <f t="shared" si="55"/>
        <v>1</v>
      </c>
      <c r="AT91" s="192">
        <f t="shared" si="49"/>
        <v>1</v>
      </c>
      <c r="AU91" s="192">
        <f t="shared" si="7"/>
        <v>1</v>
      </c>
      <c r="AV91" s="192">
        <f t="shared" si="8"/>
        <v>1</v>
      </c>
      <c r="AW91" s="192">
        <f t="shared" si="9"/>
        <v>1</v>
      </c>
      <c r="AX91" s="192">
        <f t="shared" si="10"/>
        <v>1</v>
      </c>
      <c r="AY91" s="192">
        <f t="shared" si="11"/>
        <v>1</v>
      </c>
      <c r="AZ91" s="192">
        <f t="shared" si="12"/>
        <v>1</v>
      </c>
      <c r="BA91" s="192">
        <f t="shared" si="13"/>
        <v>1</v>
      </c>
      <c r="BB91" s="192">
        <f t="shared" si="14"/>
        <v>1</v>
      </c>
      <c r="BC91" s="192">
        <f t="shared" si="15"/>
        <v>1</v>
      </c>
      <c r="BD91" s="192">
        <f t="shared" si="16"/>
        <v>1</v>
      </c>
      <c r="BE91" s="192">
        <f t="shared" si="17"/>
        <v>1</v>
      </c>
      <c r="BF91" s="192">
        <f t="shared" si="18"/>
        <v>1</v>
      </c>
      <c r="BG91" s="192">
        <f t="shared" si="19"/>
        <v>1</v>
      </c>
      <c r="BH91" s="192">
        <f t="shared" si="20"/>
        <v>1</v>
      </c>
      <c r="BI91" s="192">
        <f t="shared" si="21"/>
        <v>1</v>
      </c>
      <c r="BJ91" s="192">
        <f t="shared" si="22"/>
        <v>1</v>
      </c>
      <c r="BK91" s="192">
        <f t="shared" si="23"/>
        <v>1</v>
      </c>
      <c r="BL91" s="192">
        <f t="shared" si="24"/>
        <v>1</v>
      </c>
      <c r="BM91" s="192">
        <f t="shared" si="25"/>
        <v>1</v>
      </c>
      <c r="BN91" s="192">
        <f t="shared" si="26"/>
        <v>1</v>
      </c>
      <c r="BO91" s="192">
        <f t="shared" si="27"/>
        <v>1</v>
      </c>
      <c r="BP91" s="192">
        <f t="shared" si="28"/>
        <v>1</v>
      </c>
      <c r="BQ91" s="192">
        <f t="shared" si="29"/>
        <v>1</v>
      </c>
      <c r="BR91" s="192">
        <f t="shared" si="30"/>
        <v>1</v>
      </c>
      <c r="BS91" s="192">
        <f t="shared" si="31"/>
        <v>1</v>
      </c>
      <c r="BT91" s="192">
        <f t="shared" si="32"/>
        <v>1</v>
      </c>
      <c r="BU91" s="192">
        <f t="shared" si="32"/>
        <v>1</v>
      </c>
      <c r="BV91" s="192">
        <f t="shared" si="33"/>
        <v>1</v>
      </c>
      <c r="BW91" s="192">
        <f t="shared" si="34"/>
        <v>1</v>
      </c>
      <c r="BX91" s="192">
        <f t="shared" si="35"/>
        <v>1</v>
      </c>
      <c r="BY91" s="192">
        <f t="shared" si="36"/>
        <v>1</v>
      </c>
      <c r="BZ91" s="192">
        <f t="shared" si="37"/>
        <v>1</v>
      </c>
      <c r="CA91" s="192">
        <f t="shared" si="38"/>
        <v>1</v>
      </c>
      <c r="CB91" s="192">
        <f t="shared" si="39"/>
        <v>1</v>
      </c>
      <c r="CS91" s="324" t="b">
        <f t="shared" si="50"/>
        <v>1</v>
      </c>
      <c r="CT91" s="324" t="b">
        <f t="shared" si="40"/>
        <v>1</v>
      </c>
      <c r="CU91" s="324" t="b">
        <f t="shared" si="41"/>
        <v>1</v>
      </c>
      <c r="CV91" s="324" t="b">
        <f t="shared" si="42"/>
        <v>1</v>
      </c>
      <c r="CW91" s="324" t="b">
        <f t="shared" si="43"/>
        <v>1</v>
      </c>
      <c r="CX91" s="324">
        <f t="shared" si="51"/>
        <v>1</v>
      </c>
    </row>
    <row r="92" spans="2:102" ht="36.75" customHeight="1" x14ac:dyDescent="0.25">
      <c r="B92" s="7">
        <f t="shared" si="44"/>
        <v>62</v>
      </c>
      <c r="C92" s="7"/>
      <c r="D92" s="7"/>
      <c r="E92" s="7"/>
      <c r="F92" s="496" t="s">
        <v>409</v>
      </c>
      <c r="G92" s="6">
        <v>1</v>
      </c>
      <c r="H92" s="6">
        <v>1</v>
      </c>
      <c r="I92" s="6">
        <v>1</v>
      </c>
      <c r="J92" s="6">
        <v>1</v>
      </c>
      <c r="K92" s="6">
        <v>1</v>
      </c>
      <c r="L92" s="6">
        <v>1</v>
      </c>
      <c r="M92" s="6">
        <v>1</v>
      </c>
      <c r="N92" s="6">
        <v>1</v>
      </c>
      <c r="O92" s="6">
        <v>3</v>
      </c>
      <c r="P92" s="6">
        <v>3</v>
      </c>
      <c r="Q92" s="7">
        <f t="shared" si="45"/>
        <v>1</v>
      </c>
      <c r="R92" s="6">
        <v>1</v>
      </c>
      <c r="S92" s="6">
        <v>1</v>
      </c>
      <c r="T92" s="6">
        <v>1</v>
      </c>
      <c r="U92" s="6">
        <v>1</v>
      </c>
      <c r="V92" s="6"/>
      <c r="W92" s="6"/>
      <c r="X92" s="6"/>
      <c r="Y92" s="6"/>
      <c r="Z92" s="6">
        <v>10</v>
      </c>
      <c r="AA92" s="6">
        <v>75173</v>
      </c>
      <c r="AB92" s="7">
        <f t="shared" si="46"/>
        <v>1</v>
      </c>
      <c r="AC92" s="7">
        <f t="shared" si="47"/>
        <v>1</v>
      </c>
      <c r="AD92" s="7">
        <f>IF(G92="","",IF(AND(Z92&gt;='פרמטרים לקריטריונים'!$D$19,AA92&gt;='פרמטרים לקריטריונים'!$C$19),1,0))</f>
        <v>1</v>
      </c>
      <c r="AE92" s="7" cm="1">
        <f t="array" ref="AE92">IF($F92="","",IF(OR(SUMPRODUCT(--(Z92:AA92&gt;=$Z$5:$AA$5))=COUNTA($Z$29:$AA$29),OR(AND(X92=1,OR(AB92=1,AC92=1)),AND(Y92=1,AD92=1))),1,0))</f>
        <v>1</v>
      </c>
      <c r="AF92" s="6"/>
      <c r="AG92" s="6">
        <v>1</v>
      </c>
      <c r="AH92" s="6">
        <v>1</v>
      </c>
      <c r="AI92" s="6">
        <v>1</v>
      </c>
      <c r="AJ92" s="7">
        <f t="shared" si="52"/>
        <v>1</v>
      </c>
      <c r="AK92" s="7"/>
      <c r="AL92" s="7"/>
      <c r="AM92" s="7"/>
      <c r="AN92" s="7"/>
      <c r="AO92" s="229">
        <f t="shared" si="53"/>
        <v>1</v>
      </c>
      <c r="AP92" s="357" t="s">
        <v>166</v>
      </c>
      <c r="AQ92" s="193">
        <f t="shared" si="54"/>
        <v>1</v>
      </c>
      <c r="AR92" s="193">
        <f t="shared" ref="AR92:AS130" si="56">IF($F92="","",AR$30)</f>
        <v>0</v>
      </c>
      <c r="AS92" s="193">
        <f t="shared" si="56"/>
        <v>1</v>
      </c>
      <c r="AT92" s="192">
        <f t="shared" si="49"/>
        <v>1</v>
      </c>
      <c r="AU92" s="192">
        <f t="shared" si="7"/>
        <v>1</v>
      </c>
      <c r="AV92" s="192">
        <f t="shared" si="8"/>
        <v>1</v>
      </c>
      <c r="AW92" s="192">
        <f t="shared" si="9"/>
        <v>1</v>
      </c>
      <c r="AX92" s="192">
        <f t="shared" si="10"/>
        <v>1</v>
      </c>
      <c r="AY92" s="192">
        <f t="shared" si="11"/>
        <v>1</v>
      </c>
      <c r="AZ92" s="192">
        <f t="shared" si="12"/>
        <v>1</v>
      </c>
      <c r="BA92" s="192">
        <f t="shared" si="13"/>
        <v>1</v>
      </c>
      <c r="BB92" s="192">
        <f t="shared" si="14"/>
        <v>1</v>
      </c>
      <c r="BC92" s="192">
        <f t="shared" si="15"/>
        <v>1</v>
      </c>
      <c r="BD92" s="192">
        <f t="shared" si="16"/>
        <v>1</v>
      </c>
      <c r="BE92" s="192">
        <f t="shared" si="17"/>
        <v>1</v>
      </c>
      <c r="BF92" s="192">
        <f t="shared" si="18"/>
        <v>1</v>
      </c>
      <c r="BG92" s="192">
        <f t="shared" si="19"/>
        <v>1</v>
      </c>
      <c r="BH92" s="192">
        <f t="shared" si="20"/>
        <v>1</v>
      </c>
      <c r="BI92" s="192">
        <f t="shared" si="21"/>
        <v>1</v>
      </c>
      <c r="BJ92" s="192">
        <f t="shared" si="22"/>
        <v>1</v>
      </c>
      <c r="BK92" s="192">
        <f t="shared" si="23"/>
        <v>1</v>
      </c>
      <c r="BL92" s="192">
        <f t="shared" si="24"/>
        <v>1</v>
      </c>
      <c r="BM92" s="192">
        <f t="shared" si="25"/>
        <v>1</v>
      </c>
      <c r="BN92" s="192">
        <f t="shared" si="26"/>
        <v>1</v>
      </c>
      <c r="BO92" s="192">
        <f t="shared" si="27"/>
        <v>1</v>
      </c>
      <c r="BP92" s="192">
        <f t="shared" si="28"/>
        <v>1</v>
      </c>
      <c r="BQ92" s="192">
        <f t="shared" si="29"/>
        <v>1</v>
      </c>
      <c r="BR92" s="192">
        <f t="shared" si="30"/>
        <v>1</v>
      </c>
      <c r="BS92" s="192">
        <f t="shared" si="31"/>
        <v>1</v>
      </c>
      <c r="BT92" s="192">
        <f t="shared" si="32"/>
        <v>1</v>
      </c>
      <c r="BU92" s="192">
        <f t="shared" si="32"/>
        <v>1</v>
      </c>
      <c r="BV92" s="192">
        <f t="shared" si="33"/>
        <v>1</v>
      </c>
      <c r="BW92" s="192">
        <f t="shared" si="34"/>
        <v>1</v>
      </c>
      <c r="BX92" s="192">
        <f t="shared" si="35"/>
        <v>1</v>
      </c>
      <c r="BY92" s="192">
        <f t="shared" si="36"/>
        <v>1</v>
      </c>
      <c r="BZ92" s="192">
        <f t="shared" si="37"/>
        <v>1</v>
      </c>
      <c r="CA92" s="192">
        <f t="shared" si="38"/>
        <v>1</v>
      </c>
      <c r="CB92" s="192">
        <f t="shared" si="39"/>
        <v>1</v>
      </c>
      <c r="CS92" s="324" t="b">
        <f t="shared" si="50"/>
        <v>1</v>
      </c>
      <c r="CT92" s="324" t="b">
        <f t="shared" si="40"/>
        <v>1</v>
      </c>
      <c r="CU92" s="324" t="b">
        <f t="shared" si="41"/>
        <v>1</v>
      </c>
      <c r="CV92" s="324" t="b">
        <f t="shared" si="42"/>
        <v>1</v>
      </c>
      <c r="CW92" s="324" t="b">
        <f t="shared" si="43"/>
        <v>1</v>
      </c>
      <c r="CX92" s="324">
        <f t="shared" si="51"/>
        <v>1</v>
      </c>
    </row>
    <row r="93" spans="2:102" ht="62.25" customHeight="1" x14ac:dyDescent="0.25">
      <c r="B93" s="7">
        <f t="shared" si="44"/>
        <v>63</v>
      </c>
      <c r="C93" s="7"/>
      <c r="D93" s="7"/>
      <c r="E93" s="7"/>
      <c r="F93" s="496" t="s">
        <v>404</v>
      </c>
      <c r="G93" s="6">
        <v>1</v>
      </c>
      <c r="H93" s="6">
        <v>1</v>
      </c>
      <c r="I93" s="6">
        <v>1</v>
      </c>
      <c r="J93" s="6">
        <v>1</v>
      </c>
      <c r="K93" s="6">
        <v>1</v>
      </c>
      <c r="L93" s="6">
        <v>1</v>
      </c>
      <c r="M93" s="6">
        <v>1</v>
      </c>
      <c r="N93" s="6">
        <v>1</v>
      </c>
      <c r="O93" s="6">
        <v>3</v>
      </c>
      <c r="P93" s="6">
        <v>3</v>
      </c>
      <c r="Q93" s="7">
        <f t="shared" si="45"/>
        <v>1</v>
      </c>
      <c r="R93" s="6">
        <v>1</v>
      </c>
      <c r="S93" s="6">
        <v>1</v>
      </c>
      <c r="T93" s="6">
        <v>1</v>
      </c>
      <c r="U93" s="6">
        <v>1</v>
      </c>
      <c r="V93" s="6"/>
      <c r="W93" s="6"/>
      <c r="X93" s="6"/>
      <c r="Y93" s="6"/>
      <c r="Z93" s="6">
        <v>13</v>
      </c>
      <c r="AA93" s="6">
        <v>140893</v>
      </c>
      <c r="AB93" s="7">
        <f t="shared" si="46"/>
        <v>1</v>
      </c>
      <c r="AC93" s="7">
        <f t="shared" si="47"/>
        <v>1</v>
      </c>
      <c r="AD93" s="7">
        <f>IF(G93="","",IF(AND(Z93&gt;='פרמטרים לקריטריונים'!$D$19,AA93&gt;='פרמטרים לקריטריונים'!$C$19),1,0))</f>
        <v>1</v>
      </c>
      <c r="AE93" s="7" cm="1">
        <f t="array" ref="AE93">IF($F93="","",IF(OR(SUMPRODUCT(--(Z93:AA93&gt;=$Z$5:$AA$5))=COUNTA($Z$29:$AA$29),OR(AND(X93=1,OR(AB93=1,AC93=1)),AND(Y93=1,AD93=1))),1,0))</f>
        <v>1</v>
      </c>
      <c r="AF93" s="6"/>
      <c r="AG93" s="6">
        <v>1</v>
      </c>
      <c r="AH93" s="6">
        <v>1</v>
      </c>
      <c r="AI93" s="6">
        <v>1</v>
      </c>
      <c r="AJ93" s="7">
        <f t="shared" si="52"/>
        <v>1</v>
      </c>
      <c r="AK93" s="7"/>
      <c r="AL93" s="7"/>
      <c r="AM93" s="7"/>
      <c r="AN93" s="7"/>
      <c r="AO93" s="229">
        <f t="shared" si="53"/>
        <v>1</v>
      </c>
      <c r="AP93" s="357" t="s">
        <v>166</v>
      </c>
      <c r="AQ93" s="193">
        <f t="shared" si="54"/>
        <v>1</v>
      </c>
      <c r="AR93" s="193">
        <f t="shared" si="56"/>
        <v>0</v>
      </c>
      <c r="AS93" s="193">
        <f t="shared" si="56"/>
        <v>1</v>
      </c>
      <c r="AT93" s="192">
        <f t="shared" si="49"/>
        <v>1</v>
      </c>
      <c r="AU93" s="192">
        <f t="shared" si="7"/>
        <v>1</v>
      </c>
      <c r="AV93" s="192">
        <f t="shared" si="8"/>
        <v>1</v>
      </c>
      <c r="AW93" s="192">
        <f t="shared" si="9"/>
        <v>1</v>
      </c>
      <c r="AX93" s="192">
        <f t="shared" si="10"/>
        <v>1</v>
      </c>
      <c r="AY93" s="192">
        <f t="shared" si="11"/>
        <v>1</v>
      </c>
      <c r="AZ93" s="192">
        <f t="shared" si="12"/>
        <v>1</v>
      </c>
      <c r="BA93" s="192">
        <f t="shared" si="13"/>
        <v>1</v>
      </c>
      <c r="BB93" s="192">
        <f t="shared" si="14"/>
        <v>1</v>
      </c>
      <c r="BC93" s="192">
        <f t="shared" si="15"/>
        <v>1</v>
      </c>
      <c r="BD93" s="192">
        <f t="shared" si="16"/>
        <v>1</v>
      </c>
      <c r="BE93" s="192">
        <f t="shared" si="17"/>
        <v>1</v>
      </c>
      <c r="BF93" s="192">
        <f t="shared" si="18"/>
        <v>1</v>
      </c>
      <c r="BG93" s="192">
        <f t="shared" si="19"/>
        <v>1</v>
      </c>
      <c r="BH93" s="192">
        <f t="shared" si="20"/>
        <v>1</v>
      </c>
      <c r="BI93" s="192">
        <f t="shared" si="21"/>
        <v>1</v>
      </c>
      <c r="BJ93" s="192">
        <f t="shared" si="22"/>
        <v>1</v>
      </c>
      <c r="BK93" s="192">
        <f t="shared" si="23"/>
        <v>1</v>
      </c>
      <c r="BL93" s="192">
        <f t="shared" si="24"/>
        <v>1</v>
      </c>
      <c r="BM93" s="192">
        <f t="shared" si="25"/>
        <v>1</v>
      </c>
      <c r="BN93" s="192">
        <f t="shared" si="26"/>
        <v>1</v>
      </c>
      <c r="BO93" s="192">
        <f t="shared" si="27"/>
        <v>1</v>
      </c>
      <c r="BP93" s="192">
        <f t="shared" si="28"/>
        <v>1</v>
      </c>
      <c r="BQ93" s="192">
        <f t="shared" si="29"/>
        <v>1</v>
      </c>
      <c r="BR93" s="192">
        <f t="shared" si="30"/>
        <v>1</v>
      </c>
      <c r="BS93" s="192">
        <f t="shared" si="31"/>
        <v>1</v>
      </c>
      <c r="BT93" s="192">
        <f t="shared" si="32"/>
        <v>1</v>
      </c>
      <c r="BU93" s="192">
        <f t="shared" si="32"/>
        <v>1</v>
      </c>
      <c r="BV93" s="192">
        <f t="shared" si="33"/>
        <v>1</v>
      </c>
      <c r="BW93" s="192">
        <f t="shared" si="34"/>
        <v>1</v>
      </c>
      <c r="BX93" s="192">
        <f t="shared" si="35"/>
        <v>1</v>
      </c>
      <c r="BY93" s="192">
        <f t="shared" si="36"/>
        <v>1</v>
      </c>
      <c r="BZ93" s="192">
        <f t="shared" si="37"/>
        <v>1</v>
      </c>
      <c r="CA93" s="192">
        <f t="shared" si="38"/>
        <v>1</v>
      </c>
      <c r="CB93" s="192">
        <f t="shared" si="39"/>
        <v>1</v>
      </c>
      <c r="CS93" s="324" t="b">
        <f t="shared" si="50"/>
        <v>1</v>
      </c>
      <c r="CT93" s="324" t="b">
        <f t="shared" si="40"/>
        <v>1</v>
      </c>
      <c r="CU93" s="324" t="b">
        <f t="shared" si="41"/>
        <v>1</v>
      </c>
      <c r="CV93" s="324" t="b">
        <f t="shared" si="42"/>
        <v>1</v>
      </c>
      <c r="CW93" s="324" t="b">
        <f t="shared" si="43"/>
        <v>1</v>
      </c>
      <c r="CX93" s="324">
        <f t="shared" si="51"/>
        <v>1</v>
      </c>
    </row>
    <row r="94" spans="2:102" ht="36.75" customHeight="1" x14ac:dyDescent="0.25">
      <c r="B94" s="7">
        <f t="shared" si="44"/>
        <v>64</v>
      </c>
      <c r="C94" s="7"/>
      <c r="D94" s="7"/>
      <c r="E94" s="7"/>
      <c r="F94" s="496" t="s">
        <v>410</v>
      </c>
      <c r="G94" s="6">
        <v>1</v>
      </c>
      <c r="H94" s="6">
        <v>1</v>
      </c>
      <c r="I94" s="6">
        <v>1</v>
      </c>
      <c r="J94" s="6">
        <v>1</v>
      </c>
      <c r="K94" s="6">
        <v>1</v>
      </c>
      <c r="L94" s="6">
        <v>1</v>
      </c>
      <c r="M94" s="6">
        <v>1</v>
      </c>
      <c r="N94" s="6">
        <v>1</v>
      </c>
      <c r="O94" s="6">
        <v>7</v>
      </c>
      <c r="P94" s="6">
        <v>6</v>
      </c>
      <c r="Q94" s="7">
        <f t="shared" si="45"/>
        <v>1</v>
      </c>
      <c r="R94" s="6">
        <v>1</v>
      </c>
      <c r="S94" s="6">
        <v>1</v>
      </c>
      <c r="T94" s="6">
        <v>1</v>
      </c>
      <c r="U94" s="6">
        <v>1</v>
      </c>
      <c r="V94" s="6"/>
      <c r="W94" s="6"/>
      <c r="X94" s="6"/>
      <c r="Y94" s="6"/>
      <c r="Z94" s="6">
        <v>13</v>
      </c>
      <c r="AA94" s="6">
        <v>64829</v>
      </c>
      <c r="AB94" s="7">
        <f t="shared" si="46"/>
        <v>1</v>
      </c>
      <c r="AC94" s="7">
        <f t="shared" si="47"/>
        <v>1</v>
      </c>
      <c r="AD94" s="7">
        <f>IF(G94="","",IF(AND(Z94&gt;='פרמטרים לקריטריונים'!$D$19,AA94&gt;='פרמטרים לקריטריונים'!$C$19),1,0))</f>
        <v>1</v>
      </c>
      <c r="AE94" s="7" cm="1">
        <f t="array" ref="AE94">IF($F94="","",IF(OR(SUMPRODUCT(--(Z94:AA94&gt;=$Z$5:$AA$5))=COUNTA($Z$29:$AA$29),OR(AND(X94=1,OR(AB94=1,AC94=1)),AND(Y94=1,AD94=1))),1,0))</f>
        <v>1</v>
      </c>
      <c r="AF94" s="6"/>
      <c r="AG94" s="6">
        <v>1</v>
      </c>
      <c r="AH94" s="6">
        <v>1</v>
      </c>
      <c r="AI94" s="6">
        <v>1</v>
      </c>
      <c r="AJ94" s="7">
        <f t="shared" si="52"/>
        <v>1</v>
      </c>
      <c r="AK94" s="7"/>
      <c r="AL94" s="7"/>
      <c r="AM94" s="7"/>
      <c r="AN94" s="7"/>
      <c r="AO94" s="229">
        <f t="shared" si="53"/>
        <v>1</v>
      </c>
      <c r="AP94" s="357" t="s">
        <v>166</v>
      </c>
      <c r="AQ94" s="193">
        <f t="shared" si="54"/>
        <v>1</v>
      </c>
      <c r="AR94" s="193">
        <f t="shared" si="56"/>
        <v>0</v>
      </c>
      <c r="AS94" s="193">
        <f t="shared" si="56"/>
        <v>1</v>
      </c>
      <c r="AT94" s="192">
        <f t="shared" si="49"/>
        <v>1</v>
      </c>
      <c r="AU94" s="192">
        <f t="shared" si="7"/>
        <v>1</v>
      </c>
      <c r="AV94" s="192">
        <f t="shared" si="8"/>
        <v>1</v>
      </c>
      <c r="AW94" s="192">
        <f t="shared" si="9"/>
        <v>1</v>
      </c>
      <c r="AX94" s="192">
        <f t="shared" si="10"/>
        <v>1</v>
      </c>
      <c r="AY94" s="192">
        <f t="shared" si="11"/>
        <v>1</v>
      </c>
      <c r="AZ94" s="192">
        <f t="shared" si="12"/>
        <v>1</v>
      </c>
      <c r="BA94" s="192">
        <f t="shared" si="13"/>
        <v>1</v>
      </c>
      <c r="BB94" s="192">
        <f t="shared" si="14"/>
        <v>1</v>
      </c>
      <c r="BC94" s="192">
        <f t="shared" si="15"/>
        <v>1</v>
      </c>
      <c r="BD94" s="192">
        <f t="shared" si="16"/>
        <v>1</v>
      </c>
      <c r="BE94" s="192">
        <f t="shared" si="17"/>
        <v>1</v>
      </c>
      <c r="BF94" s="192">
        <f t="shared" si="18"/>
        <v>1</v>
      </c>
      <c r="BG94" s="192">
        <f t="shared" si="19"/>
        <v>1</v>
      </c>
      <c r="BH94" s="192">
        <f t="shared" si="20"/>
        <v>1</v>
      </c>
      <c r="BI94" s="192">
        <f t="shared" si="21"/>
        <v>1</v>
      </c>
      <c r="BJ94" s="192">
        <f t="shared" si="22"/>
        <v>1</v>
      </c>
      <c r="BK94" s="192">
        <f t="shared" si="23"/>
        <v>1</v>
      </c>
      <c r="BL94" s="192">
        <f t="shared" si="24"/>
        <v>1</v>
      </c>
      <c r="BM94" s="192">
        <f t="shared" si="25"/>
        <v>1</v>
      </c>
      <c r="BN94" s="192">
        <f t="shared" si="26"/>
        <v>1</v>
      </c>
      <c r="BO94" s="192">
        <f t="shared" si="27"/>
        <v>1</v>
      </c>
      <c r="BP94" s="192">
        <f t="shared" si="28"/>
        <v>1</v>
      </c>
      <c r="BQ94" s="192">
        <f t="shared" si="29"/>
        <v>1</v>
      </c>
      <c r="BR94" s="192">
        <f t="shared" si="30"/>
        <v>1</v>
      </c>
      <c r="BS94" s="192">
        <f t="shared" si="31"/>
        <v>1</v>
      </c>
      <c r="BT94" s="192">
        <f t="shared" si="32"/>
        <v>1</v>
      </c>
      <c r="BU94" s="192">
        <f t="shared" si="32"/>
        <v>1</v>
      </c>
      <c r="BV94" s="192">
        <f t="shared" si="33"/>
        <v>1</v>
      </c>
      <c r="BW94" s="192">
        <f t="shared" si="34"/>
        <v>1</v>
      </c>
      <c r="BX94" s="192">
        <f t="shared" si="35"/>
        <v>1</v>
      </c>
      <c r="BY94" s="192">
        <f t="shared" si="36"/>
        <v>1</v>
      </c>
      <c r="BZ94" s="192">
        <f t="shared" si="37"/>
        <v>1</v>
      </c>
      <c r="CA94" s="192">
        <f t="shared" si="38"/>
        <v>1</v>
      </c>
      <c r="CB94" s="192">
        <f t="shared" si="39"/>
        <v>1</v>
      </c>
      <c r="CS94" s="324" t="b">
        <f t="shared" si="50"/>
        <v>1</v>
      </c>
      <c r="CT94" s="324" t="b">
        <f t="shared" si="40"/>
        <v>1</v>
      </c>
      <c r="CU94" s="324" t="b">
        <f t="shared" si="41"/>
        <v>1</v>
      </c>
      <c r="CV94" s="324" t="b">
        <f t="shared" si="42"/>
        <v>1</v>
      </c>
      <c r="CW94" s="324" t="b">
        <f t="shared" si="43"/>
        <v>1</v>
      </c>
      <c r="CX94" s="324">
        <f t="shared" si="51"/>
        <v>1</v>
      </c>
    </row>
    <row r="95" spans="2:102" ht="56.25" customHeight="1" x14ac:dyDescent="0.25">
      <c r="B95" s="7">
        <f t="shared" si="44"/>
        <v>65</v>
      </c>
      <c r="C95" s="7"/>
      <c r="D95" s="7"/>
      <c r="E95" s="7"/>
      <c r="F95" s="496" t="s">
        <v>423</v>
      </c>
      <c r="G95" s="6">
        <v>1</v>
      </c>
      <c r="H95" s="6">
        <v>1</v>
      </c>
      <c r="I95" s="6">
        <v>1</v>
      </c>
      <c r="J95" s="6">
        <v>1</v>
      </c>
      <c r="K95" s="6">
        <v>1</v>
      </c>
      <c r="L95" s="6">
        <v>1</v>
      </c>
      <c r="M95" s="6">
        <v>1</v>
      </c>
      <c r="N95" s="6">
        <v>1</v>
      </c>
      <c r="O95" s="6">
        <v>10</v>
      </c>
      <c r="P95" s="6">
        <v>9</v>
      </c>
      <c r="Q95" s="7">
        <f t="shared" si="45"/>
        <v>1</v>
      </c>
      <c r="R95" s="6">
        <v>1</v>
      </c>
      <c r="S95" s="6">
        <v>1</v>
      </c>
      <c r="T95" s="6">
        <v>1</v>
      </c>
      <c r="U95" s="6">
        <v>1</v>
      </c>
      <c r="V95" s="6"/>
      <c r="W95" s="6"/>
      <c r="X95" s="6"/>
      <c r="Y95" s="6"/>
      <c r="Z95" s="6">
        <v>9</v>
      </c>
      <c r="AA95" s="6">
        <v>176210</v>
      </c>
      <c r="AB95" s="7">
        <f t="shared" si="46"/>
        <v>1</v>
      </c>
      <c r="AC95" s="7">
        <f t="shared" si="47"/>
        <v>1</v>
      </c>
      <c r="AD95" s="7">
        <f>IF(G95="","",IF(AND(Z95&gt;='פרמטרים לקריטריונים'!$D$19,AA95&gt;='פרמטרים לקריטריונים'!$C$19),1,0))</f>
        <v>1</v>
      </c>
      <c r="AE95" s="7" cm="1">
        <f t="array" ref="AE95">IF($F95="","",IF(OR(SUMPRODUCT(--(Z95:AA95&gt;=$Z$5:$AA$5))=COUNTA($Z$29:$AA$29),OR(AND(X95=1,OR(AB95=1,AC95=1)),AND(Y95=1,AD95=1))),1,0))</f>
        <v>1</v>
      </c>
      <c r="AF95" s="6"/>
      <c r="AG95" s="6">
        <v>1</v>
      </c>
      <c r="AH95" s="6">
        <v>1</v>
      </c>
      <c r="AI95" s="6">
        <v>1</v>
      </c>
      <c r="AJ95" s="7">
        <f t="shared" ref="AJ95:AJ130" si="57">IF(F95="","",IF(G95&gt;=$G$5,1,0))</f>
        <v>1</v>
      </c>
      <c r="AK95" s="7"/>
      <c r="AL95" s="7"/>
      <c r="AM95" s="7"/>
      <c r="AN95" s="7"/>
      <c r="AO95" s="229">
        <f t="shared" ref="AO95:AO130" si="58">IF($F95="","",IF(AK95=1,1,IF(AQ95&lt;&gt;1,$AR$1,IF(SUMPRODUCT(--(G95:AJ95&gt;=$G$5:$AJ$5)*($G$5:$AJ$5&lt;&gt;"")*($G$4:$AJ$4=1))=COUNTIF($G$4:$AJ$4,1),1,0))))</f>
        <v>1</v>
      </c>
      <c r="AP95" s="357" t="s">
        <v>166</v>
      </c>
      <c r="AQ95" s="193">
        <f t="shared" ref="AQ95:AQ130" si="59">IF(OR(SUM(AT95:CB95)&lt;&gt;COUNT(AT95:CB95),SUMPRODUCT(--(G95:AJ95=$AR$1))&lt;&gt;0),0,1)</f>
        <v>1</v>
      </c>
      <c r="AR95" s="193">
        <f t="shared" si="56"/>
        <v>0</v>
      </c>
      <c r="AS95" s="193">
        <f t="shared" si="56"/>
        <v>1</v>
      </c>
      <c r="AT95" s="192">
        <f t="shared" si="49"/>
        <v>1</v>
      </c>
      <c r="AU95" s="192">
        <f t="shared" ref="AU95:AU130" si="60">IF(OR(H$30="",H$4=99),1,IF(H95="",0,IFERROR(CHOOSE(AU$28,IF(ISNA(MATCH(H95,$AR$30:$AS$30,0)),0,1),IF(ISNUMBER(H95),1,0),IF(H95=TRUNC(H95),1,0),IF(AND(H95*1=H95,H95&gt;=0),1,0),IF(AND(H95=TRUNC(H95),H95&gt;=0),1,0),IF(AND(H95*1=H95,H95&gt;0),1,0),IF(AND(H95=TRUNC(H95),H95&gt;0),1,0),1,IF(ISNA(HLOOKUP(H95,$AU$4:$BD$4,1,0)),0,1)),0)))</f>
        <v>1</v>
      </c>
      <c r="AV95" s="192">
        <f t="shared" ref="AV95:AV130" si="61">IF(OR(I$30="",I$4=99),1,IF(I95="",0,IFERROR(CHOOSE(AV$28,IF(ISNA(MATCH(I95,$AR$30:$AS$30,0)),0,1),IF(ISNUMBER(I95),1,0),IF(I95=TRUNC(I95),1,0),IF(AND(I95*1=I95,I95&gt;=0),1,0),IF(AND(I95=TRUNC(I95),I95&gt;=0),1,0),IF(AND(I95*1=I95,I95&gt;0),1,0),IF(AND(I95=TRUNC(I95),I95&gt;0),1,0),1,IF(ISNA(HLOOKUP(I95,$AU$4:$BD$4,1,0)),0,1)),0)))</f>
        <v>1</v>
      </c>
      <c r="AW95" s="192">
        <f t="shared" ref="AW95:AW130" si="62">IF(OR(J$30="",J$4=99),1,IF(J95="",0,IFERROR(CHOOSE(AW$28,IF(ISNA(MATCH(J95,$AR$30:$AS$30,0)),0,1),IF(ISNUMBER(J95),1,0),IF(J95=TRUNC(J95),1,0),IF(AND(J95*1=J95,J95&gt;=0),1,0),IF(AND(J95=TRUNC(J95),J95&gt;=0),1,0),IF(AND(J95*1=J95,J95&gt;0),1,0),IF(AND(J95=TRUNC(J95),J95&gt;0),1,0),1,IF(ISNA(HLOOKUP(J95,$AU$4:$BD$4,1,0)),0,1)),0)))</f>
        <v>1</v>
      </c>
      <c r="AX95" s="192">
        <f t="shared" ref="AX95:AX130" si="63">IF(OR(K$30="",K$4=99),1,IF(K95="",0,IFERROR(CHOOSE(AX$28,IF(ISNA(MATCH(K95,$AR$30:$AS$30,0)),0,1),IF(ISNUMBER(K95),1,0),IF(K95=TRUNC(K95),1,0),IF(AND(K95*1=K95,K95&gt;=0),1,0),IF(AND(K95=TRUNC(K95),K95&gt;=0),1,0),IF(AND(K95*1=K95,K95&gt;0),1,0),IF(AND(K95=TRUNC(K95),K95&gt;0),1,0),1,IF(ISNA(HLOOKUP(K95,$AU$4:$BD$4,1,0)),0,1)),0)))</f>
        <v>1</v>
      </c>
      <c r="AY95" s="192">
        <f t="shared" ref="AY95:AY130" si="64">IF(OR(L$30="",L$4=99),1,IF(L95="",0,IFERROR(CHOOSE(AY$28,IF(ISNA(MATCH(L95,$AR$30:$AS$30,0)),0,1),IF(ISNUMBER(L95),1,0),IF(L95=TRUNC(L95),1,0),IF(AND(L95*1=L95,L95&gt;=0),1,0),IF(AND(L95=TRUNC(L95),L95&gt;=0),1,0),IF(AND(L95*1=L95,L95&gt;0),1,0),IF(AND(L95=TRUNC(L95),L95&gt;0),1,0),1,IF(ISNA(HLOOKUP(L95,$AU$4:$BD$4,1,0)),0,1)),0)))</f>
        <v>1</v>
      </c>
      <c r="AZ95" s="192">
        <f t="shared" ref="AZ95:AZ130" si="65">IF(OR(M$30="",M$4=99),1,IF(M95="",0,IFERROR(CHOOSE(AZ$28,IF(ISNA(MATCH(M95,$AR$30:$AS$30,0)),0,1),IF(ISNUMBER(M95),1,0),IF(M95=TRUNC(M95),1,0),IF(AND(M95*1=M95,M95&gt;=0),1,0),IF(AND(M95=TRUNC(M95),M95&gt;=0),1,0),IF(AND(M95*1=M95,M95&gt;0),1,0),IF(AND(M95=TRUNC(M95),M95&gt;0),1,0),1,IF(ISNA(HLOOKUP(M95,$AU$4:$BD$4,1,0)),0,1)),0)))</f>
        <v>1</v>
      </c>
      <c r="BA95" s="192">
        <f t="shared" ref="BA95:BA130" si="66">IF(OR(N$30="",N$4=99),1,IF(N95="",0,IFERROR(CHOOSE(BA$28,IF(ISNA(MATCH(N95,$AR$30:$AS$30,0)),0,1),IF(ISNUMBER(N95),1,0),IF(N95=TRUNC(N95),1,0),IF(AND(N95*1=N95,N95&gt;=0),1,0),IF(AND(N95=TRUNC(N95),N95&gt;=0),1,0),IF(AND(N95*1=N95,N95&gt;0),1,0),IF(AND(N95=TRUNC(N95),N95&gt;0),1,0),1,IF(ISNA(HLOOKUP(N95,$AU$4:$BD$4,1,0)),0,1)),0)))</f>
        <v>1</v>
      </c>
      <c r="BB95" s="192">
        <f t="shared" ref="BB95:BB130" si="67">IF(OR(O$30="",O$4=99),1,IF(O95="",0,IFERROR(CHOOSE(BB$28,IF(ISNA(MATCH(O95,$AR$30:$AS$30,0)),0,1),IF(ISNUMBER(O95),1,0),IF(O95=TRUNC(O95),1,0),IF(AND(O95*1=O95,O95&gt;=0),1,0),IF(AND(O95=TRUNC(O95),O95&gt;=0),1,0),IF(AND(O95*1=O95,O95&gt;0),1,0),IF(AND(O95=TRUNC(O95),O95&gt;0),1,0),1,IF(ISNA(HLOOKUP(O95,$AU$4:$BD$4,1,0)),0,1)),0)))</f>
        <v>1</v>
      </c>
      <c r="BC95" s="192">
        <f t="shared" ref="BC95:BC130" si="68">IF(OR(P$30="",P$4=99),1,IF(P95="",0,IFERROR(CHOOSE(BC$28,IF(ISNA(MATCH(P95,$AR$30:$AS$30,0)),0,1),IF(ISNUMBER(P95),1,0),IF(P95=TRUNC(P95),1,0),IF(AND(P95*1=P95,P95&gt;=0),1,0),IF(AND(P95=TRUNC(P95),P95&gt;=0),1,0),IF(AND(P95*1=P95,P95&gt;0),1,0),IF(AND(P95=TRUNC(P95),P95&gt;0),1,0),1,IF(ISNA(HLOOKUP(P95,$AU$4:$BD$4,1,0)),0,1)),0)))</f>
        <v>1</v>
      </c>
      <c r="BD95" s="192">
        <f t="shared" ref="BD95:BD130" si="69">IF(OR(Q$30="",Q$4=99),1,IF(Q95="",0,IFERROR(CHOOSE(BD$28,IF(ISNA(MATCH(Q95,$AR$30:$AS$30,0)),0,1),IF(ISNUMBER(Q95),1,0),IF(Q95=TRUNC(Q95),1,0),IF(AND(Q95*1=Q95,Q95&gt;=0),1,0),IF(AND(Q95=TRUNC(Q95),Q95&gt;=0),1,0),IF(AND(Q95*1=Q95,Q95&gt;0),1,0),IF(AND(Q95=TRUNC(Q95),Q95&gt;0),1,0),1,IF(ISNA(HLOOKUP(Q95,$AU$4:$BD$4,1,0)),0,1)),0)))</f>
        <v>1</v>
      </c>
      <c r="BE95" s="192">
        <f t="shared" ref="BE95:BE130" si="70">IF(OR(R$30="",R$4=99),1,IF(R95="",0,IFERROR(CHOOSE(BE$28,IF(ISNA(MATCH(R95,$AR$30:$AS$30,0)),0,1),IF(ISNUMBER(R95),1,0),IF(R95=TRUNC(R95),1,0),IF(AND(R95*1=R95,R95&gt;=0),1,0),IF(AND(R95=TRUNC(R95),R95&gt;=0),1,0),IF(AND(R95*1=R95,R95&gt;0),1,0),IF(AND(R95=TRUNC(R95),R95&gt;0),1,0),1,IF(ISNA(HLOOKUP(R95,$AU$4:$BD$4,1,0)),0,1)),0)))</f>
        <v>1</v>
      </c>
      <c r="BF95" s="192">
        <f t="shared" ref="BF95:BF130" si="71">IF(OR(S$30="",S$4=99),1,IF(S95="",0,IFERROR(CHOOSE(BF$28,IF(ISNA(MATCH(S95,$AR$30:$AS$30,0)),0,1),IF(ISNUMBER(S95),1,0),IF(S95=TRUNC(S95),1,0),IF(AND(S95*1=S95,S95&gt;=0),1,0),IF(AND(S95=TRUNC(S95),S95&gt;=0),1,0),IF(AND(S95*1=S95,S95&gt;0),1,0),IF(AND(S95=TRUNC(S95),S95&gt;0),1,0),1,IF(ISNA(HLOOKUP(S95,$AU$4:$BD$4,1,0)),0,1)),0)))</f>
        <v>1</v>
      </c>
      <c r="BG95" s="192">
        <f t="shared" ref="BG95:BG130" si="72">IF(OR(T$30="",T$4=99),1,IF(T95="",0,IFERROR(CHOOSE(BG$28,IF(ISNA(MATCH(T95,$AR$30:$AS$30,0)),0,1),IF(ISNUMBER(T95),1,0),IF(T95=TRUNC(T95),1,0),IF(AND(T95*1=T95,T95&gt;=0),1,0),IF(AND(T95=TRUNC(T95),T95&gt;=0),1,0),IF(AND(T95*1=T95,T95&gt;0),1,0),IF(AND(T95=TRUNC(T95),T95&gt;0),1,0),1,IF(ISNA(HLOOKUP(T95,$AU$4:$BD$4,1,0)),0,1)),0)))</f>
        <v>1</v>
      </c>
      <c r="BH95" s="192">
        <f t="shared" ref="BH95:BH130" si="73">IF(OR(U$30="",U$4=99),1,IF(U95="",0,IFERROR(CHOOSE(BH$28,IF(ISNA(MATCH(U95,$AR$30:$AS$30,0)),0,1),IF(ISNUMBER(U95),1,0),IF(U95=TRUNC(U95),1,0),IF(AND(U95*1=U95,U95&gt;=0),1,0),IF(AND(U95=TRUNC(U95),U95&gt;=0),1,0),IF(AND(U95*1=U95,U95&gt;0),1,0),IF(AND(U95=TRUNC(U95),U95&gt;0),1,0),1,IF(ISNA(HLOOKUP(U95,$AU$4:$BD$4,1,0)),0,1)),0)))</f>
        <v>1</v>
      </c>
      <c r="BI95" s="192">
        <f t="shared" ref="BI95:BI130" si="74">IF(OR(V$30="",V$4=99),1,IF(V95="",0,IFERROR(CHOOSE(BI$28,IF(ISNA(MATCH(V95,$AR$30:$AS$30,0)),0,1),IF(ISNUMBER(V95),1,0),IF(V95=TRUNC(V95),1,0),IF(AND(V95*1=V95,V95&gt;=0),1,0),IF(AND(V95=TRUNC(V95),V95&gt;=0),1,0),IF(AND(V95*1=V95,V95&gt;0),1,0),IF(AND(V95=TRUNC(V95),V95&gt;0),1,0),1,IF(ISNA(HLOOKUP(V95,$AU$4:$BD$4,1,0)),0,1)),0)))</f>
        <v>1</v>
      </c>
      <c r="BJ95" s="192">
        <f t="shared" ref="BJ95:BJ130" si="75">IF(OR(W$30="",W$4=99),1,IF(W95="",0,IFERROR(CHOOSE(BJ$28,IF(ISNA(MATCH(W95,$AR$30:$AS$30,0)),0,1),IF(ISNUMBER(W95),1,0),IF(W95=TRUNC(W95),1,0),IF(AND(W95*1=W95,W95&gt;=0),1,0),IF(AND(W95=TRUNC(W95),W95&gt;=0),1,0),IF(AND(W95*1=W95,W95&gt;0),1,0),IF(AND(W95=TRUNC(W95),W95&gt;0),1,0),1,IF(ISNA(HLOOKUP(W95,$AU$4:$BD$4,1,0)),0,1)),0)))</f>
        <v>1</v>
      </c>
      <c r="BK95" s="192">
        <f t="shared" ref="BK95:BK130" si="76">IF(OR(X$30="",X$4=99),1,IF(X95="",0,IFERROR(CHOOSE(BK$28,IF(ISNA(MATCH(X95,$AR$30:$AS$30,0)),0,1),IF(ISNUMBER(X95),1,0),IF(X95=TRUNC(X95),1,0),IF(AND(X95*1=X95,X95&gt;=0),1,0),IF(AND(X95=TRUNC(X95),X95&gt;=0),1,0),IF(AND(X95*1=X95,X95&gt;0),1,0),IF(AND(X95=TRUNC(X95),X95&gt;0),1,0),1,IF(ISNA(HLOOKUP(X95,$AU$4:$BD$4,1,0)),0,1)),0)))</f>
        <v>1</v>
      </c>
      <c r="BL95" s="192">
        <f t="shared" ref="BL95:BL130" si="77">IF(OR(Y$30="",Y$4=99),1,IF(Y95="",0,IFERROR(CHOOSE(BL$28,IF(ISNA(MATCH(Y95,$AR$30:$AS$30,0)),0,1),IF(ISNUMBER(Y95),1,0),IF(Y95=TRUNC(Y95),1,0),IF(AND(Y95*1=Y95,Y95&gt;=0),1,0),IF(AND(Y95=TRUNC(Y95),Y95&gt;=0),1,0),IF(AND(Y95*1=Y95,Y95&gt;0),1,0),IF(AND(Y95=TRUNC(Y95),Y95&gt;0),1,0),1,IF(ISNA(HLOOKUP(Y95,$AU$4:$BD$4,1,0)),0,1)),0)))</f>
        <v>1</v>
      </c>
      <c r="BM95" s="192">
        <f t="shared" ref="BM95:BM130" si="78">IF(OR(Z$30="",Z$4=99),1,IF(Z95="",0,IFERROR(CHOOSE(BM$28,IF(ISNA(MATCH(Z95,$AR$30:$AS$30,0)),0,1),IF(ISNUMBER(Z95),1,0),IF(Z95=TRUNC(Z95),1,0),IF(AND(Z95*1=Z95,Z95&gt;=0),1,0),IF(AND(Z95=TRUNC(Z95),Z95&gt;=0),1,0),IF(AND(Z95*1=Z95,Z95&gt;0),1,0),IF(AND(Z95=TRUNC(Z95),Z95&gt;0),1,0),1,IF(ISNA(HLOOKUP(Z95,$AU$4:$BD$4,1,0)),0,1)),0)))</f>
        <v>1</v>
      </c>
      <c r="BN95" s="192">
        <f t="shared" ref="BN95:BN130" si="79">IF(OR(AA$30="",AA$4=99),1,IF(AA95="",0,IFERROR(CHOOSE(BN$28,IF(ISNA(MATCH(AA95,$AR$30:$AS$30,0)),0,1),IF(ISNUMBER(AA95),1,0),IF(AA95=TRUNC(AA95),1,0),IF(AND(AA95*1=AA95,AA95&gt;=0),1,0),IF(AND(AA95=TRUNC(AA95),AA95&gt;=0),1,0),IF(AND(AA95*1=AA95,AA95&gt;0),1,0),IF(AND(AA95=TRUNC(AA95),AA95&gt;0),1,0),1,IF(ISNA(HLOOKUP(AA95,$AU$4:$BD$4,1,0)),0,1)),0)))</f>
        <v>1</v>
      </c>
      <c r="BO95" s="192">
        <f t="shared" ref="BO95:BO130" si="80">IF(OR(AB$30="",AB$4=99),1,IF(AB95="",0,IFERROR(CHOOSE(BO$28,IF(ISNA(MATCH(AB95,$AR$30:$AS$30,0)),0,1),IF(ISNUMBER(AB95),1,0),IF(AB95=TRUNC(AB95),1,0),IF(AND(AB95*1=AB95,AB95&gt;=0),1,0),IF(AND(AB95=TRUNC(AB95),AB95&gt;=0),1,0),IF(AND(AB95*1=AB95,AB95&gt;0),1,0),IF(AND(AB95=TRUNC(AB95),AB95&gt;0),1,0),1,IF(ISNA(HLOOKUP(AB95,$AU$4:$BD$4,1,0)),0,1)),0)))</f>
        <v>1</v>
      </c>
      <c r="BP95" s="192">
        <f t="shared" ref="BP95:BP130" si="81">IF(OR(AC$30="",AC$4=99),1,IF(AC95="",0,IFERROR(CHOOSE(BP$28,IF(ISNA(MATCH(AC95,$AR$30:$AS$30,0)),0,1),IF(ISNUMBER(AC95),1,0),IF(AC95=TRUNC(AC95),1,0),IF(AND(AC95*1=AC95,AC95&gt;=0),1,0),IF(AND(AC95=TRUNC(AC95),AC95&gt;=0),1,0),IF(AND(AC95*1=AC95,AC95&gt;0),1,0),IF(AND(AC95=TRUNC(AC95),AC95&gt;0),1,0),1,IF(ISNA(HLOOKUP(AC95,$AU$4:$BD$4,1,0)),0,1)),0)))</f>
        <v>1</v>
      </c>
      <c r="BQ95" s="192">
        <f t="shared" ref="BQ95:BQ130" si="82">IF(OR(AD$30="",AD$4=99),1,IF(AD95="",0,IFERROR(CHOOSE(BQ$28,IF(ISNA(MATCH(AD95,$AR$30:$AS$30,0)),0,1),IF(ISNUMBER(AD95),1,0),IF(AD95=TRUNC(AD95),1,0),IF(AND(AD95*1=AD95,AD95&gt;=0),1,0),IF(AND(AD95=TRUNC(AD95),AD95&gt;=0),1,0),IF(AND(AD95*1=AD95,AD95&gt;0),1,0),IF(AND(AD95=TRUNC(AD95),AD95&gt;0),1,0),1,IF(ISNA(HLOOKUP(AD95,$AU$4:$BD$4,1,0)),0,1)),0)))</f>
        <v>1</v>
      </c>
      <c r="BR95" s="192">
        <f t="shared" ref="BR95:BR130" si="83">IF(OR(AE$30="",AE$4=99),1,IF(AE95="",0,IFERROR(CHOOSE(BR$28,IF(ISNA(MATCH(AE95,$AR$30:$AS$30,0)),0,1),IF(ISNUMBER(AE95),1,0),IF(AE95=TRUNC(AE95),1,0),IF(AND(AE95*1=AE95,AE95&gt;=0),1,0),IF(AND(AE95=TRUNC(AE95),AE95&gt;=0),1,0),IF(AND(AE95*1=AE95,AE95&gt;0),1,0),IF(AND(AE95=TRUNC(AE95),AE95&gt;0),1,0),1,IF(ISNA(HLOOKUP(AE95,$AU$4:$BD$4,1,0)),0,1)),0)))</f>
        <v>1</v>
      </c>
      <c r="BS95" s="192">
        <f t="shared" ref="BS95:BS130" si="84">IF(OR(AF$30="",AF$4=99),1,IF(AF95="",0,IFERROR(CHOOSE(BS$28,IF(ISNA(MATCH(AF95,$AR$30:$AS$30,0)),0,1),IF(ISNUMBER(AF95),1,0),IF(AF95=TRUNC(AF95),1,0),IF(AND(AF95*1=AF95,AF95&gt;=0),1,0),IF(AND(AF95=TRUNC(AF95),AF95&gt;=0),1,0),IF(AND(AF95*1=AF95,AF95&gt;0),1,0),IF(AND(AF95=TRUNC(AF95),AF95&gt;0),1,0),1,IF(ISNA(HLOOKUP(AF95,$AU$4:$BD$4,1,0)),0,1)),0)))</f>
        <v>1</v>
      </c>
      <c r="BT95" s="192">
        <f t="shared" ref="BT95:BU130" si="85">IF(OR(AG$30="",AG$4=99),1,IF(AG95="",0,IFERROR(CHOOSE(BT$28,IF(ISNA(MATCH(AG95,$AR$30:$AS$30,0)),0,1),IF(ISNUMBER(AG95),1,0),IF(AG95=TRUNC(AG95),1,0),IF(AND(AG95*1=AG95,AG95&gt;=0),1,0),IF(AND(AG95=TRUNC(AG95),AG95&gt;=0),1,0),IF(AND(AG95*1=AG95,AG95&gt;0),1,0),IF(AND(AG95=TRUNC(AG95),AG95&gt;0),1,0),1,IF(ISNA(HLOOKUP(AG95,$AU$4:$BD$4,1,0)),0,1)),0)))</f>
        <v>1</v>
      </c>
      <c r="BU95" s="192">
        <f t="shared" si="85"/>
        <v>1</v>
      </c>
      <c r="BV95" s="192">
        <f t="shared" ref="BV95:BV130" si="86">IF(OR(AI$30="",AI$4=99),1,IF(AI95="",0,IFERROR(CHOOSE(BV$28,IF(ISNA(MATCH(AI95,$AR$30:$AS$30,0)),0,1),IF(ISNUMBER(AI95),1,0),IF(AI95=TRUNC(AI95),1,0),IF(AND(AI95*1=AI95,AI95&gt;=0),1,0),IF(AND(AI95=TRUNC(AI95),AI95&gt;=0),1,0),IF(AND(AI95*1=AI95,AI95&gt;0),1,0),IF(AND(AI95=TRUNC(AI95),AI95&gt;0),1,0),1,IF(ISNA(HLOOKUP(AI95,$AU$4:$BD$4,1,0)),0,1)),0)))</f>
        <v>1</v>
      </c>
      <c r="BW95" s="192">
        <f t="shared" ref="BW95:BW130" si="87">IF(OR(AJ$30="",AJ$4=99),1,IF(AJ95="",0,IFERROR(CHOOSE(BW$28,IF(ISNA(MATCH(AJ95,$AR$30:$AS$30,0)),0,1),IF(ISNUMBER(AJ95),1,0),IF(AJ95=TRUNC(AJ95),1,0),IF(AND(AJ95*1=AJ95,AJ95&gt;=0),1,0),IF(AND(AJ95=TRUNC(AJ95),AJ95&gt;=0),1,0),IF(AND(AJ95*1=AJ95,AJ95&gt;0),1,0),IF(AND(AJ95=TRUNC(AJ95),AJ95&gt;0),1,0),1,IF(ISNA(HLOOKUP(AJ95,$AU$4:$BD$4,1,0)),0,1)),0)))</f>
        <v>1</v>
      </c>
      <c r="BX95" s="192">
        <f t="shared" ref="BX95:BX130" si="88">IF(OR(AK$30="",AK$4=99),1,IF(AK95="",0,IFERROR(CHOOSE(BX$28,IF(ISNA(MATCH(AK95,$AR$30:$AS$30,0)),0,1),IF(ISNUMBER(AK95),1,0),IF(AK95=TRUNC(AK95),1,0),IF(AND(AK95*1=AK95,AK95&gt;=0),1,0),IF(AND(AK95=TRUNC(AK95),AK95&gt;=0),1,0),IF(AND(AK95*1=AK95,AK95&gt;0),1,0),IF(AND(AK95=TRUNC(AK95),AK95&gt;0),1,0),1,IF(ISNA(HLOOKUP(AK95,$AU$4:$BD$4,1,0)),0,1)),0)))</f>
        <v>1</v>
      </c>
      <c r="BY95" s="192">
        <f t="shared" ref="BY95:BY130" si="89">IF(OR(AL$30="",AL$4=99),1,IF(AL95="",0,IFERROR(CHOOSE(BY$28,IF(ISNA(MATCH(AL95,$AR$30:$AS$30,0)),0,1),IF(ISNUMBER(AL95),1,0),IF(AL95=TRUNC(AL95),1,0),IF(AND(AL95*1=AL95,AL95&gt;=0),1,0),IF(AND(AL95=TRUNC(AL95),AL95&gt;=0),1,0),IF(AND(AL95*1=AL95,AL95&gt;0),1,0),IF(AND(AL95=TRUNC(AL95),AL95&gt;0),1,0),1,IF(ISNA(HLOOKUP(AL95,$AU$4:$BD$4,1,0)),0,1)),0)))</f>
        <v>1</v>
      </c>
      <c r="BZ95" s="192">
        <f t="shared" ref="BZ95:BZ130" si="90">IF(OR(AM$30="",AM$4=99),1,IF(AM95="",0,IFERROR(CHOOSE(BZ$28,IF(ISNA(MATCH(AM95,$AR$30:$AS$30,0)),0,1),IF(ISNUMBER(AM95),1,0),IF(AM95=TRUNC(AM95),1,0),IF(AND(AM95*1=AM95,AM95&gt;=0),1,0),IF(AND(AM95=TRUNC(AM95),AM95&gt;=0),1,0),IF(AND(AM95*1=AM95,AM95&gt;0),1,0),IF(AND(AM95=TRUNC(AM95),AM95&gt;0),1,0),1,IF(ISNA(HLOOKUP(AM95,$AU$4:$BD$4,1,0)),0,1)),0)))</f>
        <v>1</v>
      </c>
      <c r="CA95" s="192">
        <f t="shared" ref="CA95:CA130" si="91">IF(OR(AN$30="",AN$4=99),1,IF(AN95="",0,IFERROR(CHOOSE(CA$28,IF(ISNA(MATCH(AN95,$AR$30:$AS$30,0)),0,1),IF(ISNUMBER(AN95),1,0),IF(AN95=TRUNC(AN95),1,0),IF(AND(AN95*1=AN95,AN95&gt;=0),1,0),IF(AND(AN95=TRUNC(AN95),AN95&gt;=0),1,0),IF(AND(AN95*1=AN95,AN95&gt;0),1,0),IF(AND(AN95=TRUNC(AN95),AN95&gt;0),1,0),1,IF(ISNA(HLOOKUP(AN95,$AU$4:$BD$4,1,0)),0,1)),0)))</f>
        <v>1</v>
      </c>
      <c r="CB95" s="192">
        <f t="shared" ref="CB95:CB130" si="92">IF(OR(AO$30="",AO$4=99),1,IF(AO95="",0,IFERROR(CHOOSE(CB$28,IF(ISNA(MATCH(AO95,$AR$30:$AS$30,0)),0,1),IF(ISNUMBER(AO95),1,0),IF(AO95=TRUNC(AO95),1,0),IF(AND(AO95*1=AO95,AO95&gt;=0),1,0),IF(AND(AO95=TRUNC(AO95),AO95&gt;=0),1,0),IF(AND(AO95*1=AO95,AO95&gt;0),1,0),IF(AND(AO95=TRUNC(AO95),AO95&gt;0),1,0),1,IF(ISNA(HLOOKUP(AO95,$AU$4:$BD$4,1,0)),0,1)),0)))</f>
        <v>1</v>
      </c>
      <c r="CS95" s="324" t="b">
        <f t="shared" si="50"/>
        <v>1</v>
      </c>
      <c r="CT95" s="324" t="b">
        <f t="shared" ref="CT95:CT130" si="93">AA95&gt;=CT$7</f>
        <v>1</v>
      </c>
      <c r="CU95" s="324" t="b">
        <f t="shared" ref="CU95:CU130" si="94">AB95&gt;=CU$7</f>
        <v>1</v>
      </c>
      <c r="CV95" s="324" t="b">
        <f t="shared" ref="CV95:CV130" si="95">AC95&gt;=CV$7</f>
        <v>1</v>
      </c>
      <c r="CW95" s="324" t="b">
        <f t="shared" ref="CW95:CW130" si="96">AD95&gt;=CW$7</f>
        <v>1</v>
      </c>
      <c r="CX95" s="324">
        <f t="shared" si="51"/>
        <v>1</v>
      </c>
    </row>
    <row r="96" spans="2:102" ht="45.75" customHeight="1" x14ac:dyDescent="0.25">
      <c r="B96" s="7">
        <f t="shared" ref="B96:B130" si="97">IF(F96="","",ROW()-30)</f>
        <v>66</v>
      </c>
      <c r="C96" s="7"/>
      <c r="D96" s="7"/>
      <c r="E96" s="7"/>
      <c r="F96" s="496" t="s">
        <v>405</v>
      </c>
      <c r="G96" s="6">
        <v>1</v>
      </c>
      <c r="H96" s="6">
        <v>1</v>
      </c>
      <c r="I96" s="6">
        <v>1</v>
      </c>
      <c r="J96" s="6">
        <v>1</v>
      </c>
      <c r="K96" s="6">
        <v>1</v>
      </c>
      <c r="L96" s="6">
        <v>1</v>
      </c>
      <c r="M96" s="6">
        <v>1</v>
      </c>
      <c r="N96" s="6">
        <v>1</v>
      </c>
      <c r="O96" s="6">
        <v>3</v>
      </c>
      <c r="P96" s="6">
        <v>3</v>
      </c>
      <c r="Q96" s="7">
        <f t="shared" ref="Q96:Q130" si="98">IF($F96="","",IF(O96&lt;P96,$AR$1,IF(AND(P96&gt;O96*0.5,P96&gt;=$P$5),1,0)))</f>
        <v>1</v>
      </c>
      <c r="R96" s="6">
        <v>1</v>
      </c>
      <c r="S96" s="6">
        <v>1</v>
      </c>
      <c r="T96" s="6">
        <v>1</v>
      </c>
      <c r="U96" s="6">
        <v>1</v>
      </c>
      <c r="V96" s="6"/>
      <c r="W96" s="6"/>
      <c r="X96" s="6">
        <v>1</v>
      </c>
      <c r="Y96" s="6"/>
      <c r="Z96" s="6">
        <v>7</v>
      </c>
      <c r="AA96" s="6">
        <v>51000</v>
      </c>
      <c r="AB96" s="7">
        <f t="shared" ref="AB96:AB130" si="99">IF(F96="","",IF(Z96&gt;=$Z$5*0.8,1,0))</f>
        <v>1</v>
      </c>
      <c r="AC96" s="7">
        <f t="shared" ref="AC96:AC130" si="100">IF(F96="","",IF(AA96&gt;=$AA$5*0.8,1,0))</f>
        <v>1</v>
      </c>
      <c r="AD96" s="7">
        <f>IF(G96="","",IF(AND(Z96&gt;='פרמטרים לקריטריונים'!$D$19,AA96&gt;='פרמטרים לקריטריונים'!$C$19),1,0))</f>
        <v>1</v>
      </c>
      <c r="AE96" s="7" cm="1">
        <f t="array" ref="AE96">IF($F96="","",IF(OR(SUMPRODUCT(--(Z96:AA96&gt;=$Z$5:$AA$5))=COUNTA($Z$29:$AA$29),OR(AND(X96=1,OR(AB96=1,AC96=1)),AND(Y96=1,AD96=1))),1,0))</f>
        <v>1</v>
      </c>
      <c r="AF96" s="6"/>
      <c r="AG96" s="6">
        <v>1</v>
      </c>
      <c r="AH96" s="6">
        <v>1</v>
      </c>
      <c r="AI96" s="6">
        <v>1</v>
      </c>
      <c r="AJ96" s="7">
        <f t="shared" si="57"/>
        <v>1</v>
      </c>
      <c r="AK96" s="7"/>
      <c r="AL96" s="7"/>
      <c r="AM96" s="7"/>
      <c r="AN96" s="7"/>
      <c r="AO96" s="229">
        <f t="shared" si="58"/>
        <v>1</v>
      </c>
      <c r="AP96" s="357" t="s">
        <v>1083</v>
      </c>
      <c r="AQ96" s="193">
        <f t="shared" si="59"/>
        <v>1</v>
      </c>
      <c r="AR96" s="193">
        <f t="shared" si="56"/>
        <v>0</v>
      </c>
      <c r="AS96" s="193">
        <f t="shared" si="56"/>
        <v>1</v>
      </c>
      <c r="AT96" s="192">
        <f t="shared" ref="AT96:AT130" si="101">IF(OR(G$30="",G$4=99),1,IF(G96="",0,IFERROR(CHOOSE(AT$28,IF(ISNA(MATCH(G96,$AR$30:$AS$30,0)),0,1),IF(ISNUMBER(G96),1,0),IF(G96=TRUNC(G96),1,0),IF(AND(G96*1=G96,G96&gt;=0),1,0),IF(AND(G96=TRUNC(G96),G96&gt;=0),1,0),IF(AND(G96*1=G96,G96&gt;0),1,0),IF(AND(G96=TRUNC(G96),G96&gt;0),1,0),1,IF(ISNA(HLOOKUP(G96,$AU$4:$BD$4,1,0)),0,1)),0)))</f>
        <v>1</v>
      </c>
      <c r="AU96" s="192">
        <f t="shared" si="60"/>
        <v>1</v>
      </c>
      <c r="AV96" s="192">
        <f t="shared" si="61"/>
        <v>1</v>
      </c>
      <c r="AW96" s="192">
        <f t="shared" si="62"/>
        <v>1</v>
      </c>
      <c r="AX96" s="192">
        <f t="shared" si="63"/>
        <v>1</v>
      </c>
      <c r="AY96" s="192">
        <f t="shared" si="64"/>
        <v>1</v>
      </c>
      <c r="AZ96" s="192">
        <f t="shared" si="65"/>
        <v>1</v>
      </c>
      <c r="BA96" s="192">
        <f t="shared" si="66"/>
        <v>1</v>
      </c>
      <c r="BB96" s="192">
        <f t="shared" si="67"/>
        <v>1</v>
      </c>
      <c r="BC96" s="192">
        <f t="shared" si="68"/>
        <v>1</v>
      </c>
      <c r="BD96" s="192">
        <f t="shared" si="69"/>
        <v>1</v>
      </c>
      <c r="BE96" s="192">
        <f t="shared" si="70"/>
        <v>1</v>
      </c>
      <c r="BF96" s="192">
        <f t="shared" si="71"/>
        <v>1</v>
      </c>
      <c r="BG96" s="192">
        <f t="shared" si="72"/>
        <v>1</v>
      </c>
      <c r="BH96" s="192">
        <f t="shared" si="73"/>
        <v>1</v>
      </c>
      <c r="BI96" s="192">
        <f t="shared" si="74"/>
        <v>1</v>
      </c>
      <c r="BJ96" s="192">
        <f t="shared" si="75"/>
        <v>1</v>
      </c>
      <c r="BK96" s="192">
        <f t="shared" si="76"/>
        <v>1</v>
      </c>
      <c r="BL96" s="192">
        <f t="shared" si="77"/>
        <v>1</v>
      </c>
      <c r="BM96" s="192">
        <f t="shared" si="78"/>
        <v>1</v>
      </c>
      <c r="BN96" s="192">
        <f t="shared" si="79"/>
        <v>1</v>
      </c>
      <c r="BO96" s="192">
        <f t="shared" si="80"/>
        <v>1</v>
      </c>
      <c r="BP96" s="192">
        <f t="shared" si="81"/>
        <v>1</v>
      </c>
      <c r="BQ96" s="192">
        <f t="shared" si="82"/>
        <v>1</v>
      </c>
      <c r="BR96" s="192">
        <f t="shared" si="83"/>
        <v>1</v>
      </c>
      <c r="BS96" s="192">
        <f t="shared" si="84"/>
        <v>1</v>
      </c>
      <c r="BT96" s="192">
        <f t="shared" si="85"/>
        <v>1</v>
      </c>
      <c r="BU96" s="192">
        <f t="shared" si="85"/>
        <v>1</v>
      </c>
      <c r="BV96" s="192">
        <f t="shared" si="86"/>
        <v>1</v>
      </c>
      <c r="BW96" s="192">
        <f t="shared" si="87"/>
        <v>1</v>
      </c>
      <c r="BX96" s="192">
        <f t="shared" si="88"/>
        <v>1</v>
      </c>
      <c r="BY96" s="192">
        <f t="shared" si="89"/>
        <v>1</v>
      </c>
      <c r="BZ96" s="192">
        <f t="shared" si="90"/>
        <v>1</v>
      </c>
      <c r="CA96" s="192">
        <f t="shared" si="91"/>
        <v>1</v>
      </c>
      <c r="CB96" s="192">
        <f t="shared" si="92"/>
        <v>1</v>
      </c>
      <c r="CS96" s="324" t="b">
        <f t="shared" ref="CS96:CS130" si="102">Z96&gt;=CS$7</f>
        <v>1</v>
      </c>
      <c r="CT96" s="324" t="b">
        <f t="shared" si="93"/>
        <v>1</v>
      </c>
      <c r="CU96" s="324" t="b">
        <f t="shared" si="94"/>
        <v>1</v>
      </c>
      <c r="CV96" s="324" t="b">
        <f t="shared" si="95"/>
        <v>1</v>
      </c>
      <c r="CW96" s="324" t="b">
        <f t="shared" si="96"/>
        <v>1</v>
      </c>
      <c r="CX96" s="324">
        <f t="shared" ref="CX96:CX130" si="103">IF($F96="","",IF(SUMPRODUCT(--(CS96:CW96=TRUE))=COUNTA(CS96:CW96),1,0))</f>
        <v>1</v>
      </c>
    </row>
    <row r="97" spans="2:102" ht="13.5" customHeight="1" x14ac:dyDescent="0.25">
      <c r="B97" s="7" t="str">
        <f t="shared" si="97"/>
        <v/>
      </c>
      <c r="C97" s="7"/>
      <c r="D97" s="7"/>
      <c r="E97" s="7"/>
      <c r="F97" s="497"/>
      <c r="G97" s="6"/>
      <c r="H97" s="6"/>
      <c r="I97" s="6"/>
      <c r="J97" s="6"/>
      <c r="K97" s="6"/>
      <c r="L97" s="6"/>
      <c r="M97" s="6"/>
      <c r="N97" s="6"/>
      <c r="O97" s="6"/>
      <c r="P97" s="6"/>
      <c r="Q97" s="7" t="str">
        <f t="shared" si="98"/>
        <v/>
      </c>
      <c r="R97" s="6"/>
      <c r="S97" s="6">
        <v>1</v>
      </c>
      <c r="T97" s="6">
        <v>1</v>
      </c>
      <c r="U97" s="6">
        <v>1</v>
      </c>
      <c r="V97" s="6"/>
      <c r="W97" s="6"/>
      <c r="X97" s="6"/>
      <c r="Y97" s="6"/>
      <c r="Z97" s="6"/>
      <c r="AA97" s="6"/>
      <c r="AB97" s="7" t="str">
        <f t="shared" si="99"/>
        <v/>
      </c>
      <c r="AC97" s="7" t="str">
        <f t="shared" si="100"/>
        <v/>
      </c>
      <c r="AD97" s="7" t="str">
        <f>IF(G97="","",IF(AND(Z97&gt;='פרמטרים לקריטריונים'!$D$19,AA97&gt;='פרמטרים לקריטריונים'!$C$19),1,0))</f>
        <v/>
      </c>
      <c r="AE97" s="7" t="str" cm="1">
        <f t="array" ref="AE97">IF($F97="","",IF(OR(SUMPRODUCT(--(Z97:AA97&gt;=$Z$5:$AA$5))=COUNTA($Z$29:$AA$29),OR(AND(X97=1,OR(AB97=1,AC97=1)),AND(Y97=1,AD97=1))),1,0))</f>
        <v/>
      </c>
      <c r="AF97" s="6"/>
      <c r="AG97" s="6"/>
      <c r="AH97" s="6"/>
      <c r="AI97" s="6"/>
      <c r="AJ97" s="7" t="str">
        <f t="shared" si="57"/>
        <v/>
      </c>
      <c r="AK97" s="7"/>
      <c r="AL97" s="7"/>
      <c r="AM97" s="7"/>
      <c r="AN97" s="7"/>
      <c r="AO97" s="229" t="str">
        <f t="shared" si="58"/>
        <v/>
      </c>
      <c r="AP97" s="357"/>
      <c r="AQ97" s="193">
        <f t="shared" si="59"/>
        <v>0</v>
      </c>
      <c r="AR97" s="193" t="str">
        <f t="shared" si="56"/>
        <v/>
      </c>
      <c r="AS97" s="193" t="str">
        <f t="shared" si="56"/>
        <v/>
      </c>
      <c r="AT97" s="192">
        <f t="shared" si="101"/>
        <v>0</v>
      </c>
      <c r="AU97" s="192">
        <f t="shared" si="60"/>
        <v>0</v>
      </c>
      <c r="AV97" s="192">
        <f t="shared" si="61"/>
        <v>0</v>
      </c>
      <c r="AW97" s="192">
        <f t="shared" si="62"/>
        <v>0</v>
      </c>
      <c r="AX97" s="192">
        <f t="shared" si="63"/>
        <v>0</v>
      </c>
      <c r="AY97" s="192">
        <f t="shared" si="64"/>
        <v>0</v>
      </c>
      <c r="AZ97" s="192">
        <f t="shared" si="65"/>
        <v>0</v>
      </c>
      <c r="BA97" s="192">
        <f t="shared" si="66"/>
        <v>0</v>
      </c>
      <c r="BB97" s="192">
        <f t="shared" si="67"/>
        <v>0</v>
      </c>
      <c r="BC97" s="192">
        <f t="shared" si="68"/>
        <v>0</v>
      </c>
      <c r="BD97" s="192">
        <f t="shared" si="69"/>
        <v>1</v>
      </c>
      <c r="BE97" s="192">
        <f t="shared" si="70"/>
        <v>0</v>
      </c>
      <c r="BF97" s="192">
        <f t="shared" si="71"/>
        <v>1</v>
      </c>
      <c r="BG97" s="192">
        <f t="shared" si="72"/>
        <v>1</v>
      </c>
      <c r="BH97" s="192">
        <f t="shared" si="73"/>
        <v>1</v>
      </c>
      <c r="BI97" s="192">
        <f t="shared" si="74"/>
        <v>1</v>
      </c>
      <c r="BJ97" s="192">
        <f t="shared" si="75"/>
        <v>1</v>
      </c>
      <c r="BK97" s="192">
        <f t="shared" si="76"/>
        <v>1</v>
      </c>
      <c r="BL97" s="192">
        <f t="shared" si="77"/>
        <v>1</v>
      </c>
      <c r="BM97" s="192">
        <f t="shared" si="78"/>
        <v>0</v>
      </c>
      <c r="BN97" s="192">
        <f t="shared" si="79"/>
        <v>0</v>
      </c>
      <c r="BO97" s="192">
        <f t="shared" si="80"/>
        <v>1</v>
      </c>
      <c r="BP97" s="192">
        <f t="shared" si="81"/>
        <v>1</v>
      </c>
      <c r="BQ97" s="192">
        <f t="shared" si="82"/>
        <v>1</v>
      </c>
      <c r="BR97" s="192">
        <f t="shared" si="83"/>
        <v>1</v>
      </c>
      <c r="BS97" s="192">
        <f t="shared" si="84"/>
        <v>1</v>
      </c>
      <c r="BT97" s="192">
        <f t="shared" si="85"/>
        <v>0</v>
      </c>
      <c r="BU97" s="192">
        <f t="shared" si="85"/>
        <v>0</v>
      </c>
      <c r="BV97" s="192">
        <f t="shared" si="86"/>
        <v>0</v>
      </c>
      <c r="BW97" s="192">
        <f t="shared" si="87"/>
        <v>1</v>
      </c>
      <c r="BX97" s="192">
        <f t="shared" si="88"/>
        <v>1</v>
      </c>
      <c r="BY97" s="192">
        <f t="shared" si="89"/>
        <v>1</v>
      </c>
      <c r="BZ97" s="192">
        <f t="shared" si="90"/>
        <v>1</v>
      </c>
      <c r="CA97" s="192">
        <f t="shared" si="91"/>
        <v>1</v>
      </c>
      <c r="CB97" s="192">
        <f t="shared" si="92"/>
        <v>1</v>
      </c>
      <c r="CS97" s="324" t="b">
        <f t="shared" si="102"/>
        <v>0</v>
      </c>
      <c r="CT97" s="324" t="b">
        <f t="shared" si="93"/>
        <v>0</v>
      </c>
      <c r="CU97" s="324" t="b">
        <f t="shared" si="94"/>
        <v>1</v>
      </c>
      <c r="CV97" s="324" t="b">
        <f t="shared" si="95"/>
        <v>1</v>
      </c>
      <c r="CW97" s="324" t="b">
        <f t="shared" si="96"/>
        <v>1</v>
      </c>
      <c r="CX97" s="324" t="str">
        <f t="shared" si="103"/>
        <v/>
      </c>
    </row>
    <row r="98" spans="2:102" ht="36.75" customHeight="1" x14ac:dyDescent="0.25">
      <c r="B98" s="7">
        <f t="shared" si="97"/>
        <v>68</v>
      </c>
      <c r="C98" s="7"/>
      <c r="D98" s="7"/>
      <c r="E98" s="7"/>
      <c r="F98" s="496" t="s">
        <v>424</v>
      </c>
      <c r="G98" s="6">
        <v>1</v>
      </c>
      <c r="H98" s="6">
        <v>1</v>
      </c>
      <c r="I98" s="6">
        <v>1</v>
      </c>
      <c r="J98" s="6">
        <v>1</v>
      </c>
      <c r="K98" s="6">
        <v>1</v>
      </c>
      <c r="L98" s="6">
        <v>1</v>
      </c>
      <c r="M98" s="6">
        <v>1</v>
      </c>
      <c r="N98" s="6">
        <v>1</v>
      </c>
      <c r="O98" s="6">
        <v>5</v>
      </c>
      <c r="P98" s="6">
        <v>5</v>
      </c>
      <c r="Q98" s="7">
        <f t="shared" si="98"/>
        <v>1</v>
      </c>
      <c r="R98" s="6">
        <v>1</v>
      </c>
      <c r="S98" s="6">
        <v>1</v>
      </c>
      <c r="T98" s="6">
        <v>1</v>
      </c>
      <c r="U98" s="6">
        <v>1</v>
      </c>
      <c r="V98" s="6"/>
      <c r="W98" s="6"/>
      <c r="X98" s="6"/>
      <c r="Y98" s="6"/>
      <c r="Z98" s="6">
        <v>12</v>
      </c>
      <c r="AA98" s="6">
        <v>87586</v>
      </c>
      <c r="AB98" s="7">
        <f t="shared" si="99"/>
        <v>1</v>
      </c>
      <c r="AC98" s="7">
        <f t="shared" si="100"/>
        <v>1</v>
      </c>
      <c r="AD98" s="7">
        <f>IF(G98="","",IF(AND(Z98&gt;='פרמטרים לקריטריונים'!$D$19,AA98&gt;='פרמטרים לקריטריונים'!$C$19),1,0))</f>
        <v>1</v>
      </c>
      <c r="AE98" s="7" cm="1">
        <f t="array" ref="AE98">IF($F98="","",IF(OR(SUMPRODUCT(--(Z98:AA98&gt;=$Z$5:$AA$5))=COUNTA($Z$29:$AA$29),OR(AND(X98=1,OR(AB98=1,AC98=1)),AND(Y98=1,AD98=1))),1,0))</f>
        <v>1</v>
      </c>
      <c r="AF98" s="6"/>
      <c r="AG98" s="6">
        <v>1</v>
      </c>
      <c r="AH98" s="6">
        <v>1</v>
      </c>
      <c r="AI98" s="6">
        <v>1</v>
      </c>
      <c r="AJ98" s="7">
        <f t="shared" si="57"/>
        <v>1</v>
      </c>
      <c r="AK98" s="7"/>
      <c r="AL98" s="7"/>
      <c r="AM98" s="7"/>
      <c r="AN98" s="7"/>
      <c r="AO98" s="229">
        <f t="shared" si="58"/>
        <v>1</v>
      </c>
      <c r="AP98" s="357" t="s">
        <v>166</v>
      </c>
      <c r="AQ98" s="193">
        <f t="shared" si="59"/>
        <v>1</v>
      </c>
      <c r="AR98" s="193">
        <f t="shared" si="56"/>
        <v>0</v>
      </c>
      <c r="AS98" s="193">
        <f t="shared" si="56"/>
        <v>1</v>
      </c>
      <c r="AT98" s="192">
        <f t="shared" si="101"/>
        <v>1</v>
      </c>
      <c r="AU98" s="192">
        <f t="shared" si="60"/>
        <v>1</v>
      </c>
      <c r="AV98" s="192">
        <f t="shared" si="61"/>
        <v>1</v>
      </c>
      <c r="AW98" s="192">
        <f t="shared" si="62"/>
        <v>1</v>
      </c>
      <c r="AX98" s="192">
        <f t="shared" si="63"/>
        <v>1</v>
      </c>
      <c r="AY98" s="192">
        <f t="shared" si="64"/>
        <v>1</v>
      </c>
      <c r="AZ98" s="192">
        <f t="shared" si="65"/>
        <v>1</v>
      </c>
      <c r="BA98" s="192">
        <f t="shared" si="66"/>
        <v>1</v>
      </c>
      <c r="BB98" s="192">
        <f t="shared" si="67"/>
        <v>1</v>
      </c>
      <c r="BC98" s="192">
        <f t="shared" si="68"/>
        <v>1</v>
      </c>
      <c r="BD98" s="192">
        <f t="shared" si="69"/>
        <v>1</v>
      </c>
      <c r="BE98" s="192">
        <f t="shared" si="70"/>
        <v>1</v>
      </c>
      <c r="BF98" s="192">
        <f t="shared" si="71"/>
        <v>1</v>
      </c>
      <c r="BG98" s="192">
        <f t="shared" si="72"/>
        <v>1</v>
      </c>
      <c r="BH98" s="192">
        <f t="shared" si="73"/>
        <v>1</v>
      </c>
      <c r="BI98" s="192">
        <f t="shared" si="74"/>
        <v>1</v>
      </c>
      <c r="BJ98" s="192">
        <f t="shared" si="75"/>
        <v>1</v>
      </c>
      <c r="BK98" s="192">
        <f t="shared" si="76"/>
        <v>1</v>
      </c>
      <c r="BL98" s="192">
        <f t="shared" si="77"/>
        <v>1</v>
      </c>
      <c r="BM98" s="192">
        <f t="shared" si="78"/>
        <v>1</v>
      </c>
      <c r="BN98" s="192">
        <f t="shared" si="79"/>
        <v>1</v>
      </c>
      <c r="BO98" s="192">
        <f t="shared" si="80"/>
        <v>1</v>
      </c>
      <c r="BP98" s="192">
        <f t="shared" si="81"/>
        <v>1</v>
      </c>
      <c r="BQ98" s="192">
        <f t="shared" si="82"/>
        <v>1</v>
      </c>
      <c r="BR98" s="192">
        <f t="shared" si="83"/>
        <v>1</v>
      </c>
      <c r="BS98" s="192">
        <f t="shared" si="84"/>
        <v>1</v>
      </c>
      <c r="BT98" s="192">
        <f t="shared" si="85"/>
        <v>1</v>
      </c>
      <c r="BU98" s="192">
        <f t="shared" si="85"/>
        <v>1</v>
      </c>
      <c r="BV98" s="192">
        <f t="shared" si="86"/>
        <v>1</v>
      </c>
      <c r="BW98" s="192">
        <f t="shared" si="87"/>
        <v>1</v>
      </c>
      <c r="BX98" s="192">
        <f t="shared" si="88"/>
        <v>1</v>
      </c>
      <c r="BY98" s="192">
        <f t="shared" si="89"/>
        <v>1</v>
      </c>
      <c r="BZ98" s="192">
        <f t="shared" si="90"/>
        <v>1</v>
      </c>
      <c r="CA98" s="192">
        <f t="shared" si="91"/>
        <v>1</v>
      </c>
      <c r="CB98" s="192">
        <f t="shared" si="92"/>
        <v>1</v>
      </c>
      <c r="CS98" s="324" t="b">
        <f t="shared" si="102"/>
        <v>1</v>
      </c>
      <c r="CT98" s="324" t="b">
        <f t="shared" si="93"/>
        <v>1</v>
      </c>
      <c r="CU98" s="324" t="b">
        <f t="shared" si="94"/>
        <v>1</v>
      </c>
      <c r="CV98" s="324" t="b">
        <f t="shared" si="95"/>
        <v>1</v>
      </c>
      <c r="CW98" s="324" t="b">
        <f t="shared" si="96"/>
        <v>1</v>
      </c>
      <c r="CX98" s="324">
        <f t="shared" si="103"/>
        <v>1</v>
      </c>
    </row>
    <row r="99" spans="2:102" ht="14.25" customHeight="1" x14ac:dyDescent="0.25">
      <c r="B99" s="7" t="str">
        <f t="shared" si="97"/>
        <v/>
      </c>
      <c r="C99" s="7"/>
      <c r="D99" s="7"/>
      <c r="E99" s="7"/>
      <c r="F99" s="497"/>
      <c r="G99" s="6"/>
      <c r="H99" s="6"/>
      <c r="I99" s="6"/>
      <c r="J99" s="6"/>
      <c r="K99" s="6"/>
      <c r="L99" s="6"/>
      <c r="M99" s="6"/>
      <c r="N99" s="6"/>
      <c r="O99" s="6"/>
      <c r="P99" s="6"/>
      <c r="Q99" s="7" t="str">
        <f t="shared" si="98"/>
        <v/>
      </c>
      <c r="R99" s="6"/>
      <c r="S99" s="6"/>
      <c r="T99" s="6"/>
      <c r="U99" s="6"/>
      <c r="V99" s="6"/>
      <c r="W99" s="6"/>
      <c r="X99" s="6"/>
      <c r="Y99" s="6"/>
      <c r="Z99" s="6"/>
      <c r="AA99" s="6"/>
      <c r="AB99" s="7" t="str">
        <f t="shared" si="99"/>
        <v/>
      </c>
      <c r="AC99" s="7" t="str">
        <f t="shared" si="100"/>
        <v/>
      </c>
      <c r="AD99" s="7" t="str">
        <f>IF(G99="","",IF(AND(Z99&gt;='פרמטרים לקריטריונים'!$D$19,AA99&gt;='פרמטרים לקריטריונים'!$C$19),1,0))</f>
        <v/>
      </c>
      <c r="AE99" s="7" t="str" cm="1">
        <f t="array" ref="AE99">IF($F99="","",IF(OR(SUMPRODUCT(--(Z99:AA99&gt;=$Z$5:$AA$5))=COUNTA($Z$29:$AA$29),OR(AND(X99=1,OR(AB99=1,AC99=1)),AND(Y99=1,AD99=1))),1,0))</f>
        <v/>
      </c>
      <c r="AF99" s="6"/>
      <c r="AG99" s="6"/>
      <c r="AH99" s="6"/>
      <c r="AI99" s="6"/>
      <c r="AJ99" s="7" t="str">
        <f t="shared" si="57"/>
        <v/>
      </c>
      <c r="AK99" s="7"/>
      <c r="AL99" s="7"/>
      <c r="AM99" s="7"/>
      <c r="AN99" s="7"/>
      <c r="AO99" s="229" t="str">
        <f t="shared" si="58"/>
        <v/>
      </c>
      <c r="AP99" s="357"/>
      <c r="AQ99" s="193">
        <f t="shared" si="59"/>
        <v>0</v>
      </c>
      <c r="AR99" s="193" t="str">
        <f t="shared" si="56"/>
        <v/>
      </c>
      <c r="AS99" s="193" t="str">
        <f t="shared" si="56"/>
        <v/>
      </c>
      <c r="AT99" s="192">
        <f t="shared" si="101"/>
        <v>0</v>
      </c>
      <c r="AU99" s="192">
        <f t="shared" si="60"/>
        <v>0</v>
      </c>
      <c r="AV99" s="192">
        <f t="shared" si="61"/>
        <v>0</v>
      </c>
      <c r="AW99" s="192">
        <f t="shared" si="62"/>
        <v>0</v>
      </c>
      <c r="AX99" s="192">
        <f t="shared" si="63"/>
        <v>0</v>
      </c>
      <c r="AY99" s="192">
        <f t="shared" si="64"/>
        <v>0</v>
      </c>
      <c r="AZ99" s="192">
        <f t="shared" si="65"/>
        <v>0</v>
      </c>
      <c r="BA99" s="192">
        <f t="shared" si="66"/>
        <v>0</v>
      </c>
      <c r="BB99" s="192">
        <f t="shared" si="67"/>
        <v>0</v>
      </c>
      <c r="BC99" s="192">
        <f t="shared" si="68"/>
        <v>0</v>
      </c>
      <c r="BD99" s="192">
        <f t="shared" si="69"/>
        <v>1</v>
      </c>
      <c r="BE99" s="192">
        <f t="shared" si="70"/>
        <v>0</v>
      </c>
      <c r="BF99" s="192">
        <f t="shared" si="71"/>
        <v>0</v>
      </c>
      <c r="BG99" s="192">
        <f t="shared" si="72"/>
        <v>0</v>
      </c>
      <c r="BH99" s="192">
        <f t="shared" si="73"/>
        <v>0</v>
      </c>
      <c r="BI99" s="192">
        <f t="shared" si="74"/>
        <v>1</v>
      </c>
      <c r="BJ99" s="192">
        <f t="shared" si="75"/>
        <v>1</v>
      </c>
      <c r="BK99" s="192">
        <f t="shared" si="76"/>
        <v>1</v>
      </c>
      <c r="BL99" s="192">
        <f t="shared" si="77"/>
        <v>1</v>
      </c>
      <c r="BM99" s="192">
        <f t="shared" si="78"/>
        <v>0</v>
      </c>
      <c r="BN99" s="192">
        <f t="shared" si="79"/>
        <v>0</v>
      </c>
      <c r="BO99" s="192">
        <f t="shared" si="80"/>
        <v>1</v>
      </c>
      <c r="BP99" s="192">
        <f t="shared" si="81"/>
        <v>1</v>
      </c>
      <c r="BQ99" s="192">
        <f t="shared" si="82"/>
        <v>1</v>
      </c>
      <c r="BR99" s="192">
        <f t="shared" si="83"/>
        <v>1</v>
      </c>
      <c r="BS99" s="192">
        <f t="shared" si="84"/>
        <v>1</v>
      </c>
      <c r="BT99" s="192">
        <f t="shared" si="85"/>
        <v>0</v>
      </c>
      <c r="BU99" s="192">
        <f t="shared" si="85"/>
        <v>0</v>
      </c>
      <c r="BV99" s="192">
        <f t="shared" si="86"/>
        <v>0</v>
      </c>
      <c r="BW99" s="192">
        <f t="shared" si="87"/>
        <v>1</v>
      </c>
      <c r="BX99" s="192">
        <f t="shared" si="88"/>
        <v>1</v>
      </c>
      <c r="BY99" s="192">
        <f t="shared" si="89"/>
        <v>1</v>
      </c>
      <c r="BZ99" s="192">
        <f t="shared" si="90"/>
        <v>1</v>
      </c>
      <c r="CA99" s="192">
        <f t="shared" si="91"/>
        <v>1</v>
      </c>
      <c r="CB99" s="192">
        <f t="shared" si="92"/>
        <v>1</v>
      </c>
      <c r="CS99" s="324" t="b">
        <f t="shared" si="102"/>
        <v>0</v>
      </c>
      <c r="CT99" s="324" t="b">
        <f t="shared" si="93"/>
        <v>0</v>
      </c>
      <c r="CU99" s="324" t="b">
        <f t="shared" si="94"/>
        <v>1</v>
      </c>
      <c r="CV99" s="324" t="b">
        <f t="shared" si="95"/>
        <v>1</v>
      </c>
      <c r="CW99" s="324" t="b">
        <f t="shared" si="96"/>
        <v>1</v>
      </c>
      <c r="CX99" s="324" t="str">
        <f t="shared" si="103"/>
        <v/>
      </c>
    </row>
    <row r="100" spans="2:102" ht="14.25" customHeight="1" x14ac:dyDescent="0.25">
      <c r="B100" s="7" t="str">
        <f t="shared" si="97"/>
        <v/>
      </c>
      <c r="C100" s="7"/>
      <c r="D100" s="7"/>
      <c r="E100" s="7"/>
      <c r="F100" s="497"/>
      <c r="G100" s="6"/>
      <c r="H100" s="6"/>
      <c r="I100" s="6"/>
      <c r="J100" s="6"/>
      <c r="K100" s="6"/>
      <c r="L100" s="6"/>
      <c r="M100" s="6"/>
      <c r="N100" s="6"/>
      <c r="O100" s="6"/>
      <c r="P100" s="6"/>
      <c r="Q100" s="7" t="str">
        <f t="shared" si="98"/>
        <v/>
      </c>
      <c r="R100" s="6"/>
      <c r="S100" s="6"/>
      <c r="T100" s="6"/>
      <c r="U100" s="6"/>
      <c r="V100" s="6"/>
      <c r="W100" s="6"/>
      <c r="X100" s="6"/>
      <c r="Y100" s="6"/>
      <c r="Z100" s="6"/>
      <c r="AA100" s="6"/>
      <c r="AB100" s="7" t="str">
        <f t="shared" si="99"/>
        <v/>
      </c>
      <c r="AC100" s="7" t="str">
        <f t="shared" si="100"/>
        <v/>
      </c>
      <c r="AD100" s="7" t="str">
        <f>IF(G100="","",IF(AND(Z100&gt;='פרמטרים לקריטריונים'!$D$19,AA100&gt;='פרמטרים לקריטריונים'!$C$19),1,0))</f>
        <v/>
      </c>
      <c r="AE100" s="7" t="str" cm="1">
        <f t="array" ref="AE100">IF($F100="","",IF(OR(SUMPRODUCT(--(Z100:AA100&gt;=$Z$5:$AA$5))=COUNTA($Z$29:$AA$29),OR(AND(X100=1,OR(AB100=1,AC100=1)),AND(Y100=1,AD100=1))),1,0))</f>
        <v/>
      </c>
      <c r="AF100" s="6"/>
      <c r="AG100" s="6"/>
      <c r="AH100" s="6"/>
      <c r="AI100" s="6"/>
      <c r="AJ100" s="7" t="str">
        <f t="shared" si="57"/>
        <v/>
      </c>
      <c r="AK100" s="7"/>
      <c r="AL100" s="7"/>
      <c r="AM100" s="7"/>
      <c r="AN100" s="7"/>
      <c r="AO100" s="229" t="str">
        <f t="shared" si="58"/>
        <v/>
      </c>
      <c r="AP100" s="357"/>
      <c r="AQ100" s="193">
        <f t="shared" si="59"/>
        <v>0</v>
      </c>
      <c r="AR100" s="193" t="str">
        <f t="shared" si="56"/>
        <v/>
      </c>
      <c r="AS100" s="193" t="str">
        <f t="shared" si="56"/>
        <v/>
      </c>
      <c r="AT100" s="192">
        <f t="shared" si="101"/>
        <v>0</v>
      </c>
      <c r="AU100" s="192">
        <f t="shared" si="60"/>
        <v>0</v>
      </c>
      <c r="AV100" s="192">
        <f t="shared" si="61"/>
        <v>0</v>
      </c>
      <c r="AW100" s="192">
        <f t="shared" si="62"/>
        <v>0</v>
      </c>
      <c r="AX100" s="192">
        <f t="shared" si="63"/>
        <v>0</v>
      </c>
      <c r="AY100" s="192">
        <f t="shared" si="64"/>
        <v>0</v>
      </c>
      <c r="AZ100" s="192">
        <f t="shared" si="65"/>
        <v>0</v>
      </c>
      <c r="BA100" s="192">
        <f t="shared" si="66"/>
        <v>0</v>
      </c>
      <c r="BB100" s="192">
        <f t="shared" si="67"/>
        <v>0</v>
      </c>
      <c r="BC100" s="192">
        <f t="shared" si="68"/>
        <v>0</v>
      </c>
      <c r="BD100" s="192">
        <f t="shared" si="69"/>
        <v>1</v>
      </c>
      <c r="BE100" s="192">
        <f t="shared" si="70"/>
        <v>0</v>
      </c>
      <c r="BF100" s="192">
        <f t="shared" si="71"/>
        <v>0</v>
      </c>
      <c r="BG100" s="192">
        <f t="shared" si="72"/>
        <v>0</v>
      </c>
      <c r="BH100" s="192">
        <f t="shared" si="73"/>
        <v>0</v>
      </c>
      <c r="BI100" s="192">
        <f t="shared" si="74"/>
        <v>1</v>
      </c>
      <c r="BJ100" s="192">
        <f t="shared" si="75"/>
        <v>1</v>
      </c>
      <c r="BK100" s="192">
        <f t="shared" si="76"/>
        <v>1</v>
      </c>
      <c r="BL100" s="192">
        <f t="shared" si="77"/>
        <v>1</v>
      </c>
      <c r="BM100" s="192">
        <f t="shared" si="78"/>
        <v>0</v>
      </c>
      <c r="BN100" s="192">
        <f t="shared" si="79"/>
        <v>0</v>
      </c>
      <c r="BO100" s="192">
        <f t="shared" si="80"/>
        <v>1</v>
      </c>
      <c r="BP100" s="192">
        <f t="shared" si="81"/>
        <v>1</v>
      </c>
      <c r="BQ100" s="192">
        <f t="shared" si="82"/>
        <v>1</v>
      </c>
      <c r="BR100" s="192">
        <f t="shared" si="83"/>
        <v>1</v>
      </c>
      <c r="BS100" s="192">
        <f t="shared" si="84"/>
        <v>1</v>
      </c>
      <c r="BT100" s="192">
        <f t="shared" si="85"/>
        <v>0</v>
      </c>
      <c r="BU100" s="192">
        <f t="shared" si="85"/>
        <v>0</v>
      </c>
      <c r="BV100" s="192">
        <f t="shared" si="86"/>
        <v>0</v>
      </c>
      <c r="BW100" s="192">
        <f t="shared" si="87"/>
        <v>1</v>
      </c>
      <c r="BX100" s="192">
        <f t="shared" si="88"/>
        <v>1</v>
      </c>
      <c r="BY100" s="192">
        <f t="shared" si="89"/>
        <v>1</v>
      </c>
      <c r="BZ100" s="192">
        <f t="shared" si="90"/>
        <v>1</v>
      </c>
      <c r="CA100" s="192">
        <f t="shared" si="91"/>
        <v>1</v>
      </c>
      <c r="CB100" s="192">
        <f t="shared" si="92"/>
        <v>1</v>
      </c>
      <c r="CS100" s="324" t="b">
        <f t="shared" si="102"/>
        <v>0</v>
      </c>
      <c r="CT100" s="324" t="b">
        <f t="shared" si="93"/>
        <v>0</v>
      </c>
      <c r="CU100" s="324" t="b">
        <f t="shared" si="94"/>
        <v>1</v>
      </c>
      <c r="CV100" s="324" t="b">
        <f t="shared" si="95"/>
        <v>1</v>
      </c>
      <c r="CW100" s="324" t="b">
        <f t="shared" si="96"/>
        <v>1</v>
      </c>
      <c r="CX100" s="324" t="str">
        <f t="shared" si="103"/>
        <v/>
      </c>
    </row>
    <row r="101" spans="2:102" ht="14.25" customHeight="1" x14ac:dyDescent="0.25">
      <c r="B101" s="7" t="str">
        <f t="shared" si="97"/>
        <v/>
      </c>
      <c r="C101" s="7"/>
      <c r="D101" s="7"/>
      <c r="E101" s="7"/>
      <c r="F101" s="497"/>
      <c r="G101" s="6"/>
      <c r="H101" s="6"/>
      <c r="I101" s="6"/>
      <c r="J101" s="6"/>
      <c r="K101" s="6"/>
      <c r="L101" s="6"/>
      <c r="M101" s="6"/>
      <c r="N101" s="6"/>
      <c r="O101" s="6"/>
      <c r="P101" s="6"/>
      <c r="Q101" s="7" t="str">
        <f t="shared" si="98"/>
        <v/>
      </c>
      <c r="R101" s="6"/>
      <c r="S101" s="6"/>
      <c r="T101" s="6"/>
      <c r="U101" s="6"/>
      <c r="V101" s="6"/>
      <c r="W101" s="6"/>
      <c r="X101" s="6"/>
      <c r="Y101" s="6"/>
      <c r="Z101" s="6"/>
      <c r="AA101" s="6"/>
      <c r="AB101" s="7" t="str">
        <f t="shared" si="99"/>
        <v/>
      </c>
      <c r="AC101" s="7" t="str">
        <f t="shared" si="100"/>
        <v/>
      </c>
      <c r="AD101" s="7" t="str">
        <f>IF(G101="","",IF(AND(Z101&gt;='פרמטרים לקריטריונים'!$D$19,AA101&gt;='פרמטרים לקריטריונים'!$C$19),1,0))</f>
        <v/>
      </c>
      <c r="AE101" s="7" t="str" cm="1">
        <f t="array" ref="AE101">IF($F101="","",IF(OR(SUMPRODUCT(--(Z101:AA101&gt;=$Z$5:$AA$5))=COUNTA($Z$29:$AA$29),OR(AND(X101=1,OR(AB101=1,AC101=1)),AND(Y101=1,AD101=1))),1,0))</f>
        <v/>
      </c>
      <c r="AF101" s="6"/>
      <c r="AG101" s="6"/>
      <c r="AH101" s="6"/>
      <c r="AI101" s="6"/>
      <c r="AJ101" s="7" t="str">
        <f t="shared" si="57"/>
        <v/>
      </c>
      <c r="AK101" s="7"/>
      <c r="AL101" s="7"/>
      <c r="AM101" s="7"/>
      <c r="AN101" s="7"/>
      <c r="AO101" s="229" t="str">
        <f t="shared" si="58"/>
        <v/>
      </c>
      <c r="AP101" s="357"/>
      <c r="AQ101" s="193">
        <f t="shared" si="59"/>
        <v>0</v>
      </c>
      <c r="AR101" s="193" t="str">
        <f t="shared" si="56"/>
        <v/>
      </c>
      <c r="AS101" s="193" t="str">
        <f t="shared" si="56"/>
        <v/>
      </c>
      <c r="AT101" s="192">
        <f t="shared" si="101"/>
        <v>0</v>
      </c>
      <c r="AU101" s="192">
        <f t="shared" si="60"/>
        <v>0</v>
      </c>
      <c r="AV101" s="192">
        <f t="shared" si="61"/>
        <v>0</v>
      </c>
      <c r="AW101" s="192">
        <f t="shared" si="62"/>
        <v>0</v>
      </c>
      <c r="AX101" s="192">
        <f t="shared" si="63"/>
        <v>0</v>
      </c>
      <c r="AY101" s="192">
        <f t="shared" si="64"/>
        <v>0</v>
      </c>
      <c r="AZ101" s="192">
        <f t="shared" si="65"/>
        <v>0</v>
      </c>
      <c r="BA101" s="192">
        <f t="shared" si="66"/>
        <v>0</v>
      </c>
      <c r="BB101" s="192">
        <f t="shared" si="67"/>
        <v>0</v>
      </c>
      <c r="BC101" s="192">
        <f t="shared" si="68"/>
        <v>0</v>
      </c>
      <c r="BD101" s="192">
        <f t="shared" si="69"/>
        <v>1</v>
      </c>
      <c r="BE101" s="192">
        <f t="shared" si="70"/>
        <v>0</v>
      </c>
      <c r="BF101" s="192">
        <f t="shared" si="71"/>
        <v>0</v>
      </c>
      <c r="BG101" s="192">
        <f t="shared" si="72"/>
        <v>0</v>
      </c>
      <c r="BH101" s="192">
        <f t="shared" si="73"/>
        <v>0</v>
      </c>
      <c r="BI101" s="192">
        <f t="shared" si="74"/>
        <v>1</v>
      </c>
      <c r="BJ101" s="192">
        <f t="shared" si="75"/>
        <v>1</v>
      </c>
      <c r="BK101" s="192">
        <f t="shared" si="76"/>
        <v>1</v>
      </c>
      <c r="BL101" s="192">
        <f t="shared" si="77"/>
        <v>1</v>
      </c>
      <c r="BM101" s="192">
        <f t="shared" si="78"/>
        <v>0</v>
      </c>
      <c r="BN101" s="192">
        <f t="shared" si="79"/>
        <v>0</v>
      </c>
      <c r="BO101" s="192">
        <f t="shared" si="80"/>
        <v>1</v>
      </c>
      <c r="BP101" s="192">
        <f t="shared" si="81"/>
        <v>1</v>
      </c>
      <c r="BQ101" s="192">
        <f t="shared" si="82"/>
        <v>1</v>
      </c>
      <c r="BR101" s="192">
        <f t="shared" si="83"/>
        <v>1</v>
      </c>
      <c r="BS101" s="192">
        <f t="shared" si="84"/>
        <v>1</v>
      </c>
      <c r="BT101" s="192">
        <f t="shared" si="85"/>
        <v>0</v>
      </c>
      <c r="BU101" s="192">
        <f t="shared" si="85"/>
        <v>0</v>
      </c>
      <c r="BV101" s="192">
        <f t="shared" si="86"/>
        <v>0</v>
      </c>
      <c r="BW101" s="192">
        <f t="shared" si="87"/>
        <v>1</v>
      </c>
      <c r="BX101" s="192">
        <f t="shared" si="88"/>
        <v>1</v>
      </c>
      <c r="BY101" s="192">
        <f t="shared" si="89"/>
        <v>1</v>
      </c>
      <c r="BZ101" s="192">
        <f t="shared" si="90"/>
        <v>1</v>
      </c>
      <c r="CA101" s="192">
        <f t="shared" si="91"/>
        <v>1</v>
      </c>
      <c r="CB101" s="192">
        <f t="shared" si="92"/>
        <v>1</v>
      </c>
      <c r="CS101" s="324" t="b">
        <f t="shared" si="102"/>
        <v>0</v>
      </c>
      <c r="CT101" s="324" t="b">
        <f t="shared" si="93"/>
        <v>0</v>
      </c>
      <c r="CU101" s="324" t="b">
        <f t="shared" si="94"/>
        <v>1</v>
      </c>
      <c r="CV101" s="324" t="b">
        <f t="shared" si="95"/>
        <v>1</v>
      </c>
      <c r="CW101" s="324" t="b">
        <f t="shared" si="96"/>
        <v>1</v>
      </c>
      <c r="CX101" s="324" t="str">
        <f t="shared" si="103"/>
        <v/>
      </c>
    </row>
    <row r="102" spans="2:102" ht="14.25" customHeight="1" x14ac:dyDescent="0.25">
      <c r="B102" s="7" t="str">
        <f t="shared" si="97"/>
        <v/>
      </c>
      <c r="C102" s="7"/>
      <c r="D102" s="7"/>
      <c r="E102" s="7"/>
      <c r="F102" s="497"/>
      <c r="G102" s="6"/>
      <c r="H102" s="6"/>
      <c r="I102" s="6"/>
      <c r="J102" s="6"/>
      <c r="K102" s="6"/>
      <c r="L102" s="6"/>
      <c r="M102" s="6"/>
      <c r="N102" s="6"/>
      <c r="O102" s="6"/>
      <c r="P102" s="6"/>
      <c r="Q102" s="7" t="str">
        <f t="shared" si="98"/>
        <v/>
      </c>
      <c r="R102" s="6"/>
      <c r="S102" s="6"/>
      <c r="T102" s="6"/>
      <c r="U102" s="6"/>
      <c r="V102" s="6"/>
      <c r="W102" s="6"/>
      <c r="X102" s="6"/>
      <c r="Y102" s="6"/>
      <c r="Z102" s="6"/>
      <c r="AA102" s="6"/>
      <c r="AB102" s="7" t="str">
        <f t="shared" si="99"/>
        <v/>
      </c>
      <c r="AC102" s="7" t="str">
        <f t="shared" si="100"/>
        <v/>
      </c>
      <c r="AD102" s="7" t="str">
        <f>IF(G102="","",IF(AND(Z102&gt;='פרמטרים לקריטריונים'!$D$19,AA102&gt;='פרמטרים לקריטריונים'!$C$19),1,0))</f>
        <v/>
      </c>
      <c r="AE102" s="7" t="str" cm="1">
        <f t="array" ref="AE102">IF($F102="","",IF(OR(SUMPRODUCT(--(Z102:AA102&gt;=$Z$5:$AA$5))=COUNTA($Z$29:$AA$29),OR(AND(X102=1,OR(AB102=1,AC102=1)),AND(Y102=1,AD102=1))),1,0))</f>
        <v/>
      </c>
      <c r="AF102" s="6"/>
      <c r="AG102" s="6"/>
      <c r="AH102" s="6"/>
      <c r="AI102" s="6"/>
      <c r="AJ102" s="7" t="str">
        <f t="shared" si="57"/>
        <v/>
      </c>
      <c r="AK102" s="7"/>
      <c r="AL102" s="7"/>
      <c r="AM102" s="7"/>
      <c r="AN102" s="7"/>
      <c r="AO102" s="229" t="str">
        <f t="shared" si="58"/>
        <v/>
      </c>
      <c r="AP102" s="357"/>
      <c r="AQ102" s="193">
        <f t="shared" si="59"/>
        <v>0</v>
      </c>
      <c r="AR102" s="193" t="str">
        <f t="shared" si="56"/>
        <v/>
      </c>
      <c r="AS102" s="193" t="str">
        <f t="shared" si="56"/>
        <v/>
      </c>
      <c r="AT102" s="192">
        <f t="shared" si="101"/>
        <v>0</v>
      </c>
      <c r="AU102" s="192">
        <f t="shared" si="60"/>
        <v>0</v>
      </c>
      <c r="AV102" s="192">
        <f t="shared" si="61"/>
        <v>0</v>
      </c>
      <c r="AW102" s="192">
        <f t="shared" si="62"/>
        <v>0</v>
      </c>
      <c r="AX102" s="192">
        <f t="shared" si="63"/>
        <v>0</v>
      </c>
      <c r="AY102" s="192">
        <f t="shared" si="64"/>
        <v>0</v>
      </c>
      <c r="AZ102" s="192">
        <f t="shared" si="65"/>
        <v>0</v>
      </c>
      <c r="BA102" s="192">
        <f t="shared" si="66"/>
        <v>0</v>
      </c>
      <c r="BB102" s="192">
        <f t="shared" si="67"/>
        <v>0</v>
      </c>
      <c r="BC102" s="192">
        <f t="shared" si="68"/>
        <v>0</v>
      </c>
      <c r="BD102" s="192">
        <f t="shared" si="69"/>
        <v>1</v>
      </c>
      <c r="BE102" s="192">
        <f t="shared" si="70"/>
        <v>0</v>
      </c>
      <c r="BF102" s="192">
        <f t="shared" si="71"/>
        <v>0</v>
      </c>
      <c r="BG102" s="192">
        <f t="shared" si="72"/>
        <v>0</v>
      </c>
      <c r="BH102" s="192">
        <f t="shared" si="73"/>
        <v>0</v>
      </c>
      <c r="BI102" s="192">
        <f t="shared" si="74"/>
        <v>1</v>
      </c>
      <c r="BJ102" s="192">
        <f t="shared" si="75"/>
        <v>1</v>
      </c>
      <c r="BK102" s="192">
        <f t="shared" si="76"/>
        <v>1</v>
      </c>
      <c r="BL102" s="192">
        <f t="shared" si="77"/>
        <v>1</v>
      </c>
      <c r="BM102" s="192">
        <f t="shared" si="78"/>
        <v>0</v>
      </c>
      <c r="BN102" s="192">
        <f t="shared" si="79"/>
        <v>0</v>
      </c>
      <c r="BO102" s="192">
        <f t="shared" si="80"/>
        <v>1</v>
      </c>
      <c r="BP102" s="192">
        <f t="shared" si="81"/>
        <v>1</v>
      </c>
      <c r="BQ102" s="192">
        <f t="shared" si="82"/>
        <v>1</v>
      </c>
      <c r="BR102" s="192">
        <f t="shared" si="83"/>
        <v>1</v>
      </c>
      <c r="BS102" s="192">
        <f t="shared" si="84"/>
        <v>1</v>
      </c>
      <c r="BT102" s="192">
        <f t="shared" si="85"/>
        <v>0</v>
      </c>
      <c r="BU102" s="192">
        <f t="shared" si="85"/>
        <v>0</v>
      </c>
      <c r="BV102" s="192">
        <f t="shared" si="86"/>
        <v>0</v>
      </c>
      <c r="BW102" s="192">
        <f t="shared" si="87"/>
        <v>1</v>
      </c>
      <c r="BX102" s="192">
        <f t="shared" si="88"/>
        <v>1</v>
      </c>
      <c r="BY102" s="192">
        <f t="shared" si="89"/>
        <v>1</v>
      </c>
      <c r="BZ102" s="192">
        <f t="shared" si="90"/>
        <v>1</v>
      </c>
      <c r="CA102" s="192">
        <f t="shared" si="91"/>
        <v>1</v>
      </c>
      <c r="CB102" s="192">
        <f t="shared" si="92"/>
        <v>1</v>
      </c>
      <c r="CS102" s="324" t="b">
        <f t="shared" si="102"/>
        <v>0</v>
      </c>
      <c r="CT102" s="324" t="b">
        <f t="shared" si="93"/>
        <v>0</v>
      </c>
      <c r="CU102" s="324" t="b">
        <f t="shared" si="94"/>
        <v>1</v>
      </c>
      <c r="CV102" s="324" t="b">
        <f t="shared" si="95"/>
        <v>1</v>
      </c>
      <c r="CW102" s="324" t="b">
        <f t="shared" si="96"/>
        <v>1</v>
      </c>
      <c r="CX102" s="324" t="str">
        <f t="shared" si="103"/>
        <v/>
      </c>
    </row>
    <row r="103" spans="2:102" ht="14.25" customHeight="1" x14ac:dyDescent="0.25">
      <c r="B103" s="7" t="str">
        <f t="shared" si="97"/>
        <v/>
      </c>
      <c r="C103" s="7"/>
      <c r="D103" s="7"/>
      <c r="E103" s="7"/>
      <c r="F103" s="497"/>
      <c r="G103" s="6"/>
      <c r="H103" s="6"/>
      <c r="I103" s="6"/>
      <c r="J103" s="6"/>
      <c r="K103" s="6"/>
      <c r="L103" s="6"/>
      <c r="M103" s="6"/>
      <c r="N103" s="6"/>
      <c r="O103" s="6"/>
      <c r="P103" s="6"/>
      <c r="Q103" s="7" t="str">
        <f t="shared" si="98"/>
        <v/>
      </c>
      <c r="R103" s="6"/>
      <c r="S103" s="6"/>
      <c r="T103" s="6"/>
      <c r="U103" s="6"/>
      <c r="V103" s="6"/>
      <c r="W103" s="6"/>
      <c r="X103" s="6"/>
      <c r="Y103" s="6"/>
      <c r="Z103" s="6"/>
      <c r="AA103" s="6"/>
      <c r="AB103" s="7" t="str">
        <f t="shared" si="99"/>
        <v/>
      </c>
      <c r="AC103" s="7" t="str">
        <f t="shared" si="100"/>
        <v/>
      </c>
      <c r="AD103" s="7" t="str">
        <f>IF(G103="","",IF(AND(Z103&gt;='פרמטרים לקריטריונים'!$D$19,AA103&gt;='פרמטרים לקריטריונים'!$C$19),1,0))</f>
        <v/>
      </c>
      <c r="AE103" s="7" t="str" cm="1">
        <f t="array" ref="AE103">IF($F103="","",IF(OR(SUMPRODUCT(--(Z103:AA103&gt;=$Z$5:$AA$5))=COUNTA($Z$29:$AA$29),OR(AND(X103=1,OR(AB103=1,AC103=1)),AND(Y103=1,AD103=1))),1,0))</f>
        <v/>
      </c>
      <c r="AF103" s="6"/>
      <c r="AG103" s="6"/>
      <c r="AH103" s="6"/>
      <c r="AI103" s="6"/>
      <c r="AJ103" s="7" t="str">
        <f t="shared" si="57"/>
        <v/>
      </c>
      <c r="AK103" s="7"/>
      <c r="AL103" s="7"/>
      <c r="AM103" s="7"/>
      <c r="AN103" s="7"/>
      <c r="AO103" s="229" t="str">
        <f t="shared" si="58"/>
        <v/>
      </c>
      <c r="AP103" s="357"/>
      <c r="AQ103" s="193">
        <f t="shared" si="59"/>
        <v>0</v>
      </c>
      <c r="AR103" s="193" t="str">
        <f t="shared" si="56"/>
        <v/>
      </c>
      <c r="AS103" s="193" t="str">
        <f t="shared" si="56"/>
        <v/>
      </c>
      <c r="AT103" s="192">
        <f t="shared" si="101"/>
        <v>0</v>
      </c>
      <c r="AU103" s="192">
        <f t="shared" si="60"/>
        <v>0</v>
      </c>
      <c r="AV103" s="192">
        <f t="shared" si="61"/>
        <v>0</v>
      </c>
      <c r="AW103" s="192">
        <f t="shared" si="62"/>
        <v>0</v>
      </c>
      <c r="AX103" s="192">
        <f t="shared" si="63"/>
        <v>0</v>
      </c>
      <c r="AY103" s="192">
        <f t="shared" si="64"/>
        <v>0</v>
      </c>
      <c r="AZ103" s="192">
        <f t="shared" si="65"/>
        <v>0</v>
      </c>
      <c r="BA103" s="192">
        <f t="shared" si="66"/>
        <v>0</v>
      </c>
      <c r="BB103" s="192">
        <f t="shared" si="67"/>
        <v>0</v>
      </c>
      <c r="BC103" s="192">
        <f t="shared" si="68"/>
        <v>0</v>
      </c>
      <c r="BD103" s="192">
        <f t="shared" si="69"/>
        <v>1</v>
      </c>
      <c r="BE103" s="192">
        <f t="shared" si="70"/>
        <v>0</v>
      </c>
      <c r="BF103" s="192">
        <f t="shared" si="71"/>
        <v>0</v>
      </c>
      <c r="BG103" s="192">
        <f t="shared" si="72"/>
        <v>0</v>
      </c>
      <c r="BH103" s="192">
        <f t="shared" si="73"/>
        <v>0</v>
      </c>
      <c r="BI103" s="192">
        <f t="shared" si="74"/>
        <v>1</v>
      </c>
      <c r="BJ103" s="192">
        <f t="shared" si="75"/>
        <v>1</v>
      </c>
      <c r="BK103" s="192">
        <f t="shared" si="76"/>
        <v>1</v>
      </c>
      <c r="BL103" s="192">
        <f t="shared" si="77"/>
        <v>1</v>
      </c>
      <c r="BM103" s="192">
        <f t="shared" si="78"/>
        <v>0</v>
      </c>
      <c r="BN103" s="192">
        <f t="shared" si="79"/>
        <v>0</v>
      </c>
      <c r="BO103" s="192">
        <f t="shared" si="80"/>
        <v>1</v>
      </c>
      <c r="BP103" s="192">
        <f t="shared" si="81"/>
        <v>1</v>
      </c>
      <c r="BQ103" s="192">
        <f t="shared" si="82"/>
        <v>1</v>
      </c>
      <c r="BR103" s="192">
        <f t="shared" si="83"/>
        <v>1</v>
      </c>
      <c r="BS103" s="192">
        <f t="shared" si="84"/>
        <v>1</v>
      </c>
      <c r="BT103" s="192">
        <f t="shared" si="85"/>
        <v>0</v>
      </c>
      <c r="BU103" s="192">
        <f t="shared" si="85"/>
        <v>0</v>
      </c>
      <c r="BV103" s="192">
        <f t="shared" si="86"/>
        <v>0</v>
      </c>
      <c r="BW103" s="192">
        <f t="shared" si="87"/>
        <v>1</v>
      </c>
      <c r="BX103" s="192">
        <f t="shared" si="88"/>
        <v>1</v>
      </c>
      <c r="BY103" s="192">
        <f t="shared" si="89"/>
        <v>1</v>
      </c>
      <c r="BZ103" s="192">
        <f t="shared" si="90"/>
        <v>1</v>
      </c>
      <c r="CA103" s="192">
        <f t="shared" si="91"/>
        <v>1</v>
      </c>
      <c r="CB103" s="192">
        <f t="shared" si="92"/>
        <v>1</v>
      </c>
      <c r="CS103" s="324" t="b">
        <f t="shared" si="102"/>
        <v>0</v>
      </c>
      <c r="CT103" s="324" t="b">
        <f t="shared" si="93"/>
        <v>0</v>
      </c>
      <c r="CU103" s="324" t="b">
        <f t="shared" si="94"/>
        <v>1</v>
      </c>
      <c r="CV103" s="324" t="b">
        <f t="shared" si="95"/>
        <v>1</v>
      </c>
      <c r="CW103" s="324" t="b">
        <f t="shared" si="96"/>
        <v>1</v>
      </c>
      <c r="CX103" s="324" t="str">
        <f t="shared" si="103"/>
        <v/>
      </c>
    </row>
    <row r="104" spans="2:102" ht="14.25" customHeight="1" x14ac:dyDescent="0.25">
      <c r="B104" s="7" t="str">
        <f t="shared" si="97"/>
        <v/>
      </c>
      <c r="C104" s="7"/>
      <c r="D104" s="7"/>
      <c r="E104" s="7"/>
      <c r="F104" s="496"/>
      <c r="G104" s="6"/>
      <c r="H104" s="6"/>
      <c r="I104" s="6"/>
      <c r="J104" s="6"/>
      <c r="K104" s="6"/>
      <c r="L104" s="6"/>
      <c r="M104" s="6"/>
      <c r="N104" s="6"/>
      <c r="O104" s="6"/>
      <c r="P104" s="6"/>
      <c r="Q104" s="7" t="str">
        <f t="shared" si="98"/>
        <v/>
      </c>
      <c r="R104" s="6"/>
      <c r="S104" s="6"/>
      <c r="T104" s="6"/>
      <c r="U104" s="6"/>
      <c r="V104" s="6"/>
      <c r="W104" s="6"/>
      <c r="X104" s="6"/>
      <c r="Y104" s="6"/>
      <c r="Z104" s="6"/>
      <c r="AA104" s="6"/>
      <c r="AB104" s="7" t="str">
        <f t="shared" si="99"/>
        <v/>
      </c>
      <c r="AC104" s="7" t="str">
        <f t="shared" si="100"/>
        <v/>
      </c>
      <c r="AD104" s="7" t="str">
        <f>IF(G104="","",IF(AND(Z104&gt;='פרמטרים לקריטריונים'!$D$19,AA104&gt;='פרמטרים לקריטריונים'!$C$19),1,0))</f>
        <v/>
      </c>
      <c r="AE104" s="7" t="str" cm="1">
        <f t="array" ref="AE104">IF($F104="","",IF(OR(SUMPRODUCT(--(Z104:AA104&gt;=$Z$5:$AA$5))=COUNTA($Z$29:$AA$29),OR(AND(X104=1,OR(AB104=1,AC104=1)),AND(Y104=1,AD104=1))),1,0))</f>
        <v/>
      </c>
      <c r="AF104" s="6"/>
      <c r="AG104" s="6"/>
      <c r="AH104" s="6"/>
      <c r="AI104" s="6"/>
      <c r="AJ104" s="7" t="str">
        <f t="shared" si="57"/>
        <v/>
      </c>
      <c r="AK104" s="7"/>
      <c r="AL104" s="7"/>
      <c r="AM104" s="7"/>
      <c r="AN104" s="7"/>
      <c r="AO104" s="229" t="str">
        <f t="shared" si="58"/>
        <v/>
      </c>
      <c r="AP104" s="357"/>
      <c r="AQ104" s="193">
        <f t="shared" si="59"/>
        <v>0</v>
      </c>
      <c r="AR104" s="193" t="str">
        <f t="shared" si="56"/>
        <v/>
      </c>
      <c r="AS104" s="193" t="str">
        <f t="shared" si="56"/>
        <v/>
      </c>
      <c r="AT104" s="192">
        <f t="shared" si="101"/>
        <v>0</v>
      </c>
      <c r="AU104" s="192">
        <f t="shared" si="60"/>
        <v>0</v>
      </c>
      <c r="AV104" s="192">
        <f t="shared" si="61"/>
        <v>0</v>
      </c>
      <c r="AW104" s="192">
        <f t="shared" si="62"/>
        <v>0</v>
      </c>
      <c r="AX104" s="192">
        <f t="shared" si="63"/>
        <v>0</v>
      </c>
      <c r="AY104" s="192">
        <f t="shared" si="64"/>
        <v>0</v>
      </c>
      <c r="AZ104" s="192">
        <f t="shared" si="65"/>
        <v>0</v>
      </c>
      <c r="BA104" s="192">
        <f t="shared" si="66"/>
        <v>0</v>
      </c>
      <c r="BB104" s="192">
        <f t="shared" si="67"/>
        <v>0</v>
      </c>
      <c r="BC104" s="192">
        <f t="shared" si="68"/>
        <v>0</v>
      </c>
      <c r="BD104" s="192">
        <f t="shared" si="69"/>
        <v>1</v>
      </c>
      <c r="BE104" s="192">
        <f t="shared" si="70"/>
        <v>0</v>
      </c>
      <c r="BF104" s="192">
        <f t="shared" si="71"/>
        <v>0</v>
      </c>
      <c r="BG104" s="192">
        <f t="shared" si="72"/>
        <v>0</v>
      </c>
      <c r="BH104" s="192">
        <f t="shared" si="73"/>
        <v>0</v>
      </c>
      <c r="BI104" s="192">
        <f t="shared" si="74"/>
        <v>1</v>
      </c>
      <c r="BJ104" s="192">
        <f t="shared" si="75"/>
        <v>1</v>
      </c>
      <c r="BK104" s="192">
        <f t="shared" si="76"/>
        <v>1</v>
      </c>
      <c r="BL104" s="192">
        <f t="shared" si="77"/>
        <v>1</v>
      </c>
      <c r="BM104" s="192">
        <f t="shared" si="78"/>
        <v>0</v>
      </c>
      <c r="BN104" s="192">
        <f t="shared" si="79"/>
        <v>0</v>
      </c>
      <c r="BO104" s="192">
        <f t="shared" si="80"/>
        <v>1</v>
      </c>
      <c r="BP104" s="192">
        <f t="shared" si="81"/>
        <v>1</v>
      </c>
      <c r="BQ104" s="192">
        <f t="shared" si="82"/>
        <v>1</v>
      </c>
      <c r="BR104" s="192">
        <f t="shared" si="83"/>
        <v>1</v>
      </c>
      <c r="BS104" s="192">
        <f t="shared" si="84"/>
        <v>1</v>
      </c>
      <c r="BT104" s="192">
        <f t="shared" si="85"/>
        <v>0</v>
      </c>
      <c r="BU104" s="192">
        <f t="shared" si="85"/>
        <v>0</v>
      </c>
      <c r="BV104" s="192">
        <f t="shared" si="86"/>
        <v>0</v>
      </c>
      <c r="BW104" s="192">
        <f t="shared" si="87"/>
        <v>1</v>
      </c>
      <c r="BX104" s="192">
        <f t="shared" si="88"/>
        <v>1</v>
      </c>
      <c r="BY104" s="192">
        <f t="shared" si="89"/>
        <v>1</v>
      </c>
      <c r="BZ104" s="192">
        <f t="shared" si="90"/>
        <v>1</v>
      </c>
      <c r="CA104" s="192">
        <f t="shared" si="91"/>
        <v>1</v>
      </c>
      <c r="CB104" s="192">
        <f t="shared" si="92"/>
        <v>1</v>
      </c>
      <c r="CS104" s="324" t="b">
        <f t="shared" si="102"/>
        <v>0</v>
      </c>
      <c r="CT104" s="324" t="b">
        <f t="shared" si="93"/>
        <v>0</v>
      </c>
      <c r="CU104" s="324" t="b">
        <f t="shared" si="94"/>
        <v>1</v>
      </c>
      <c r="CV104" s="324" t="b">
        <f t="shared" si="95"/>
        <v>1</v>
      </c>
      <c r="CW104" s="324" t="b">
        <f t="shared" si="96"/>
        <v>1</v>
      </c>
      <c r="CX104" s="324" t="str">
        <f t="shared" si="103"/>
        <v/>
      </c>
    </row>
    <row r="105" spans="2:102" ht="46.5" customHeight="1" x14ac:dyDescent="0.25">
      <c r="B105" s="7">
        <f t="shared" si="97"/>
        <v>75</v>
      </c>
      <c r="C105" s="7"/>
      <c r="D105" s="7"/>
      <c r="E105" s="7"/>
      <c r="F105" s="496" t="s">
        <v>1078</v>
      </c>
      <c r="G105" s="6">
        <v>1</v>
      </c>
      <c r="H105" s="6">
        <v>1</v>
      </c>
      <c r="I105" s="6">
        <v>1</v>
      </c>
      <c r="J105" s="6">
        <v>1</v>
      </c>
      <c r="K105" s="6">
        <v>1</v>
      </c>
      <c r="L105" s="6">
        <v>1</v>
      </c>
      <c r="M105" s="6">
        <v>1</v>
      </c>
      <c r="N105" s="6">
        <v>1</v>
      </c>
      <c r="O105" s="6">
        <v>21</v>
      </c>
      <c r="P105" s="6">
        <v>21</v>
      </c>
      <c r="Q105" s="7">
        <f t="shared" si="98"/>
        <v>1</v>
      </c>
      <c r="R105" s="6">
        <v>1</v>
      </c>
      <c r="S105" s="6">
        <v>1</v>
      </c>
      <c r="T105" s="6">
        <v>1</v>
      </c>
      <c r="U105" s="6">
        <v>1</v>
      </c>
      <c r="V105" s="6"/>
      <c r="W105" s="6"/>
      <c r="X105" s="6"/>
      <c r="Y105" s="6">
        <v>1</v>
      </c>
      <c r="Z105" s="6">
        <v>20</v>
      </c>
      <c r="AA105" s="6">
        <v>68976</v>
      </c>
      <c r="AB105" s="7">
        <f t="shared" si="99"/>
        <v>1</v>
      </c>
      <c r="AC105" s="7">
        <f t="shared" si="100"/>
        <v>1</v>
      </c>
      <c r="AD105" s="7">
        <f>IF(G105="","",IF(AND(Z105&gt;='פרמטרים לקריטריונים'!$D$19,AA105&gt;='פרמטרים לקריטריונים'!$C$19),1,0))</f>
        <v>1</v>
      </c>
      <c r="AE105" s="7" cm="1">
        <f t="array" ref="AE105">IF($F105="","",IF(OR(SUMPRODUCT(--(Z105:AA105&gt;=$Z$5:$AA$5))=COUNTA($Z$29:$AA$29),OR(AND(X105=1,OR(AB105=1,AC105=1)),AND(Y105=1,AD105=1))),1,0))</f>
        <v>1</v>
      </c>
      <c r="AF105" s="6"/>
      <c r="AG105" s="6">
        <v>1</v>
      </c>
      <c r="AH105" s="6">
        <v>1</v>
      </c>
      <c r="AI105" s="6">
        <v>1</v>
      </c>
      <c r="AJ105" s="7">
        <f t="shared" si="57"/>
        <v>1</v>
      </c>
      <c r="AK105" s="7"/>
      <c r="AL105" s="7"/>
      <c r="AM105" s="7"/>
      <c r="AN105" s="7"/>
      <c r="AO105" s="229">
        <f t="shared" si="58"/>
        <v>1</v>
      </c>
      <c r="AP105" s="357" t="s">
        <v>166</v>
      </c>
      <c r="AQ105" s="193">
        <f t="shared" si="59"/>
        <v>1</v>
      </c>
      <c r="AR105" s="193">
        <f t="shared" si="56"/>
        <v>0</v>
      </c>
      <c r="AS105" s="193">
        <f t="shared" si="56"/>
        <v>1</v>
      </c>
      <c r="AT105" s="192">
        <f t="shared" si="101"/>
        <v>1</v>
      </c>
      <c r="AU105" s="192">
        <f t="shared" si="60"/>
        <v>1</v>
      </c>
      <c r="AV105" s="192">
        <f t="shared" si="61"/>
        <v>1</v>
      </c>
      <c r="AW105" s="192">
        <f t="shared" si="62"/>
        <v>1</v>
      </c>
      <c r="AX105" s="192">
        <f t="shared" si="63"/>
        <v>1</v>
      </c>
      <c r="AY105" s="192">
        <f t="shared" si="64"/>
        <v>1</v>
      </c>
      <c r="AZ105" s="192">
        <f t="shared" si="65"/>
        <v>1</v>
      </c>
      <c r="BA105" s="192">
        <f t="shared" si="66"/>
        <v>1</v>
      </c>
      <c r="BB105" s="192">
        <f t="shared" si="67"/>
        <v>1</v>
      </c>
      <c r="BC105" s="192">
        <f t="shared" si="68"/>
        <v>1</v>
      </c>
      <c r="BD105" s="192">
        <f t="shared" si="69"/>
        <v>1</v>
      </c>
      <c r="BE105" s="192">
        <f t="shared" si="70"/>
        <v>1</v>
      </c>
      <c r="BF105" s="192">
        <f t="shared" si="71"/>
        <v>1</v>
      </c>
      <c r="BG105" s="192">
        <f t="shared" si="72"/>
        <v>1</v>
      </c>
      <c r="BH105" s="192">
        <f t="shared" si="73"/>
        <v>1</v>
      </c>
      <c r="BI105" s="192">
        <f t="shared" si="74"/>
        <v>1</v>
      </c>
      <c r="BJ105" s="192">
        <f t="shared" si="75"/>
        <v>1</v>
      </c>
      <c r="BK105" s="192">
        <f t="shared" si="76"/>
        <v>1</v>
      </c>
      <c r="BL105" s="192">
        <f t="shared" si="77"/>
        <v>1</v>
      </c>
      <c r="BM105" s="192">
        <f t="shared" si="78"/>
        <v>1</v>
      </c>
      <c r="BN105" s="192">
        <f t="shared" si="79"/>
        <v>1</v>
      </c>
      <c r="BO105" s="192">
        <f t="shared" si="80"/>
        <v>1</v>
      </c>
      <c r="BP105" s="192">
        <f t="shared" si="81"/>
        <v>1</v>
      </c>
      <c r="BQ105" s="192">
        <f t="shared" si="82"/>
        <v>1</v>
      </c>
      <c r="BR105" s="192">
        <f t="shared" si="83"/>
        <v>1</v>
      </c>
      <c r="BS105" s="192">
        <f t="shared" si="84"/>
        <v>1</v>
      </c>
      <c r="BT105" s="192">
        <f t="shared" si="85"/>
        <v>1</v>
      </c>
      <c r="BU105" s="192">
        <f t="shared" si="85"/>
        <v>1</v>
      </c>
      <c r="BV105" s="192">
        <f t="shared" si="86"/>
        <v>1</v>
      </c>
      <c r="BW105" s="192">
        <f t="shared" si="87"/>
        <v>1</v>
      </c>
      <c r="BX105" s="192">
        <f t="shared" si="88"/>
        <v>1</v>
      </c>
      <c r="BY105" s="192">
        <f t="shared" si="89"/>
        <v>1</v>
      </c>
      <c r="BZ105" s="192">
        <f t="shared" si="90"/>
        <v>1</v>
      </c>
      <c r="CA105" s="192">
        <f t="shared" si="91"/>
        <v>1</v>
      </c>
      <c r="CB105" s="192">
        <f t="shared" si="92"/>
        <v>1</v>
      </c>
      <c r="CS105" s="324" t="b">
        <f t="shared" si="102"/>
        <v>1</v>
      </c>
      <c r="CT105" s="324" t="b">
        <f t="shared" si="93"/>
        <v>1</v>
      </c>
      <c r="CU105" s="324" t="b">
        <f t="shared" si="94"/>
        <v>1</v>
      </c>
      <c r="CV105" s="324" t="b">
        <f t="shared" si="95"/>
        <v>1</v>
      </c>
      <c r="CW105" s="324" t="b">
        <f t="shared" si="96"/>
        <v>1</v>
      </c>
      <c r="CX105" s="324">
        <f t="shared" si="103"/>
        <v>1</v>
      </c>
    </row>
    <row r="106" spans="2:102" ht="48" customHeight="1" x14ac:dyDescent="0.25">
      <c r="B106" s="7">
        <f t="shared" si="97"/>
        <v>76</v>
      </c>
      <c r="C106" s="7"/>
      <c r="D106" s="7"/>
      <c r="E106" s="7"/>
      <c r="F106" s="496" t="s">
        <v>1079</v>
      </c>
      <c r="G106" s="6">
        <v>1</v>
      </c>
      <c r="H106" s="6">
        <v>1</v>
      </c>
      <c r="I106" s="6">
        <v>1</v>
      </c>
      <c r="J106" s="6">
        <v>1</v>
      </c>
      <c r="K106" s="6">
        <v>1</v>
      </c>
      <c r="L106" s="6">
        <v>1</v>
      </c>
      <c r="M106" s="6">
        <v>1</v>
      </c>
      <c r="N106" s="6">
        <v>1</v>
      </c>
      <c r="O106" s="6">
        <v>5</v>
      </c>
      <c r="P106" s="6">
        <v>5</v>
      </c>
      <c r="Q106" s="7">
        <f t="shared" si="98"/>
        <v>1</v>
      </c>
      <c r="R106" s="6">
        <v>1</v>
      </c>
      <c r="S106" s="6">
        <v>1</v>
      </c>
      <c r="T106" s="6">
        <v>1</v>
      </c>
      <c r="U106" s="6">
        <v>1</v>
      </c>
      <c r="V106" s="6"/>
      <c r="W106" s="6"/>
      <c r="X106" s="6"/>
      <c r="Y106" s="6">
        <v>1</v>
      </c>
      <c r="Z106" s="6">
        <v>10</v>
      </c>
      <c r="AA106" s="6">
        <v>92479</v>
      </c>
      <c r="AB106" s="7">
        <f t="shared" si="99"/>
        <v>1</v>
      </c>
      <c r="AC106" s="7">
        <f t="shared" si="100"/>
        <v>1</v>
      </c>
      <c r="AD106" s="7">
        <f>IF(G106="","",IF(AND(Z106&gt;='פרמטרים לקריטריונים'!$D$19,AA106&gt;='פרמטרים לקריטריונים'!$C$19),1,0))</f>
        <v>1</v>
      </c>
      <c r="AE106" s="7" cm="1">
        <f t="array" ref="AE106">IF($F106="","",IF(OR(SUMPRODUCT(--(Z106:AA106&gt;=$Z$5:$AA$5))=COUNTA($Z$29:$AA$29),OR(AND(X106=1,OR(AB106=1,AC106=1)),AND(Y106=1,AD106=1))),1,0))</f>
        <v>1</v>
      </c>
      <c r="AF106" s="6"/>
      <c r="AG106" s="6">
        <v>1</v>
      </c>
      <c r="AH106" s="6">
        <v>1</v>
      </c>
      <c r="AI106" s="6">
        <v>1</v>
      </c>
      <c r="AJ106" s="7">
        <f t="shared" si="57"/>
        <v>1</v>
      </c>
      <c r="AK106" s="7"/>
      <c r="AL106" s="7"/>
      <c r="AM106" s="7"/>
      <c r="AN106" s="7"/>
      <c r="AO106" s="229">
        <f t="shared" si="58"/>
        <v>1</v>
      </c>
      <c r="AP106" s="357" t="s">
        <v>166</v>
      </c>
      <c r="AQ106" s="193">
        <f t="shared" si="59"/>
        <v>1</v>
      </c>
      <c r="AR106" s="193">
        <f t="shared" si="56"/>
        <v>0</v>
      </c>
      <c r="AS106" s="193">
        <f t="shared" si="56"/>
        <v>1</v>
      </c>
      <c r="AT106" s="192">
        <f t="shared" si="101"/>
        <v>1</v>
      </c>
      <c r="AU106" s="192">
        <f t="shared" si="60"/>
        <v>1</v>
      </c>
      <c r="AV106" s="192">
        <f t="shared" si="61"/>
        <v>1</v>
      </c>
      <c r="AW106" s="192">
        <f t="shared" si="62"/>
        <v>1</v>
      </c>
      <c r="AX106" s="192">
        <f t="shared" si="63"/>
        <v>1</v>
      </c>
      <c r="AY106" s="192">
        <f t="shared" si="64"/>
        <v>1</v>
      </c>
      <c r="AZ106" s="192">
        <f t="shared" si="65"/>
        <v>1</v>
      </c>
      <c r="BA106" s="192">
        <f t="shared" si="66"/>
        <v>1</v>
      </c>
      <c r="BB106" s="192">
        <f t="shared" si="67"/>
        <v>1</v>
      </c>
      <c r="BC106" s="192">
        <f t="shared" si="68"/>
        <v>1</v>
      </c>
      <c r="BD106" s="192">
        <f t="shared" si="69"/>
        <v>1</v>
      </c>
      <c r="BE106" s="192">
        <f t="shared" si="70"/>
        <v>1</v>
      </c>
      <c r="BF106" s="192">
        <f t="shared" si="71"/>
        <v>1</v>
      </c>
      <c r="BG106" s="192">
        <f t="shared" si="72"/>
        <v>1</v>
      </c>
      <c r="BH106" s="192">
        <f t="shared" si="73"/>
        <v>1</v>
      </c>
      <c r="BI106" s="192">
        <f t="shared" si="74"/>
        <v>1</v>
      </c>
      <c r="BJ106" s="192">
        <f t="shared" si="75"/>
        <v>1</v>
      </c>
      <c r="BK106" s="192">
        <f t="shared" si="76"/>
        <v>1</v>
      </c>
      <c r="BL106" s="192">
        <f t="shared" si="77"/>
        <v>1</v>
      </c>
      <c r="BM106" s="192">
        <f t="shared" si="78"/>
        <v>1</v>
      </c>
      <c r="BN106" s="192">
        <f t="shared" si="79"/>
        <v>1</v>
      </c>
      <c r="BO106" s="192">
        <f t="shared" si="80"/>
        <v>1</v>
      </c>
      <c r="BP106" s="192">
        <f t="shared" si="81"/>
        <v>1</v>
      </c>
      <c r="BQ106" s="192">
        <f t="shared" si="82"/>
        <v>1</v>
      </c>
      <c r="BR106" s="192">
        <f t="shared" si="83"/>
        <v>1</v>
      </c>
      <c r="BS106" s="192">
        <f t="shared" si="84"/>
        <v>1</v>
      </c>
      <c r="BT106" s="192">
        <f t="shared" si="85"/>
        <v>1</v>
      </c>
      <c r="BU106" s="192">
        <f t="shared" si="85"/>
        <v>1</v>
      </c>
      <c r="BV106" s="192">
        <f t="shared" si="86"/>
        <v>1</v>
      </c>
      <c r="BW106" s="192">
        <f t="shared" si="87"/>
        <v>1</v>
      </c>
      <c r="BX106" s="192">
        <f t="shared" si="88"/>
        <v>1</v>
      </c>
      <c r="BY106" s="192">
        <f t="shared" si="89"/>
        <v>1</v>
      </c>
      <c r="BZ106" s="192">
        <f t="shared" si="90"/>
        <v>1</v>
      </c>
      <c r="CA106" s="192">
        <f t="shared" si="91"/>
        <v>1</v>
      </c>
      <c r="CB106" s="192">
        <f t="shared" si="92"/>
        <v>1</v>
      </c>
      <c r="CS106" s="324" t="b">
        <f t="shared" si="102"/>
        <v>1</v>
      </c>
      <c r="CT106" s="324" t="b">
        <f t="shared" si="93"/>
        <v>1</v>
      </c>
      <c r="CU106" s="324" t="b">
        <f t="shared" si="94"/>
        <v>1</v>
      </c>
      <c r="CV106" s="324" t="b">
        <f t="shared" si="95"/>
        <v>1</v>
      </c>
      <c r="CW106" s="324" t="b">
        <f t="shared" si="96"/>
        <v>1</v>
      </c>
      <c r="CX106" s="324">
        <f t="shared" si="103"/>
        <v>1</v>
      </c>
    </row>
    <row r="107" spans="2:102" ht="63" customHeight="1" x14ac:dyDescent="0.25">
      <c r="B107" s="7">
        <f t="shared" si="97"/>
        <v>77</v>
      </c>
      <c r="C107" s="7"/>
      <c r="D107" s="7"/>
      <c r="E107" s="7"/>
      <c r="F107" s="496" t="s">
        <v>1081</v>
      </c>
      <c r="G107" s="6">
        <v>1</v>
      </c>
      <c r="H107" s="6">
        <v>1</v>
      </c>
      <c r="I107" s="6">
        <v>1</v>
      </c>
      <c r="J107" s="6">
        <v>1</v>
      </c>
      <c r="K107" s="6">
        <v>1</v>
      </c>
      <c r="L107" s="6">
        <v>1</v>
      </c>
      <c r="M107" s="6">
        <v>1</v>
      </c>
      <c r="N107" s="6">
        <v>1</v>
      </c>
      <c r="O107" s="6">
        <v>25</v>
      </c>
      <c r="P107" s="6">
        <v>25</v>
      </c>
      <c r="Q107" s="7">
        <f t="shared" si="98"/>
        <v>1</v>
      </c>
      <c r="R107" s="6">
        <v>1</v>
      </c>
      <c r="S107" s="6">
        <v>1</v>
      </c>
      <c r="T107" s="6">
        <v>1</v>
      </c>
      <c r="U107" s="6">
        <v>1</v>
      </c>
      <c r="V107" s="6"/>
      <c r="W107" s="6"/>
      <c r="X107" s="6">
        <v>1</v>
      </c>
      <c r="Y107" s="6"/>
      <c r="Z107" s="6">
        <v>7</v>
      </c>
      <c r="AA107" s="6">
        <v>154302</v>
      </c>
      <c r="AB107" s="7">
        <f t="shared" si="99"/>
        <v>1</v>
      </c>
      <c r="AC107" s="7">
        <f t="shared" si="100"/>
        <v>1</v>
      </c>
      <c r="AD107" s="7">
        <f>IF(G107="","",IF(AND(Z107&gt;='פרמטרים לקריטריונים'!$D$19,AA107&gt;='פרמטרים לקריטריונים'!$C$19),1,0))</f>
        <v>1</v>
      </c>
      <c r="AE107" s="7" cm="1">
        <f t="array" ref="AE107">IF($F107="","",IF(OR(SUMPRODUCT(--(Z107:AA107&gt;=$Z$5:$AA$5))=COUNTA($Z$29:$AA$29),OR(AND(X107=1,OR(AB107=1,AC107=1)),AND(Y107=1,AD107=1))),1,0))</f>
        <v>1</v>
      </c>
      <c r="AF107" s="6"/>
      <c r="AG107" s="6">
        <v>1</v>
      </c>
      <c r="AH107" s="6">
        <v>1</v>
      </c>
      <c r="AI107" s="6">
        <v>1</v>
      </c>
      <c r="AJ107" s="7">
        <f t="shared" si="57"/>
        <v>1</v>
      </c>
      <c r="AK107" s="7"/>
      <c r="AL107" s="7"/>
      <c r="AM107" s="7"/>
      <c r="AN107" s="7"/>
      <c r="AO107" s="229">
        <f t="shared" si="58"/>
        <v>1</v>
      </c>
      <c r="AP107" s="357" t="s">
        <v>1084</v>
      </c>
      <c r="AQ107" s="193">
        <f t="shared" si="59"/>
        <v>1</v>
      </c>
      <c r="AR107" s="193">
        <f t="shared" si="56"/>
        <v>0</v>
      </c>
      <c r="AS107" s="193">
        <f t="shared" si="56"/>
        <v>1</v>
      </c>
      <c r="AT107" s="192">
        <f t="shared" si="101"/>
        <v>1</v>
      </c>
      <c r="AU107" s="192">
        <f t="shared" si="60"/>
        <v>1</v>
      </c>
      <c r="AV107" s="192">
        <f t="shared" si="61"/>
        <v>1</v>
      </c>
      <c r="AW107" s="192">
        <f t="shared" si="62"/>
        <v>1</v>
      </c>
      <c r="AX107" s="192">
        <f t="shared" si="63"/>
        <v>1</v>
      </c>
      <c r="AY107" s="192">
        <f t="shared" si="64"/>
        <v>1</v>
      </c>
      <c r="AZ107" s="192">
        <f t="shared" si="65"/>
        <v>1</v>
      </c>
      <c r="BA107" s="192">
        <f t="shared" si="66"/>
        <v>1</v>
      </c>
      <c r="BB107" s="192">
        <f t="shared" si="67"/>
        <v>1</v>
      </c>
      <c r="BC107" s="192">
        <f t="shared" si="68"/>
        <v>1</v>
      </c>
      <c r="BD107" s="192">
        <f t="shared" si="69"/>
        <v>1</v>
      </c>
      <c r="BE107" s="192">
        <f t="shared" si="70"/>
        <v>1</v>
      </c>
      <c r="BF107" s="192">
        <f t="shared" si="71"/>
        <v>1</v>
      </c>
      <c r="BG107" s="192">
        <f t="shared" si="72"/>
        <v>1</v>
      </c>
      <c r="BH107" s="192">
        <f t="shared" si="73"/>
        <v>1</v>
      </c>
      <c r="BI107" s="192">
        <f t="shared" si="74"/>
        <v>1</v>
      </c>
      <c r="BJ107" s="192">
        <f t="shared" si="75"/>
        <v>1</v>
      </c>
      <c r="BK107" s="192">
        <f t="shared" si="76"/>
        <v>1</v>
      </c>
      <c r="BL107" s="192">
        <f t="shared" si="77"/>
        <v>1</v>
      </c>
      <c r="BM107" s="192">
        <f t="shared" si="78"/>
        <v>1</v>
      </c>
      <c r="BN107" s="192">
        <f t="shared" si="79"/>
        <v>1</v>
      </c>
      <c r="BO107" s="192">
        <f t="shared" si="80"/>
        <v>1</v>
      </c>
      <c r="BP107" s="192">
        <f t="shared" si="81"/>
        <v>1</v>
      </c>
      <c r="BQ107" s="192">
        <f t="shared" si="82"/>
        <v>1</v>
      </c>
      <c r="BR107" s="192">
        <f t="shared" si="83"/>
        <v>1</v>
      </c>
      <c r="BS107" s="192">
        <f t="shared" si="84"/>
        <v>1</v>
      </c>
      <c r="BT107" s="192">
        <f t="shared" si="85"/>
        <v>1</v>
      </c>
      <c r="BU107" s="192">
        <f t="shared" si="85"/>
        <v>1</v>
      </c>
      <c r="BV107" s="192">
        <f t="shared" si="86"/>
        <v>1</v>
      </c>
      <c r="BW107" s="192">
        <f t="shared" si="87"/>
        <v>1</v>
      </c>
      <c r="BX107" s="192">
        <f t="shared" si="88"/>
        <v>1</v>
      </c>
      <c r="BY107" s="192">
        <f t="shared" si="89"/>
        <v>1</v>
      </c>
      <c r="BZ107" s="192">
        <f t="shared" si="90"/>
        <v>1</v>
      </c>
      <c r="CA107" s="192">
        <f t="shared" si="91"/>
        <v>1</v>
      </c>
      <c r="CB107" s="192">
        <f t="shared" si="92"/>
        <v>1</v>
      </c>
      <c r="CS107" s="324" t="b">
        <f t="shared" si="102"/>
        <v>1</v>
      </c>
      <c r="CT107" s="324" t="b">
        <f t="shared" si="93"/>
        <v>1</v>
      </c>
      <c r="CU107" s="324" t="b">
        <f t="shared" si="94"/>
        <v>1</v>
      </c>
      <c r="CV107" s="324" t="b">
        <f t="shared" si="95"/>
        <v>1</v>
      </c>
      <c r="CW107" s="324" t="b">
        <f t="shared" si="96"/>
        <v>1</v>
      </c>
      <c r="CX107" s="324">
        <f t="shared" si="103"/>
        <v>1</v>
      </c>
    </row>
    <row r="108" spans="2:102" x14ac:dyDescent="0.25">
      <c r="B108" s="7" t="str">
        <f t="shared" si="97"/>
        <v/>
      </c>
      <c r="C108" s="7"/>
      <c r="D108" s="7"/>
      <c r="E108" s="7"/>
      <c r="F108" s="316"/>
      <c r="G108" s="6"/>
      <c r="H108" s="6"/>
      <c r="I108" s="6"/>
      <c r="J108" s="6"/>
      <c r="K108" s="6"/>
      <c r="L108" s="6"/>
      <c r="M108" s="6"/>
      <c r="N108" s="6"/>
      <c r="O108" s="6"/>
      <c r="P108" s="6"/>
      <c r="Q108" s="7" t="str">
        <f t="shared" si="98"/>
        <v/>
      </c>
      <c r="R108" s="6"/>
      <c r="S108" s="6"/>
      <c r="T108" s="6"/>
      <c r="U108" s="6"/>
      <c r="V108" s="6"/>
      <c r="W108" s="6"/>
      <c r="X108" s="6"/>
      <c r="Y108" s="6"/>
      <c r="Z108" s="6"/>
      <c r="AA108" s="6"/>
      <c r="AB108" s="7" t="str">
        <f t="shared" si="99"/>
        <v/>
      </c>
      <c r="AC108" s="7" t="str">
        <f t="shared" si="100"/>
        <v/>
      </c>
      <c r="AD108" s="7" t="str">
        <f>IF(G108="","",IF(AND(Z108&gt;='פרמטרים לקריטריונים'!$D$19,AA108&gt;='פרמטרים לקריטריונים'!$C$19),1,0))</f>
        <v/>
      </c>
      <c r="AE108" s="7" t="str" cm="1">
        <f t="array" ref="AE108">IF($F108="","",IF(OR(SUMPRODUCT(--(Z108:AA108&gt;=$Z$5:$AA$5))=COUNTA($Z$29:$AA$29),OR(AND(X108=1,OR(AB108=1,AC108=1)),AND(Y108=1,AD108=1))),1,0))</f>
        <v/>
      </c>
      <c r="AF108" s="6"/>
      <c r="AG108" s="6"/>
      <c r="AH108" s="6"/>
      <c r="AI108" s="6"/>
      <c r="AJ108" s="7" t="str">
        <f t="shared" si="57"/>
        <v/>
      </c>
      <c r="AK108" s="7"/>
      <c r="AL108" s="7"/>
      <c r="AM108" s="7"/>
      <c r="AN108" s="7"/>
      <c r="AO108" s="229" t="str">
        <f t="shared" si="58"/>
        <v/>
      </c>
      <c r="AP108" s="357"/>
      <c r="AQ108" s="193">
        <f t="shared" si="59"/>
        <v>0</v>
      </c>
      <c r="AR108" s="193" t="str">
        <f t="shared" si="56"/>
        <v/>
      </c>
      <c r="AS108" s="193" t="str">
        <f t="shared" si="56"/>
        <v/>
      </c>
      <c r="AT108" s="192">
        <f t="shared" si="101"/>
        <v>0</v>
      </c>
      <c r="AU108" s="192">
        <f t="shared" si="60"/>
        <v>0</v>
      </c>
      <c r="AV108" s="192">
        <f t="shared" si="61"/>
        <v>0</v>
      </c>
      <c r="AW108" s="192">
        <f t="shared" si="62"/>
        <v>0</v>
      </c>
      <c r="AX108" s="192">
        <f t="shared" si="63"/>
        <v>0</v>
      </c>
      <c r="AY108" s="192">
        <f t="shared" si="64"/>
        <v>0</v>
      </c>
      <c r="AZ108" s="192">
        <f t="shared" si="65"/>
        <v>0</v>
      </c>
      <c r="BA108" s="192">
        <f t="shared" si="66"/>
        <v>0</v>
      </c>
      <c r="BB108" s="192">
        <f t="shared" si="67"/>
        <v>0</v>
      </c>
      <c r="BC108" s="192">
        <f t="shared" si="68"/>
        <v>0</v>
      </c>
      <c r="BD108" s="192">
        <f t="shared" si="69"/>
        <v>1</v>
      </c>
      <c r="BE108" s="192">
        <f t="shared" si="70"/>
        <v>0</v>
      </c>
      <c r="BF108" s="192">
        <f t="shared" si="71"/>
        <v>0</v>
      </c>
      <c r="BG108" s="192">
        <f t="shared" si="72"/>
        <v>0</v>
      </c>
      <c r="BH108" s="192">
        <f t="shared" si="73"/>
        <v>0</v>
      </c>
      <c r="BI108" s="192">
        <f t="shared" si="74"/>
        <v>1</v>
      </c>
      <c r="BJ108" s="192">
        <f t="shared" si="75"/>
        <v>1</v>
      </c>
      <c r="BK108" s="192">
        <f t="shared" si="76"/>
        <v>1</v>
      </c>
      <c r="BL108" s="192">
        <f t="shared" si="77"/>
        <v>1</v>
      </c>
      <c r="BM108" s="192">
        <f t="shared" si="78"/>
        <v>0</v>
      </c>
      <c r="BN108" s="192">
        <f t="shared" si="79"/>
        <v>0</v>
      </c>
      <c r="BO108" s="192">
        <f t="shared" si="80"/>
        <v>1</v>
      </c>
      <c r="BP108" s="192">
        <f t="shared" si="81"/>
        <v>1</v>
      </c>
      <c r="BQ108" s="192">
        <f t="shared" si="82"/>
        <v>1</v>
      </c>
      <c r="BR108" s="192">
        <f t="shared" si="83"/>
        <v>1</v>
      </c>
      <c r="BS108" s="192">
        <f t="shared" si="84"/>
        <v>1</v>
      </c>
      <c r="BT108" s="192">
        <f t="shared" si="85"/>
        <v>0</v>
      </c>
      <c r="BU108" s="192">
        <f t="shared" si="85"/>
        <v>0</v>
      </c>
      <c r="BV108" s="192">
        <f t="shared" si="86"/>
        <v>0</v>
      </c>
      <c r="BW108" s="192">
        <f t="shared" si="87"/>
        <v>1</v>
      </c>
      <c r="BX108" s="192">
        <f t="shared" si="88"/>
        <v>1</v>
      </c>
      <c r="BY108" s="192">
        <f t="shared" si="89"/>
        <v>1</v>
      </c>
      <c r="BZ108" s="192">
        <f t="shared" si="90"/>
        <v>1</v>
      </c>
      <c r="CA108" s="192">
        <f t="shared" si="91"/>
        <v>1</v>
      </c>
      <c r="CB108" s="192">
        <f t="shared" si="92"/>
        <v>1</v>
      </c>
      <c r="CS108" s="324" t="b">
        <f t="shared" si="102"/>
        <v>0</v>
      </c>
      <c r="CT108" s="324" t="b">
        <f t="shared" si="93"/>
        <v>0</v>
      </c>
      <c r="CU108" s="324" t="b">
        <f t="shared" si="94"/>
        <v>1</v>
      </c>
      <c r="CV108" s="324" t="b">
        <f t="shared" si="95"/>
        <v>1</v>
      </c>
      <c r="CW108" s="324" t="b">
        <f t="shared" si="96"/>
        <v>1</v>
      </c>
      <c r="CX108" s="324" t="str">
        <f t="shared" si="103"/>
        <v/>
      </c>
    </row>
    <row r="109" spans="2:102" x14ac:dyDescent="0.25">
      <c r="B109" s="7" t="str">
        <f t="shared" si="97"/>
        <v/>
      </c>
      <c r="C109" s="7"/>
      <c r="D109" s="7"/>
      <c r="E109" s="7"/>
      <c r="F109" s="316"/>
      <c r="G109" s="6"/>
      <c r="H109" s="6"/>
      <c r="I109" s="6"/>
      <c r="J109" s="6"/>
      <c r="K109" s="6"/>
      <c r="L109" s="6"/>
      <c r="M109" s="6"/>
      <c r="N109" s="6"/>
      <c r="O109" s="6"/>
      <c r="P109" s="6"/>
      <c r="Q109" s="7" t="str">
        <f t="shared" si="98"/>
        <v/>
      </c>
      <c r="R109" s="6"/>
      <c r="S109" s="6"/>
      <c r="T109" s="6"/>
      <c r="U109" s="6"/>
      <c r="V109" s="6"/>
      <c r="W109" s="6"/>
      <c r="X109" s="6"/>
      <c r="Y109" s="6"/>
      <c r="Z109" s="6"/>
      <c r="AA109" s="6"/>
      <c r="AB109" s="7" t="str">
        <f t="shared" si="99"/>
        <v/>
      </c>
      <c r="AC109" s="7" t="str">
        <f t="shared" si="100"/>
        <v/>
      </c>
      <c r="AD109" s="7" t="str">
        <f>IF(G109="","",IF(AND(Z109&gt;='פרמטרים לקריטריונים'!$D$19,AA109&gt;='פרמטרים לקריטריונים'!$C$19),1,0))</f>
        <v/>
      </c>
      <c r="AE109" s="7" t="str" cm="1">
        <f t="array" ref="AE109">IF($F109="","",IF(OR(SUMPRODUCT(--(Z109:AA109&gt;=$Z$5:$AA$5))=COUNTA($Z$29:$AA$29),OR(AND(X109=1,OR(AB109=1,AC109=1)),AND(Y109=1,AD109=1))),1,0))</f>
        <v/>
      </c>
      <c r="AF109" s="6"/>
      <c r="AG109" s="6"/>
      <c r="AH109" s="6"/>
      <c r="AI109" s="6"/>
      <c r="AJ109" s="7" t="str">
        <f t="shared" si="57"/>
        <v/>
      </c>
      <c r="AK109" s="7"/>
      <c r="AL109" s="7"/>
      <c r="AM109" s="7"/>
      <c r="AN109" s="7"/>
      <c r="AO109" s="229" t="str">
        <f t="shared" si="58"/>
        <v/>
      </c>
      <c r="AP109" s="357"/>
      <c r="AQ109" s="193">
        <f t="shared" si="59"/>
        <v>0</v>
      </c>
      <c r="AR109" s="193" t="str">
        <f t="shared" si="56"/>
        <v/>
      </c>
      <c r="AS109" s="193" t="str">
        <f t="shared" si="56"/>
        <v/>
      </c>
      <c r="AT109" s="192">
        <f t="shared" si="101"/>
        <v>0</v>
      </c>
      <c r="AU109" s="192">
        <f t="shared" si="60"/>
        <v>0</v>
      </c>
      <c r="AV109" s="192">
        <f t="shared" si="61"/>
        <v>0</v>
      </c>
      <c r="AW109" s="192">
        <f t="shared" si="62"/>
        <v>0</v>
      </c>
      <c r="AX109" s="192">
        <f t="shared" si="63"/>
        <v>0</v>
      </c>
      <c r="AY109" s="192">
        <f t="shared" si="64"/>
        <v>0</v>
      </c>
      <c r="AZ109" s="192">
        <f t="shared" si="65"/>
        <v>0</v>
      </c>
      <c r="BA109" s="192">
        <f t="shared" si="66"/>
        <v>0</v>
      </c>
      <c r="BB109" s="192">
        <f t="shared" si="67"/>
        <v>0</v>
      </c>
      <c r="BC109" s="192">
        <f t="shared" si="68"/>
        <v>0</v>
      </c>
      <c r="BD109" s="192">
        <f t="shared" si="69"/>
        <v>1</v>
      </c>
      <c r="BE109" s="192">
        <f t="shared" si="70"/>
        <v>0</v>
      </c>
      <c r="BF109" s="192">
        <f t="shared" si="71"/>
        <v>0</v>
      </c>
      <c r="BG109" s="192">
        <f t="shared" si="72"/>
        <v>0</v>
      </c>
      <c r="BH109" s="192">
        <f t="shared" si="73"/>
        <v>0</v>
      </c>
      <c r="BI109" s="192">
        <f t="shared" si="74"/>
        <v>1</v>
      </c>
      <c r="BJ109" s="192">
        <f t="shared" si="75"/>
        <v>1</v>
      </c>
      <c r="BK109" s="192">
        <f t="shared" si="76"/>
        <v>1</v>
      </c>
      <c r="BL109" s="192">
        <f t="shared" si="77"/>
        <v>1</v>
      </c>
      <c r="BM109" s="192">
        <f t="shared" si="78"/>
        <v>0</v>
      </c>
      <c r="BN109" s="192">
        <f t="shared" si="79"/>
        <v>0</v>
      </c>
      <c r="BO109" s="192">
        <f t="shared" si="80"/>
        <v>1</v>
      </c>
      <c r="BP109" s="192">
        <f t="shared" si="81"/>
        <v>1</v>
      </c>
      <c r="BQ109" s="192">
        <f t="shared" si="82"/>
        <v>1</v>
      </c>
      <c r="BR109" s="192">
        <f t="shared" si="83"/>
        <v>1</v>
      </c>
      <c r="BS109" s="192">
        <f t="shared" si="84"/>
        <v>1</v>
      </c>
      <c r="BT109" s="192">
        <f t="shared" si="85"/>
        <v>0</v>
      </c>
      <c r="BU109" s="192">
        <f t="shared" si="85"/>
        <v>0</v>
      </c>
      <c r="BV109" s="192">
        <f t="shared" si="86"/>
        <v>0</v>
      </c>
      <c r="BW109" s="192">
        <f t="shared" si="87"/>
        <v>1</v>
      </c>
      <c r="BX109" s="192">
        <f t="shared" si="88"/>
        <v>1</v>
      </c>
      <c r="BY109" s="192">
        <f t="shared" si="89"/>
        <v>1</v>
      </c>
      <c r="BZ109" s="192">
        <f t="shared" si="90"/>
        <v>1</v>
      </c>
      <c r="CA109" s="192">
        <f t="shared" si="91"/>
        <v>1</v>
      </c>
      <c r="CB109" s="192">
        <f t="shared" si="92"/>
        <v>1</v>
      </c>
      <c r="CS109" s="324" t="b">
        <f t="shared" si="102"/>
        <v>0</v>
      </c>
      <c r="CT109" s="324" t="b">
        <f t="shared" si="93"/>
        <v>0</v>
      </c>
      <c r="CU109" s="324" t="b">
        <f t="shared" si="94"/>
        <v>1</v>
      </c>
      <c r="CV109" s="324" t="b">
        <f t="shared" si="95"/>
        <v>1</v>
      </c>
      <c r="CW109" s="324" t="b">
        <f t="shared" si="96"/>
        <v>1</v>
      </c>
      <c r="CX109" s="324" t="str">
        <f t="shared" si="103"/>
        <v/>
      </c>
    </row>
    <row r="110" spans="2:102" x14ac:dyDescent="0.25">
      <c r="B110" s="7" t="str">
        <f t="shared" si="97"/>
        <v/>
      </c>
      <c r="C110" s="7"/>
      <c r="D110" s="7"/>
      <c r="E110" s="7"/>
      <c r="F110" s="316"/>
      <c r="G110" s="6"/>
      <c r="H110" s="6"/>
      <c r="I110" s="6"/>
      <c r="J110" s="6"/>
      <c r="K110" s="6"/>
      <c r="L110" s="6"/>
      <c r="M110" s="6"/>
      <c r="N110" s="6"/>
      <c r="O110" s="6"/>
      <c r="P110" s="6"/>
      <c r="Q110" s="7" t="str">
        <f t="shared" si="98"/>
        <v/>
      </c>
      <c r="R110" s="6"/>
      <c r="S110" s="6"/>
      <c r="T110" s="6"/>
      <c r="U110" s="6"/>
      <c r="V110" s="6"/>
      <c r="W110" s="6"/>
      <c r="X110" s="6"/>
      <c r="Y110" s="6"/>
      <c r="Z110" s="6"/>
      <c r="AA110" s="6"/>
      <c r="AB110" s="7" t="str">
        <f t="shared" si="99"/>
        <v/>
      </c>
      <c r="AC110" s="7" t="str">
        <f t="shared" si="100"/>
        <v/>
      </c>
      <c r="AD110" s="7" t="str">
        <f>IF(G110="","",IF(AND(Z110&gt;='פרמטרים לקריטריונים'!$D$19,AA110&gt;='פרמטרים לקריטריונים'!$C$19),1,0))</f>
        <v/>
      </c>
      <c r="AE110" s="7" t="str" cm="1">
        <f t="array" ref="AE110">IF($F110="","",IF(OR(SUMPRODUCT(--(Z110:AA110&gt;=$Z$5:$AA$5))=COUNTA($Z$29:$AA$29),OR(AND(X110=1,OR(AB110=1,AC110=1)),AND(Y110=1,AD110=1))),1,0))</f>
        <v/>
      </c>
      <c r="AF110" s="6"/>
      <c r="AG110" s="6"/>
      <c r="AH110" s="6"/>
      <c r="AI110" s="6"/>
      <c r="AJ110" s="7" t="str">
        <f t="shared" si="57"/>
        <v/>
      </c>
      <c r="AK110" s="7"/>
      <c r="AL110" s="7"/>
      <c r="AM110" s="7"/>
      <c r="AN110" s="7"/>
      <c r="AO110" s="229" t="str">
        <f t="shared" si="58"/>
        <v/>
      </c>
      <c r="AP110" s="357"/>
      <c r="AQ110" s="193">
        <f t="shared" si="59"/>
        <v>0</v>
      </c>
      <c r="AR110" s="193" t="str">
        <f t="shared" si="56"/>
        <v/>
      </c>
      <c r="AS110" s="193" t="str">
        <f t="shared" si="56"/>
        <v/>
      </c>
      <c r="AT110" s="192">
        <f t="shared" si="101"/>
        <v>0</v>
      </c>
      <c r="AU110" s="192">
        <f t="shared" si="60"/>
        <v>0</v>
      </c>
      <c r="AV110" s="192">
        <f t="shared" si="61"/>
        <v>0</v>
      </c>
      <c r="AW110" s="192">
        <f t="shared" si="62"/>
        <v>0</v>
      </c>
      <c r="AX110" s="192">
        <f t="shared" si="63"/>
        <v>0</v>
      </c>
      <c r="AY110" s="192">
        <f t="shared" si="64"/>
        <v>0</v>
      </c>
      <c r="AZ110" s="192">
        <f t="shared" si="65"/>
        <v>0</v>
      </c>
      <c r="BA110" s="192">
        <f t="shared" si="66"/>
        <v>0</v>
      </c>
      <c r="BB110" s="192">
        <f t="shared" si="67"/>
        <v>0</v>
      </c>
      <c r="BC110" s="192">
        <f t="shared" si="68"/>
        <v>0</v>
      </c>
      <c r="BD110" s="192">
        <f t="shared" si="69"/>
        <v>1</v>
      </c>
      <c r="BE110" s="192">
        <f t="shared" si="70"/>
        <v>0</v>
      </c>
      <c r="BF110" s="192">
        <f t="shared" si="71"/>
        <v>0</v>
      </c>
      <c r="BG110" s="192">
        <f t="shared" si="72"/>
        <v>0</v>
      </c>
      <c r="BH110" s="192">
        <f t="shared" si="73"/>
        <v>0</v>
      </c>
      <c r="BI110" s="192">
        <f t="shared" si="74"/>
        <v>1</v>
      </c>
      <c r="BJ110" s="192">
        <f t="shared" si="75"/>
        <v>1</v>
      </c>
      <c r="BK110" s="192">
        <f t="shared" si="76"/>
        <v>1</v>
      </c>
      <c r="BL110" s="192">
        <f t="shared" si="77"/>
        <v>1</v>
      </c>
      <c r="BM110" s="192">
        <f t="shared" si="78"/>
        <v>0</v>
      </c>
      <c r="BN110" s="192">
        <f t="shared" si="79"/>
        <v>0</v>
      </c>
      <c r="BO110" s="192">
        <f t="shared" si="80"/>
        <v>1</v>
      </c>
      <c r="BP110" s="192">
        <f t="shared" si="81"/>
        <v>1</v>
      </c>
      <c r="BQ110" s="192">
        <f t="shared" si="82"/>
        <v>1</v>
      </c>
      <c r="BR110" s="192">
        <f t="shared" si="83"/>
        <v>1</v>
      </c>
      <c r="BS110" s="192">
        <f t="shared" si="84"/>
        <v>1</v>
      </c>
      <c r="BT110" s="192">
        <f t="shared" si="85"/>
        <v>0</v>
      </c>
      <c r="BU110" s="192">
        <f t="shared" si="85"/>
        <v>0</v>
      </c>
      <c r="BV110" s="192">
        <f t="shared" si="86"/>
        <v>0</v>
      </c>
      <c r="BW110" s="192">
        <f t="shared" si="87"/>
        <v>1</v>
      </c>
      <c r="BX110" s="192">
        <f t="shared" si="88"/>
        <v>1</v>
      </c>
      <c r="BY110" s="192">
        <f t="shared" si="89"/>
        <v>1</v>
      </c>
      <c r="BZ110" s="192">
        <f t="shared" si="90"/>
        <v>1</v>
      </c>
      <c r="CA110" s="192">
        <f t="shared" si="91"/>
        <v>1</v>
      </c>
      <c r="CB110" s="192">
        <f t="shared" si="92"/>
        <v>1</v>
      </c>
      <c r="CS110" s="324" t="b">
        <f t="shared" si="102"/>
        <v>0</v>
      </c>
      <c r="CT110" s="324" t="b">
        <f t="shared" si="93"/>
        <v>0</v>
      </c>
      <c r="CU110" s="324" t="b">
        <f t="shared" si="94"/>
        <v>1</v>
      </c>
      <c r="CV110" s="324" t="b">
        <f t="shared" si="95"/>
        <v>1</v>
      </c>
      <c r="CW110" s="324" t="b">
        <f t="shared" si="96"/>
        <v>1</v>
      </c>
      <c r="CX110" s="324" t="str">
        <f t="shared" si="103"/>
        <v/>
      </c>
    </row>
    <row r="111" spans="2:102" x14ac:dyDescent="0.25">
      <c r="B111" s="7" t="str">
        <f t="shared" si="97"/>
        <v/>
      </c>
      <c r="C111" s="7"/>
      <c r="D111" s="7"/>
      <c r="E111" s="7"/>
      <c r="F111" s="316"/>
      <c r="G111" s="6"/>
      <c r="H111" s="6"/>
      <c r="I111" s="6"/>
      <c r="J111" s="6"/>
      <c r="K111" s="6"/>
      <c r="L111" s="6"/>
      <c r="M111" s="6"/>
      <c r="N111" s="6"/>
      <c r="O111" s="6"/>
      <c r="P111" s="6"/>
      <c r="Q111" s="7" t="str">
        <f t="shared" si="98"/>
        <v/>
      </c>
      <c r="R111" s="6"/>
      <c r="S111" s="6"/>
      <c r="T111" s="6"/>
      <c r="U111" s="6"/>
      <c r="V111" s="6"/>
      <c r="W111" s="6"/>
      <c r="X111" s="6"/>
      <c r="Y111" s="6"/>
      <c r="Z111" s="6"/>
      <c r="AA111" s="6"/>
      <c r="AB111" s="7" t="str">
        <f t="shared" si="99"/>
        <v/>
      </c>
      <c r="AC111" s="7" t="str">
        <f t="shared" si="100"/>
        <v/>
      </c>
      <c r="AD111" s="7" t="str">
        <f>IF(G111="","",IF(AND(Z111&gt;='פרמטרים לקריטריונים'!$D$19,AA111&gt;='פרמטרים לקריטריונים'!$C$19),1,0))</f>
        <v/>
      </c>
      <c r="AE111" s="7" t="str" cm="1">
        <f t="array" ref="AE111">IF($F111="","",IF(OR(SUMPRODUCT(--(Z111:AA111&gt;=$Z$5:$AA$5))=COUNTA($Z$29:$AA$29),OR(AND(X111=1,OR(AB111=1,AC111=1)),AND(Y111=1,AD111=1))),1,0))</f>
        <v/>
      </c>
      <c r="AF111" s="6"/>
      <c r="AG111" s="6"/>
      <c r="AH111" s="6"/>
      <c r="AI111" s="6"/>
      <c r="AJ111" s="7" t="str">
        <f t="shared" si="57"/>
        <v/>
      </c>
      <c r="AK111" s="7"/>
      <c r="AL111" s="7"/>
      <c r="AM111" s="7"/>
      <c r="AN111" s="7"/>
      <c r="AO111" s="229" t="str">
        <f t="shared" si="58"/>
        <v/>
      </c>
      <c r="AP111" s="357"/>
      <c r="AQ111" s="193">
        <f t="shared" si="59"/>
        <v>0</v>
      </c>
      <c r="AR111" s="193" t="str">
        <f t="shared" si="56"/>
        <v/>
      </c>
      <c r="AS111" s="193" t="str">
        <f t="shared" si="56"/>
        <v/>
      </c>
      <c r="AT111" s="192">
        <f t="shared" si="101"/>
        <v>0</v>
      </c>
      <c r="AU111" s="192">
        <f t="shared" si="60"/>
        <v>0</v>
      </c>
      <c r="AV111" s="192">
        <f t="shared" si="61"/>
        <v>0</v>
      </c>
      <c r="AW111" s="192">
        <f t="shared" si="62"/>
        <v>0</v>
      </c>
      <c r="AX111" s="192">
        <f t="shared" si="63"/>
        <v>0</v>
      </c>
      <c r="AY111" s="192">
        <f t="shared" si="64"/>
        <v>0</v>
      </c>
      <c r="AZ111" s="192">
        <f t="shared" si="65"/>
        <v>0</v>
      </c>
      <c r="BA111" s="192">
        <f t="shared" si="66"/>
        <v>0</v>
      </c>
      <c r="BB111" s="192">
        <f t="shared" si="67"/>
        <v>0</v>
      </c>
      <c r="BC111" s="192">
        <f t="shared" si="68"/>
        <v>0</v>
      </c>
      <c r="BD111" s="192">
        <f t="shared" si="69"/>
        <v>1</v>
      </c>
      <c r="BE111" s="192">
        <f t="shared" si="70"/>
        <v>0</v>
      </c>
      <c r="BF111" s="192">
        <f t="shared" si="71"/>
        <v>0</v>
      </c>
      <c r="BG111" s="192">
        <f t="shared" si="72"/>
        <v>0</v>
      </c>
      <c r="BH111" s="192">
        <f t="shared" si="73"/>
        <v>0</v>
      </c>
      <c r="BI111" s="192">
        <f t="shared" si="74"/>
        <v>1</v>
      </c>
      <c r="BJ111" s="192">
        <f t="shared" si="75"/>
        <v>1</v>
      </c>
      <c r="BK111" s="192">
        <f t="shared" si="76"/>
        <v>1</v>
      </c>
      <c r="BL111" s="192">
        <f t="shared" si="77"/>
        <v>1</v>
      </c>
      <c r="BM111" s="192">
        <f t="shared" si="78"/>
        <v>0</v>
      </c>
      <c r="BN111" s="192">
        <f t="shared" si="79"/>
        <v>0</v>
      </c>
      <c r="BO111" s="192">
        <f t="shared" si="80"/>
        <v>1</v>
      </c>
      <c r="BP111" s="192">
        <f t="shared" si="81"/>
        <v>1</v>
      </c>
      <c r="BQ111" s="192">
        <f t="shared" si="82"/>
        <v>1</v>
      </c>
      <c r="BR111" s="192">
        <f t="shared" si="83"/>
        <v>1</v>
      </c>
      <c r="BS111" s="192">
        <f t="shared" si="84"/>
        <v>1</v>
      </c>
      <c r="BT111" s="192">
        <f t="shared" si="85"/>
        <v>0</v>
      </c>
      <c r="BU111" s="192">
        <f t="shared" si="85"/>
        <v>0</v>
      </c>
      <c r="BV111" s="192">
        <f t="shared" si="86"/>
        <v>0</v>
      </c>
      <c r="BW111" s="192">
        <f t="shared" si="87"/>
        <v>1</v>
      </c>
      <c r="BX111" s="192">
        <f t="shared" si="88"/>
        <v>1</v>
      </c>
      <c r="BY111" s="192">
        <f t="shared" si="89"/>
        <v>1</v>
      </c>
      <c r="BZ111" s="192">
        <f t="shared" si="90"/>
        <v>1</v>
      </c>
      <c r="CA111" s="192">
        <f t="shared" si="91"/>
        <v>1</v>
      </c>
      <c r="CB111" s="192">
        <f t="shared" si="92"/>
        <v>1</v>
      </c>
      <c r="CS111" s="324" t="b">
        <f t="shared" si="102"/>
        <v>0</v>
      </c>
      <c r="CT111" s="324" t="b">
        <f t="shared" si="93"/>
        <v>0</v>
      </c>
      <c r="CU111" s="324" t="b">
        <f t="shared" si="94"/>
        <v>1</v>
      </c>
      <c r="CV111" s="324" t="b">
        <f t="shared" si="95"/>
        <v>1</v>
      </c>
      <c r="CW111" s="324" t="b">
        <f t="shared" si="96"/>
        <v>1</v>
      </c>
      <c r="CX111" s="324" t="str">
        <f t="shared" si="103"/>
        <v/>
      </c>
    </row>
    <row r="112" spans="2:102" x14ac:dyDescent="0.25">
      <c r="B112" s="7" t="str">
        <f t="shared" si="97"/>
        <v/>
      </c>
      <c r="C112" s="7"/>
      <c r="D112" s="7"/>
      <c r="E112" s="7"/>
      <c r="F112" s="316"/>
      <c r="G112" s="6"/>
      <c r="H112" s="6"/>
      <c r="I112" s="6"/>
      <c r="J112" s="6"/>
      <c r="K112" s="6"/>
      <c r="L112" s="6"/>
      <c r="M112" s="6"/>
      <c r="N112" s="6"/>
      <c r="O112" s="6"/>
      <c r="P112" s="6"/>
      <c r="Q112" s="7" t="str">
        <f t="shared" si="98"/>
        <v/>
      </c>
      <c r="R112" s="6"/>
      <c r="S112" s="6"/>
      <c r="T112" s="6"/>
      <c r="U112" s="6"/>
      <c r="V112" s="6"/>
      <c r="W112" s="6"/>
      <c r="X112" s="6"/>
      <c r="Y112" s="6"/>
      <c r="Z112" s="6"/>
      <c r="AA112" s="6"/>
      <c r="AB112" s="7" t="str">
        <f t="shared" si="99"/>
        <v/>
      </c>
      <c r="AC112" s="7" t="str">
        <f t="shared" si="100"/>
        <v/>
      </c>
      <c r="AD112" s="7" t="str">
        <f>IF(G112="","",IF(AND(Z112&gt;='פרמטרים לקריטריונים'!$D$19,AA112&gt;='פרמטרים לקריטריונים'!$C$19),1,0))</f>
        <v/>
      </c>
      <c r="AE112" s="7" t="str" cm="1">
        <f t="array" ref="AE112">IF($F112="","",IF(OR(SUMPRODUCT(--(Z112:AA112&gt;=$Z$5:$AA$5))=COUNTA($Z$29:$AA$29),OR(AND(X112=1,OR(AB112=1,AC112=1)),AND(Y112=1,AD112=1))),1,0))</f>
        <v/>
      </c>
      <c r="AF112" s="6"/>
      <c r="AG112" s="6"/>
      <c r="AH112" s="6"/>
      <c r="AI112" s="6"/>
      <c r="AJ112" s="7" t="str">
        <f t="shared" si="57"/>
        <v/>
      </c>
      <c r="AK112" s="7"/>
      <c r="AL112" s="7"/>
      <c r="AM112" s="7"/>
      <c r="AN112" s="7"/>
      <c r="AO112" s="229" t="str">
        <f t="shared" si="58"/>
        <v/>
      </c>
      <c r="AP112" s="357"/>
      <c r="AQ112" s="193">
        <f t="shared" si="59"/>
        <v>0</v>
      </c>
      <c r="AR112" s="193" t="str">
        <f t="shared" si="56"/>
        <v/>
      </c>
      <c r="AS112" s="193" t="str">
        <f t="shared" si="56"/>
        <v/>
      </c>
      <c r="AT112" s="192">
        <f t="shared" si="101"/>
        <v>0</v>
      </c>
      <c r="AU112" s="192">
        <f t="shared" si="60"/>
        <v>0</v>
      </c>
      <c r="AV112" s="192">
        <f t="shared" si="61"/>
        <v>0</v>
      </c>
      <c r="AW112" s="192">
        <f t="shared" si="62"/>
        <v>0</v>
      </c>
      <c r="AX112" s="192">
        <f t="shared" si="63"/>
        <v>0</v>
      </c>
      <c r="AY112" s="192">
        <f t="shared" si="64"/>
        <v>0</v>
      </c>
      <c r="AZ112" s="192">
        <f t="shared" si="65"/>
        <v>0</v>
      </c>
      <c r="BA112" s="192">
        <f t="shared" si="66"/>
        <v>0</v>
      </c>
      <c r="BB112" s="192">
        <f t="shared" si="67"/>
        <v>0</v>
      </c>
      <c r="BC112" s="192">
        <f t="shared" si="68"/>
        <v>0</v>
      </c>
      <c r="BD112" s="192">
        <f t="shared" si="69"/>
        <v>1</v>
      </c>
      <c r="BE112" s="192">
        <f t="shared" si="70"/>
        <v>0</v>
      </c>
      <c r="BF112" s="192">
        <f t="shared" si="71"/>
        <v>0</v>
      </c>
      <c r="BG112" s="192">
        <f t="shared" si="72"/>
        <v>0</v>
      </c>
      <c r="BH112" s="192">
        <f t="shared" si="73"/>
        <v>0</v>
      </c>
      <c r="BI112" s="192">
        <f t="shared" si="74"/>
        <v>1</v>
      </c>
      <c r="BJ112" s="192">
        <f t="shared" si="75"/>
        <v>1</v>
      </c>
      <c r="BK112" s="192">
        <f t="shared" si="76"/>
        <v>1</v>
      </c>
      <c r="BL112" s="192">
        <f t="shared" si="77"/>
        <v>1</v>
      </c>
      <c r="BM112" s="192">
        <f t="shared" si="78"/>
        <v>0</v>
      </c>
      <c r="BN112" s="192">
        <f t="shared" si="79"/>
        <v>0</v>
      </c>
      <c r="BO112" s="192">
        <f t="shared" si="80"/>
        <v>1</v>
      </c>
      <c r="BP112" s="192">
        <f t="shared" si="81"/>
        <v>1</v>
      </c>
      <c r="BQ112" s="192">
        <f t="shared" si="82"/>
        <v>1</v>
      </c>
      <c r="BR112" s="192">
        <f t="shared" si="83"/>
        <v>1</v>
      </c>
      <c r="BS112" s="192">
        <f t="shared" si="84"/>
        <v>1</v>
      </c>
      <c r="BT112" s="192">
        <f t="shared" si="85"/>
        <v>0</v>
      </c>
      <c r="BU112" s="192">
        <f t="shared" si="85"/>
        <v>0</v>
      </c>
      <c r="BV112" s="192">
        <f t="shared" si="86"/>
        <v>0</v>
      </c>
      <c r="BW112" s="192">
        <f t="shared" si="87"/>
        <v>1</v>
      </c>
      <c r="BX112" s="192">
        <f t="shared" si="88"/>
        <v>1</v>
      </c>
      <c r="BY112" s="192">
        <f t="shared" si="89"/>
        <v>1</v>
      </c>
      <c r="BZ112" s="192">
        <f t="shared" si="90"/>
        <v>1</v>
      </c>
      <c r="CA112" s="192">
        <f t="shared" si="91"/>
        <v>1</v>
      </c>
      <c r="CB112" s="192">
        <f t="shared" si="92"/>
        <v>1</v>
      </c>
      <c r="CS112" s="324" t="b">
        <f t="shared" si="102"/>
        <v>0</v>
      </c>
      <c r="CT112" s="324" t="b">
        <f t="shared" si="93"/>
        <v>0</v>
      </c>
      <c r="CU112" s="324" t="b">
        <f t="shared" si="94"/>
        <v>1</v>
      </c>
      <c r="CV112" s="324" t="b">
        <f t="shared" si="95"/>
        <v>1</v>
      </c>
      <c r="CW112" s="324" t="b">
        <f t="shared" si="96"/>
        <v>1</v>
      </c>
      <c r="CX112" s="324" t="str">
        <f t="shared" si="103"/>
        <v/>
      </c>
    </row>
    <row r="113" spans="2:102" x14ac:dyDescent="0.25">
      <c r="B113" s="7" t="str">
        <f t="shared" si="97"/>
        <v/>
      </c>
      <c r="C113" s="7"/>
      <c r="D113" s="7"/>
      <c r="E113" s="7"/>
      <c r="F113" s="316"/>
      <c r="G113" s="6"/>
      <c r="H113" s="6"/>
      <c r="I113" s="6"/>
      <c r="J113" s="6"/>
      <c r="K113" s="6"/>
      <c r="L113" s="6"/>
      <c r="M113" s="6"/>
      <c r="N113" s="6"/>
      <c r="O113" s="6"/>
      <c r="P113" s="6"/>
      <c r="Q113" s="7" t="str">
        <f t="shared" si="98"/>
        <v/>
      </c>
      <c r="R113" s="6"/>
      <c r="S113" s="6"/>
      <c r="T113" s="6"/>
      <c r="U113" s="6"/>
      <c r="V113" s="6"/>
      <c r="W113" s="6"/>
      <c r="X113" s="6"/>
      <c r="Y113" s="6"/>
      <c r="Z113" s="6"/>
      <c r="AA113" s="6"/>
      <c r="AB113" s="7" t="str">
        <f t="shared" si="99"/>
        <v/>
      </c>
      <c r="AC113" s="7" t="str">
        <f t="shared" si="100"/>
        <v/>
      </c>
      <c r="AD113" s="7" t="str">
        <f>IF(G113="","",IF(AND(Z113&gt;='פרמטרים לקריטריונים'!$D$19,AA113&gt;='פרמטרים לקריטריונים'!$C$19),1,0))</f>
        <v/>
      </c>
      <c r="AE113" s="7" t="str" cm="1">
        <f t="array" ref="AE113">IF($F113="","",IF(OR(SUMPRODUCT(--(Z113:AA113&gt;=$Z$5:$AA$5))=COUNTA($Z$29:$AA$29),OR(AND(X113=1,OR(AB113=1,AC113=1)),AND(Y113=1,AD113=1))),1,0))</f>
        <v/>
      </c>
      <c r="AF113" s="6"/>
      <c r="AG113" s="6"/>
      <c r="AH113" s="6"/>
      <c r="AI113" s="6"/>
      <c r="AJ113" s="7" t="str">
        <f t="shared" si="57"/>
        <v/>
      </c>
      <c r="AK113" s="7"/>
      <c r="AL113" s="7"/>
      <c r="AM113" s="7"/>
      <c r="AN113" s="7"/>
      <c r="AO113" s="229" t="str">
        <f t="shared" si="58"/>
        <v/>
      </c>
      <c r="AP113" s="357"/>
      <c r="AQ113" s="193">
        <f t="shared" si="59"/>
        <v>0</v>
      </c>
      <c r="AR113" s="193" t="str">
        <f t="shared" si="56"/>
        <v/>
      </c>
      <c r="AS113" s="193" t="str">
        <f t="shared" si="56"/>
        <v/>
      </c>
      <c r="AT113" s="192">
        <f t="shared" si="101"/>
        <v>0</v>
      </c>
      <c r="AU113" s="192">
        <f t="shared" si="60"/>
        <v>0</v>
      </c>
      <c r="AV113" s="192">
        <f t="shared" si="61"/>
        <v>0</v>
      </c>
      <c r="AW113" s="192">
        <f t="shared" si="62"/>
        <v>0</v>
      </c>
      <c r="AX113" s="192">
        <f t="shared" si="63"/>
        <v>0</v>
      </c>
      <c r="AY113" s="192">
        <f t="shared" si="64"/>
        <v>0</v>
      </c>
      <c r="AZ113" s="192">
        <f t="shared" si="65"/>
        <v>0</v>
      </c>
      <c r="BA113" s="192">
        <f t="shared" si="66"/>
        <v>0</v>
      </c>
      <c r="BB113" s="192">
        <f t="shared" si="67"/>
        <v>0</v>
      </c>
      <c r="BC113" s="192">
        <f t="shared" si="68"/>
        <v>0</v>
      </c>
      <c r="BD113" s="192">
        <f t="shared" si="69"/>
        <v>1</v>
      </c>
      <c r="BE113" s="192">
        <f t="shared" si="70"/>
        <v>0</v>
      </c>
      <c r="BF113" s="192">
        <f t="shared" si="71"/>
        <v>0</v>
      </c>
      <c r="BG113" s="192">
        <f t="shared" si="72"/>
        <v>0</v>
      </c>
      <c r="BH113" s="192">
        <f t="shared" si="73"/>
        <v>0</v>
      </c>
      <c r="BI113" s="192">
        <f t="shared" si="74"/>
        <v>1</v>
      </c>
      <c r="BJ113" s="192">
        <f t="shared" si="75"/>
        <v>1</v>
      </c>
      <c r="BK113" s="192">
        <f t="shared" si="76"/>
        <v>1</v>
      </c>
      <c r="BL113" s="192">
        <f t="shared" si="77"/>
        <v>1</v>
      </c>
      <c r="BM113" s="192">
        <f t="shared" si="78"/>
        <v>0</v>
      </c>
      <c r="BN113" s="192">
        <f t="shared" si="79"/>
        <v>0</v>
      </c>
      <c r="BO113" s="192">
        <f t="shared" si="80"/>
        <v>1</v>
      </c>
      <c r="BP113" s="192">
        <f t="shared" si="81"/>
        <v>1</v>
      </c>
      <c r="BQ113" s="192">
        <f t="shared" si="82"/>
        <v>1</v>
      </c>
      <c r="BR113" s="192">
        <f t="shared" si="83"/>
        <v>1</v>
      </c>
      <c r="BS113" s="192">
        <f t="shared" si="84"/>
        <v>1</v>
      </c>
      <c r="BT113" s="192">
        <f t="shared" si="85"/>
        <v>0</v>
      </c>
      <c r="BU113" s="192">
        <f t="shared" si="85"/>
        <v>0</v>
      </c>
      <c r="BV113" s="192">
        <f t="shared" si="86"/>
        <v>0</v>
      </c>
      <c r="BW113" s="192">
        <f t="shared" si="87"/>
        <v>1</v>
      </c>
      <c r="BX113" s="192">
        <f t="shared" si="88"/>
        <v>1</v>
      </c>
      <c r="BY113" s="192">
        <f t="shared" si="89"/>
        <v>1</v>
      </c>
      <c r="BZ113" s="192">
        <f t="shared" si="90"/>
        <v>1</v>
      </c>
      <c r="CA113" s="192">
        <f t="shared" si="91"/>
        <v>1</v>
      </c>
      <c r="CB113" s="192">
        <f t="shared" si="92"/>
        <v>1</v>
      </c>
      <c r="CS113" s="324" t="b">
        <f t="shared" si="102"/>
        <v>0</v>
      </c>
      <c r="CT113" s="324" t="b">
        <f t="shared" si="93"/>
        <v>0</v>
      </c>
      <c r="CU113" s="324" t="b">
        <f t="shared" si="94"/>
        <v>1</v>
      </c>
      <c r="CV113" s="324" t="b">
        <f t="shared" si="95"/>
        <v>1</v>
      </c>
      <c r="CW113" s="324" t="b">
        <f t="shared" si="96"/>
        <v>1</v>
      </c>
      <c r="CX113" s="324" t="str">
        <f t="shared" si="103"/>
        <v/>
      </c>
    </row>
    <row r="114" spans="2:102" x14ac:dyDescent="0.25">
      <c r="B114" s="7" t="str">
        <f t="shared" si="97"/>
        <v/>
      </c>
      <c r="C114" s="7"/>
      <c r="D114" s="7"/>
      <c r="E114" s="7"/>
      <c r="F114" s="316"/>
      <c r="G114" s="6"/>
      <c r="H114" s="6"/>
      <c r="I114" s="6"/>
      <c r="J114" s="6"/>
      <c r="K114" s="6"/>
      <c r="L114" s="6"/>
      <c r="M114" s="6"/>
      <c r="N114" s="6"/>
      <c r="O114" s="6"/>
      <c r="P114" s="6"/>
      <c r="Q114" s="7" t="str">
        <f t="shared" si="98"/>
        <v/>
      </c>
      <c r="R114" s="6"/>
      <c r="S114" s="6"/>
      <c r="T114" s="6"/>
      <c r="U114" s="6"/>
      <c r="V114" s="6"/>
      <c r="W114" s="6"/>
      <c r="X114" s="6"/>
      <c r="Y114" s="6"/>
      <c r="Z114" s="6"/>
      <c r="AA114" s="6"/>
      <c r="AB114" s="7" t="str">
        <f t="shared" si="99"/>
        <v/>
      </c>
      <c r="AC114" s="7" t="str">
        <f t="shared" si="100"/>
        <v/>
      </c>
      <c r="AD114" s="7" t="str">
        <f>IF(G114="","",IF(AND(Z114&gt;='פרמטרים לקריטריונים'!$D$19,AA114&gt;='פרמטרים לקריטריונים'!$C$19),1,0))</f>
        <v/>
      </c>
      <c r="AE114" s="7" t="str" cm="1">
        <f t="array" ref="AE114">IF($F114="","",IF(OR(SUMPRODUCT(--(Z114:AA114&gt;=$Z$5:$AA$5))=COUNTA($Z$29:$AA$29),OR(AND(X114=1,OR(AB114=1,AC114=1)),AND(Y114=1,AD114=1))),1,0))</f>
        <v/>
      </c>
      <c r="AF114" s="6"/>
      <c r="AG114" s="6"/>
      <c r="AH114" s="6"/>
      <c r="AI114" s="6"/>
      <c r="AJ114" s="7" t="str">
        <f t="shared" si="57"/>
        <v/>
      </c>
      <c r="AK114" s="7"/>
      <c r="AL114" s="7"/>
      <c r="AM114" s="7"/>
      <c r="AN114" s="7"/>
      <c r="AO114" s="229" t="str">
        <f t="shared" si="58"/>
        <v/>
      </c>
      <c r="AP114" s="357"/>
      <c r="AQ114" s="193">
        <f t="shared" si="59"/>
        <v>0</v>
      </c>
      <c r="AR114" s="193" t="str">
        <f t="shared" si="56"/>
        <v/>
      </c>
      <c r="AS114" s="193" t="str">
        <f t="shared" si="56"/>
        <v/>
      </c>
      <c r="AT114" s="192">
        <f t="shared" si="101"/>
        <v>0</v>
      </c>
      <c r="AU114" s="192">
        <f t="shared" si="60"/>
        <v>0</v>
      </c>
      <c r="AV114" s="192">
        <f t="shared" si="61"/>
        <v>0</v>
      </c>
      <c r="AW114" s="192">
        <f t="shared" si="62"/>
        <v>0</v>
      </c>
      <c r="AX114" s="192">
        <f t="shared" si="63"/>
        <v>0</v>
      </c>
      <c r="AY114" s="192">
        <f t="shared" si="64"/>
        <v>0</v>
      </c>
      <c r="AZ114" s="192">
        <f t="shared" si="65"/>
        <v>0</v>
      </c>
      <c r="BA114" s="192">
        <f t="shared" si="66"/>
        <v>0</v>
      </c>
      <c r="BB114" s="192">
        <f t="shared" si="67"/>
        <v>0</v>
      </c>
      <c r="BC114" s="192">
        <f t="shared" si="68"/>
        <v>0</v>
      </c>
      <c r="BD114" s="192">
        <f t="shared" si="69"/>
        <v>1</v>
      </c>
      <c r="BE114" s="192">
        <f t="shared" si="70"/>
        <v>0</v>
      </c>
      <c r="BF114" s="192">
        <f t="shared" si="71"/>
        <v>0</v>
      </c>
      <c r="BG114" s="192">
        <f t="shared" si="72"/>
        <v>0</v>
      </c>
      <c r="BH114" s="192">
        <f t="shared" si="73"/>
        <v>0</v>
      </c>
      <c r="BI114" s="192">
        <f t="shared" si="74"/>
        <v>1</v>
      </c>
      <c r="BJ114" s="192">
        <f t="shared" si="75"/>
        <v>1</v>
      </c>
      <c r="BK114" s="192">
        <f t="shared" si="76"/>
        <v>1</v>
      </c>
      <c r="BL114" s="192">
        <f t="shared" si="77"/>
        <v>1</v>
      </c>
      <c r="BM114" s="192">
        <f t="shared" si="78"/>
        <v>0</v>
      </c>
      <c r="BN114" s="192">
        <f t="shared" si="79"/>
        <v>0</v>
      </c>
      <c r="BO114" s="192">
        <f t="shared" si="80"/>
        <v>1</v>
      </c>
      <c r="BP114" s="192">
        <f t="shared" si="81"/>
        <v>1</v>
      </c>
      <c r="BQ114" s="192">
        <f t="shared" si="82"/>
        <v>1</v>
      </c>
      <c r="BR114" s="192">
        <f t="shared" si="83"/>
        <v>1</v>
      </c>
      <c r="BS114" s="192">
        <f t="shared" si="84"/>
        <v>1</v>
      </c>
      <c r="BT114" s="192">
        <f t="shared" si="85"/>
        <v>0</v>
      </c>
      <c r="BU114" s="192">
        <f t="shared" si="85"/>
        <v>0</v>
      </c>
      <c r="BV114" s="192">
        <f t="shared" si="86"/>
        <v>0</v>
      </c>
      <c r="BW114" s="192">
        <f t="shared" si="87"/>
        <v>1</v>
      </c>
      <c r="BX114" s="192">
        <f t="shared" si="88"/>
        <v>1</v>
      </c>
      <c r="BY114" s="192">
        <f t="shared" si="89"/>
        <v>1</v>
      </c>
      <c r="BZ114" s="192">
        <f t="shared" si="90"/>
        <v>1</v>
      </c>
      <c r="CA114" s="192">
        <f t="shared" si="91"/>
        <v>1</v>
      </c>
      <c r="CB114" s="192">
        <f t="shared" si="92"/>
        <v>1</v>
      </c>
      <c r="CS114" s="324" t="b">
        <f t="shared" si="102"/>
        <v>0</v>
      </c>
      <c r="CT114" s="324" t="b">
        <f t="shared" si="93"/>
        <v>0</v>
      </c>
      <c r="CU114" s="324" t="b">
        <f t="shared" si="94"/>
        <v>1</v>
      </c>
      <c r="CV114" s="324" t="b">
        <f t="shared" si="95"/>
        <v>1</v>
      </c>
      <c r="CW114" s="324" t="b">
        <f t="shared" si="96"/>
        <v>1</v>
      </c>
      <c r="CX114" s="324" t="str">
        <f t="shared" si="103"/>
        <v/>
      </c>
    </row>
    <row r="115" spans="2:102" x14ac:dyDescent="0.25">
      <c r="B115" s="7" t="str">
        <f t="shared" si="97"/>
        <v/>
      </c>
      <c r="C115" s="7"/>
      <c r="D115" s="7"/>
      <c r="E115" s="7"/>
      <c r="F115" s="316"/>
      <c r="G115" s="6"/>
      <c r="H115" s="6"/>
      <c r="I115" s="6"/>
      <c r="J115" s="6"/>
      <c r="K115" s="6"/>
      <c r="L115" s="6"/>
      <c r="M115" s="6"/>
      <c r="N115" s="6"/>
      <c r="O115" s="6"/>
      <c r="P115" s="6"/>
      <c r="Q115" s="7" t="str">
        <f t="shared" si="98"/>
        <v/>
      </c>
      <c r="R115" s="6"/>
      <c r="S115" s="6"/>
      <c r="T115" s="6"/>
      <c r="U115" s="6"/>
      <c r="V115" s="6"/>
      <c r="W115" s="6"/>
      <c r="X115" s="6"/>
      <c r="Y115" s="6"/>
      <c r="Z115" s="6"/>
      <c r="AA115" s="6"/>
      <c r="AB115" s="7" t="str">
        <f t="shared" si="99"/>
        <v/>
      </c>
      <c r="AC115" s="7" t="str">
        <f t="shared" si="100"/>
        <v/>
      </c>
      <c r="AD115" s="7" t="str">
        <f>IF(G115="","",IF(AND(Z115&gt;='פרמטרים לקריטריונים'!$D$19,AA115&gt;='פרמטרים לקריטריונים'!$C$19),1,0))</f>
        <v/>
      </c>
      <c r="AE115" s="7" t="str" cm="1">
        <f t="array" ref="AE115">IF($F115="","",IF(OR(SUMPRODUCT(--(Z115:AA115&gt;=$Z$5:$AA$5))=COUNTA($Z$29:$AA$29),OR(AND(X115=1,OR(AB115=1,AC115=1)),AND(Y115=1,AD115=1))),1,0))</f>
        <v/>
      </c>
      <c r="AF115" s="6"/>
      <c r="AG115" s="6"/>
      <c r="AH115" s="6"/>
      <c r="AI115" s="6"/>
      <c r="AJ115" s="7" t="str">
        <f t="shared" si="57"/>
        <v/>
      </c>
      <c r="AK115" s="7"/>
      <c r="AL115" s="7"/>
      <c r="AM115" s="7"/>
      <c r="AN115" s="7"/>
      <c r="AO115" s="229" t="str">
        <f t="shared" si="58"/>
        <v/>
      </c>
      <c r="AP115" s="357"/>
      <c r="AQ115" s="193">
        <f t="shared" si="59"/>
        <v>0</v>
      </c>
      <c r="AR115" s="193" t="str">
        <f t="shared" si="56"/>
        <v/>
      </c>
      <c r="AS115" s="193" t="str">
        <f t="shared" si="56"/>
        <v/>
      </c>
      <c r="AT115" s="192">
        <f t="shared" si="101"/>
        <v>0</v>
      </c>
      <c r="AU115" s="192">
        <f t="shared" si="60"/>
        <v>0</v>
      </c>
      <c r="AV115" s="192">
        <f t="shared" si="61"/>
        <v>0</v>
      </c>
      <c r="AW115" s="192">
        <f t="shared" si="62"/>
        <v>0</v>
      </c>
      <c r="AX115" s="192">
        <f t="shared" si="63"/>
        <v>0</v>
      </c>
      <c r="AY115" s="192">
        <f t="shared" si="64"/>
        <v>0</v>
      </c>
      <c r="AZ115" s="192">
        <f t="shared" si="65"/>
        <v>0</v>
      </c>
      <c r="BA115" s="192">
        <f t="shared" si="66"/>
        <v>0</v>
      </c>
      <c r="BB115" s="192">
        <f t="shared" si="67"/>
        <v>0</v>
      </c>
      <c r="BC115" s="192">
        <f t="shared" si="68"/>
        <v>0</v>
      </c>
      <c r="BD115" s="192">
        <f t="shared" si="69"/>
        <v>1</v>
      </c>
      <c r="BE115" s="192">
        <f t="shared" si="70"/>
        <v>0</v>
      </c>
      <c r="BF115" s="192">
        <f t="shared" si="71"/>
        <v>0</v>
      </c>
      <c r="BG115" s="192">
        <f t="shared" si="72"/>
        <v>0</v>
      </c>
      <c r="BH115" s="192">
        <f t="shared" si="73"/>
        <v>0</v>
      </c>
      <c r="BI115" s="192">
        <f t="shared" si="74"/>
        <v>1</v>
      </c>
      <c r="BJ115" s="192">
        <f t="shared" si="75"/>
        <v>1</v>
      </c>
      <c r="BK115" s="192">
        <f t="shared" si="76"/>
        <v>1</v>
      </c>
      <c r="BL115" s="192">
        <f t="shared" si="77"/>
        <v>1</v>
      </c>
      <c r="BM115" s="192">
        <f t="shared" si="78"/>
        <v>0</v>
      </c>
      <c r="BN115" s="192">
        <f t="shared" si="79"/>
        <v>0</v>
      </c>
      <c r="BO115" s="192">
        <f t="shared" si="80"/>
        <v>1</v>
      </c>
      <c r="BP115" s="192">
        <f t="shared" si="81"/>
        <v>1</v>
      </c>
      <c r="BQ115" s="192">
        <f t="shared" si="82"/>
        <v>1</v>
      </c>
      <c r="BR115" s="192">
        <f t="shared" si="83"/>
        <v>1</v>
      </c>
      <c r="BS115" s="192">
        <f t="shared" si="84"/>
        <v>1</v>
      </c>
      <c r="BT115" s="192">
        <f t="shared" si="85"/>
        <v>0</v>
      </c>
      <c r="BU115" s="192">
        <f t="shared" si="85"/>
        <v>0</v>
      </c>
      <c r="BV115" s="192">
        <f t="shared" si="86"/>
        <v>0</v>
      </c>
      <c r="BW115" s="192">
        <f t="shared" si="87"/>
        <v>1</v>
      </c>
      <c r="BX115" s="192">
        <f t="shared" si="88"/>
        <v>1</v>
      </c>
      <c r="BY115" s="192">
        <f t="shared" si="89"/>
        <v>1</v>
      </c>
      <c r="BZ115" s="192">
        <f t="shared" si="90"/>
        <v>1</v>
      </c>
      <c r="CA115" s="192">
        <f t="shared" si="91"/>
        <v>1</v>
      </c>
      <c r="CB115" s="192">
        <f t="shared" si="92"/>
        <v>1</v>
      </c>
      <c r="CS115" s="324" t="b">
        <f t="shared" si="102"/>
        <v>0</v>
      </c>
      <c r="CT115" s="324" t="b">
        <f t="shared" si="93"/>
        <v>0</v>
      </c>
      <c r="CU115" s="324" t="b">
        <f t="shared" si="94"/>
        <v>1</v>
      </c>
      <c r="CV115" s="324" t="b">
        <f t="shared" si="95"/>
        <v>1</v>
      </c>
      <c r="CW115" s="324" t="b">
        <f t="shared" si="96"/>
        <v>1</v>
      </c>
      <c r="CX115" s="324" t="str">
        <f t="shared" si="103"/>
        <v/>
      </c>
    </row>
    <row r="116" spans="2:102" x14ac:dyDescent="0.25">
      <c r="B116" s="7" t="str">
        <f t="shared" si="97"/>
        <v/>
      </c>
      <c r="C116" s="7"/>
      <c r="D116" s="7"/>
      <c r="E116" s="7"/>
      <c r="F116" s="316"/>
      <c r="G116" s="6"/>
      <c r="H116" s="6"/>
      <c r="I116" s="6"/>
      <c r="J116" s="6"/>
      <c r="K116" s="6"/>
      <c r="L116" s="6"/>
      <c r="M116" s="6"/>
      <c r="N116" s="6"/>
      <c r="O116" s="6"/>
      <c r="P116" s="6"/>
      <c r="Q116" s="7" t="str">
        <f t="shared" si="98"/>
        <v/>
      </c>
      <c r="R116" s="6"/>
      <c r="S116" s="6"/>
      <c r="T116" s="6"/>
      <c r="U116" s="6"/>
      <c r="V116" s="6"/>
      <c r="W116" s="6"/>
      <c r="X116" s="6"/>
      <c r="Y116" s="6"/>
      <c r="Z116" s="6"/>
      <c r="AA116" s="6"/>
      <c r="AB116" s="7" t="str">
        <f t="shared" si="99"/>
        <v/>
      </c>
      <c r="AC116" s="7" t="str">
        <f t="shared" si="100"/>
        <v/>
      </c>
      <c r="AD116" s="7" t="str">
        <f>IF(G116="","",IF(AND(Z116&gt;='פרמטרים לקריטריונים'!$D$19,AA116&gt;='פרמטרים לקריטריונים'!$C$19),1,0))</f>
        <v/>
      </c>
      <c r="AE116" s="7" t="str" cm="1">
        <f t="array" ref="AE116">IF($F116="","",IF(OR(SUMPRODUCT(--(Z116:AA116&gt;=$Z$5:$AA$5))=COUNTA($Z$29:$AA$29),OR(AND(X116=1,OR(AB116=1,AC116=1)),AND(Y116=1,AD116=1))),1,0))</f>
        <v/>
      </c>
      <c r="AF116" s="6"/>
      <c r="AG116" s="6"/>
      <c r="AH116" s="6"/>
      <c r="AI116" s="6"/>
      <c r="AJ116" s="7" t="str">
        <f t="shared" si="57"/>
        <v/>
      </c>
      <c r="AK116" s="7"/>
      <c r="AL116" s="7"/>
      <c r="AM116" s="7"/>
      <c r="AN116" s="7"/>
      <c r="AO116" s="229" t="str">
        <f t="shared" si="58"/>
        <v/>
      </c>
      <c r="AP116" s="357"/>
      <c r="AQ116" s="193">
        <f t="shared" si="59"/>
        <v>0</v>
      </c>
      <c r="AR116" s="193" t="str">
        <f t="shared" si="56"/>
        <v/>
      </c>
      <c r="AS116" s="193" t="str">
        <f t="shared" si="56"/>
        <v/>
      </c>
      <c r="AT116" s="192">
        <f t="shared" si="101"/>
        <v>0</v>
      </c>
      <c r="AU116" s="192">
        <f t="shared" si="60"/>
        <v>0</v>
      </c>
      <c r="AV116" s="192">
        <f t="shared" si="61"/>
        <v>0</v>
      </c>
      <c r="AW116" s="192">
        <f t="shared" si="62"/>
        <v>0</v>
      </c>
      <c r="AX116" s="192">
        <f t="shared" si="63"/>
        <v>0</v>
      </c>
      <c r="AY116" s="192">
        <f t="shared" si="64"/>
        <v>0</v>
      </c>
      <c r="AZ116" s="192">
        <f t="shared" si="65"/>
        <v>0</v>
      </c>
      <c r="BA116" s="192">
        <f t="shared" si="66"/>
        <v>0</v>
      </c>
      <c r="BB116" s="192">
        <f t="shared" si="67"/>
        <v>0</v>
      </c>
      <c r="BC116" s="192">
        <f t="shared" si="68"/>
        <v>0</v>
      </c>
      <c r="BD116" s="192">
        <f t="shared" si="69"/>
        <v>1</v>
      </c>
      <c r="BE116" s="192">
        <f t="shared" si="70"/>
        <v>0</v>
      </c>
      <c r="BF116" s="192">
        <f t="shared" si="71"/>
        <v>0</v>
      </c>
      <c r="BG116" s="192">
        <f t="shared" si="72"/>
        <v>0</v>
      </c>
      <c r="BH116" s="192">
        <f t="shared" si="73"/>
        <v>0</v>
      </c>
      <c r="BI116" s="192">
        <f t="shared" si="74"/>
        <v>1</v>
      </c>
      <c r="BJ116" s="192">
        <f t="shared" si="75"/>
        <v>1</v>
      </c>
      <c r="BK116" s="192">
        <f t="shared" si="76"/>
        <v>1</v>
      </c>
      <c r="BL116" s="192">
        <f t="shared" si="77"/>
        <v>1</v>
      </c>
      <c r="BM116" s="192">
        <f t="shared" si="78"/>
        <v>0</v>
      </c>
      <c r="BN116" s="192">
        <f t="shared" si="79"/>
        <v>0</v>
      </c>
      <c r="BO116" s="192">
        <f t="shared" si="80"/>
        <v>1</v>
      </c>
      <c r="BP116" s="192">
        <f t="shared" si="81"/>
        <v>1</v>
      </c>
      <c r="BQ116" s="192">
        <f t="shared" si="82"/>
        <v>1</v>
      </c>
      <c r="BR116" s="192">
        <f t="shared" si="83"/>
        <v>1</v>
      </c>
      <c r="BS116" s="192">
        <f t="shared" si="84"/>
        <v>1</v>
      </c>
      <c r="BT116" s="192">
        <f t="shared" si="85"/>
        <v>0</v>
      </c>
      <c r="BU116" s="192">
        <f t="shared" si="85"/>
        <v>0</v>
      </c>
      <c r="BV116" s="192">
        <f t="shared" si="86"/>
        <v>0</v>
      </c>
      <c r="BW116" s="192">
        <f t="shared" si="87"/>
        <v>1</v>
      </c>
      <c r="BX116" s="192">
        <f t="shared" si="88"/>
        <v>1</v>
      </c>
      <c r="BY116" s="192">
        <f t="shared" si="89"/>
        <v>1</v>
      </c>
      <c r="BZ116" s="192">
        <f t="shared" si="90"/>
        <v>1</v>
      </c>
      <c r="CA116" s="192">
        <f t="shared" si="91"/>
        <v>1</v>
      </c>
      <c r="CB116" s="192">
        <f t="shared" si="92"/>
        <v>1</v>
      </c>
      <c r="CS116" s="324" t="b">
        <f t="shared" si="102"/>
        <v>0</v>
      </c>
      <c r="CT116" s="324" t="b">
        <f t="shared" si="93"/>
        <v>0</v>
      </c>
      <c r="CU116" s="324" t="b">
        <f t="shared" si="94"/>
        <v>1</v>
      </c>
      <c r="CV116" s="324" t="b">
        <f t="shared" si="95"/>
        <v>1</v>
      </c>
      <c r="CW116" s="324" t="b">
        <f t="shared" si="96"/>
        <v>1</v>
      </c>
      <c r="CX116" s="324" t="str">
        <f t="shared" si="103"/>
        <v/>
      </c>
    </row>
    <row r="117" spans="2:102" x14ac:dyDescent="0.25">
      <c r="B117" s="7" t="str">
        <f t="shared" si="97"/>
        <v/>
      </c>
      <c r="C117" s="7"/>
      <c r="D117" s="7"/>
      <c r="E117" s="7"/>
      <c r="F117" s="316"/>
      <c r="G117" s="6"/>
      <c r="H117" s="6"/>
      <c r="I117" s="6"/>
      <c r="J117" s="6"/>
      <c r="K117" s="6"/>
      <c r="L117" s="6"/>
      <c r="M117" s="6"/>
      <c r="N117" s="6"/>
      <c r="O117" s="6"/>
      <c r="P117" s="6"/>
      <c r="Q117" s="7" t="str">
        <f t="shared" si="98"/>
        <v/>
      </c>
      <c r="R117" s="6"/>
      <c r="S117" s="6"/>
      <c r="T117" s="6"/>
      <c r="U117" s="6"/>
      <c r="V117" s="6"/>
      <c r="W117" s="6"/>
      <c r="X117" s="6"/>
      <c r="Y117" s="6"/>
      <c r="Z117" s="6"/>
      <c r="AA117" s="6"/>
      <c r="AB117" s="7" t="str">
        <f t="shared" si="99"/>
        <v/>
      </c>
      <c r="AC117" s="7" t="str">
        <f t="shared" si="100"/>
        <v/>
      </c>
      <c r="AD117" s="7" t="str">
        <f>IF(G117="","",IF(AND(Z117&gt;='פרמטרים לקריטריונים'!$D$19,AA117&gt;='פרמטרים לקריטריונים'!$C$19),1,0))</f>
        <v/>
      </c>
      <c r="AE117" s="7" t="str" cm="1">
        <f t="array" ref="AE117">IF($F117="","",IF(OR(SUMPRODUCT(--(Z117:AA117&gt;=$Z$5:$AA$5))=COUNTA($Z$29:$AA$29),OR(AND(X117=1,OR(AB117=1,AC117=1)),AND(Y117=1,AD117=1))),1,0))</f>
        <v/>
      </c>
      <c r="AF117" s="6"/>
      <c r="AG117" s="6"/>
      <c r="AH117" s="6"/>
      <c r="AI117" s="6"/>
      <c r="AJ117" s="7" t="str">
        <f t="shared" si="57"/>
        <v/>
      </c>
      <c r="AK117" s="7"/>
      <c r="AL117" s="7"/>
      <c r="AM117" s="7"/>
      <c r="AN117" s="7"/>
      <c r="AO117" s="229" t="str">
        <f t="shared" si="58"/>
        <v/>
      </c>
      <c r="AP117" s="357"/>
      <c r="AQ117" s="193">
        <f t="shared" si="59"/>
        <v>0</v>
      </c>
      <c r="AR117" s="193" t="str">
        <f t="shared" si="56"/>
        <v/>
      </c>
      <c r="AS117" s="193" t="str">
        <f t="shared" si="56"/>
        <v/>
      </c>
      <c r="AT117" s="192">
        <f t="shared" si="101"/>
        <v>0</v>
      </c>
      <c r="AU117" s="192">
        <f t="shared" si="60"/>
        <v>0</v>
      </c>
      <c r="AV117" s="192">
        <f t="shared" si="61"/>
        <v>0</v>
      </c>
      <c r="AW117" s="192">
        <f t="shared" si="62"/>
        <v>0</v>
      </c>
      <c r="AX117" s="192">
        <f t="shared" si="63"/>
        <v>0</v>
      </c>
      <c r="AY117" s="192">
        <f t="shared" si="64"/>
        <v>0</v>
      </c>
      <c r="AZ117" s="192">
        <f t="shared" si="65"/>
        <v>0</v>
      </c>
      <c r="BA117" s="192">
        <f t="shared" si="66"/>
        <v>0</v>
      </c>
      <c r="BB117" s="192">
        <f t="shared" si="67"/>
        <v>0</v>
      </c>
      <c r="BC117" s="192">
        <f t="shared" si="68"/>
        <v>0</v>
      </c>
      <c r="BD117" s="192">
        <f t="shared" si="69"/>
        <v>1</v>
      </c>
      <c r="BE117" s="192">
        <f t="shared" si="70"/>
        <v>0</v>
      </c>
      <c r="BF117" s="192">
        <f t="shared" si="71"/>
        <v>0</v>
      </c>
      <c r="BG117" s="192">
        <f t="shared" si="72"/>
        <v>0</v>
      </c>
      <c r="BH117" s="192">
        <f t="shared" si="73"/>
        <v>0</v>
      </c>
      <c r="BI117" s="192">
        <f t="shared" si="74"/>
        <v>1</v>
      </c>
      <c r="BJ117" s="192">
        <f t="shared" si="75"/>
        <v>1</v>
      </c>
      <c r="BK117" s="192">
        <f t="shared" si="76"/>
        <v>1</v>
      </c>
      <c r="BL117" s="192">
        <f t="shared" si="77"/>
        <v>1</v>
      </c>
      <c r="BM117" s="192">
        <f t="shared" si="78"/>
        <v>0</v>
      </c>
      <c r="BN117" s="192">
        <f t="shared" si="79"/>
        <v>0</v>
      </c>
      <c r="BO117" s="192">
        <f t="shared" si="80"/>
        <v>1</v>
      </c>
      <c r="BP117" s="192">
        <f t="shared" si="81"/>
        <v>1</v>
      </c>
      <c r="BQ117" s="192">
        <f t="shared" si="82"/>
        <v>1</v>
      </c>
      <c r="BR117" s="192">
        <f t="shared" si="83"/>
        <v>1</v>
      </c>
      <c r="BS117" s="192">
        <f t="shared" si="84"/>
        <v>1</v>
      </c>
      <c r="BT117" s="192">
        <f t="shared" si="85"/>
        <v>0</v>
      </c>
      <c r="BU117" s="192">
        <f t="shared" si="85"/>
        <v>0</v>
      </c>
      <c r="BV117" s="192">
        <f t="shared" si="86"/>
        <v>0</v>
      </c>
      <c r="BW117" s="192">
        <f t="shared" si="87"/>
        <v>1</v>
      </c>
      <c r="BX117" s="192">
        <f t="shared" si="88"/>
        <v>1</v>
      </c>
      <c r="BY117" s="192">
        <f t="shared" si="89"/>
        <v>1</v>
      </c>
      <c r="BZ117" s="192">
        <f t="shared" si="90"/>
        <v>1</v>
      </c>
      <c r="CA117" s="192">
        <f t="shared" si="91"/>
        <v>1</v>
      </c>
      <c r="CB117" s="192">
        <f t="shared" si="92"/>
        <v>1</v>
      </c>
      <c r="CS117" s="324" t="b">
        <f t="shared" si="102"/>
        <v>0</v>
      </c>
      <c r="CT117" s="324" t="b">
        <f t="shared" si="93"/>
        <v>0</v>
      </c>
      <c r="CU117" s="324" t="b">
        <f t="shared" si="94"/>
        <v>1</v>
      </c>
      <c r="CV117" s="324" t="b">
        <f t="shared" si="95"/>
        <v>1</v>
      </c>
      <c r="CW117" s="324" t="b">
        <f t="shared" si="96"/>
        <v>1</v>
      </c>
      <c r="CX117" s="324" t="str">
        <f t="shared" si="103"/>
        <v/>
      </c>
    </row>
    <row r="118" spans="2:102" x14ac:dyDescent="0.25">
      <c r="B118" s="7" t="str">
        <f t="shared" si="97"/>
        <v/>
      </c>
      <c r="C118" s="7"/>
      <c r="D118" s="7"/>
      <c r="E118" s="7"/>
      <c r="F118" s="316"/>
      <c r="G118" s="6"/>
      <c r="H118" s="6"/>
      <c r="I118" s="6"/>
      <c r="J118" s="6"/>
      <c r="K118" s="6"/>
      <c r="L118" s="6"/>
      <c r="M118" s="6"/>
      <c r="N118" s="6"/>
      <c r="O118" s="6"/>
      <c r="P118" s="6"/>
      <c r="Q118" s="7" t="str">
        <f t="shared" si="98"/>
        <v/>
      </c>
      <c r="R118" s="6"/>
      <c r="S118" s="6"/>
      <c r="T118" s="6"/>
      <c r="U118" s="6"/>
      <c r="V118" s="6"/>
      <c r="W118" s="6"/>
      <c r="X118" s="6"/>
      <c r="Y118" s="6"/>
      <c r="Z118" s="6"/>
      <c r="AA118" s="6"/>
      <c r="AB118" s="7" t="str">
        <f t="shared" si="99"/>
        <v/>
      </c>
      <c r="AC118" s="7" t="str">
        <f t="shared" si="100"/>
        <v/>
      </c>
      <c r="AD118" s="7" t="str">
        <f>IF(G118="","",IF(AND(Z118&gt;='פרמטרים לקריטריונים'!$D$19,AA118&gt;='פרמטרים לקריטריונים'!$C$19),1,0))</f>
        <v/>
      </c>
      <c r="AE118" s="7" t="str" cm="1">
        <f t="array" ref="AE118">IF($F118="","",IF(OR(SUMPRODUCT(--(Z118:AA118&gt;=$Z$5:$AA$5))=COUNTA($Z$29:$AA$29),OR(AND(X118=1,OR(AB118=1,AC118=1)),AND(Y118=1,AD118=1))),1,0))</f>
        <v/>
      </c>
      <c r="AF118" s="6"/>
      <c r="AG118" s="6"/>
      <c r="AH118" s="6"/>
      <c r="AI118" s="6"/>
      <c r="AJ118" s="7" t="str">
        <f t="shared" si="57"/>
        <v/>
      </c>
      <c r="AK118" s="7"/>
      <c r="AL118" s="7"/>
      <c r="AM118" s="7"/>
      <c r="AN118" s="7"/>
      <c r="AO118" s="229" t="str">
        <f t="shared" si="58"/>
        <v/>
      </c>
      <c r="AP118" s="357"/>
      <c r="AQ118" s="193">
        <f t="shared" si="59"/>
        <v>0</v>
      </c>
      <c r="AR118" s="193" t="str">
        <f t="shared" si="56"/>
        <v/>
      </c>
      <c r="AS118" s="193" t="str">
        <f t="shared" si="56"/>
        <v/>
      </c>
      <c r="AT118" s="192">
        <f t="shared" si="101"/>
        <v>0</v>
      </c>
      <c r="AU118" s="192">
        <f t="shared" si="60"/>
        <v>0</v>
      </c>
      <c r="AV118" s="192">
        <f t="shared" si="61"/>
        <v>0</v>
      </c>
      <c r="AW118" s="192">
        <f t="shared" si="62"/>
        <v>0</v>
      </c>
      <c r="AX118" s="192">
        <f t="shared" si="63"/>
        <v>0</v>
      </c>
      <c r="AY118" s="192">
        <f t="shared" si="64"/>
        <v>0</v>
      </c>
      <c r="AZ118" s="192">
        <f t="shared" si="65"/>
        <v>0</v>
      </c>
      <c r="BA118" s="192">
        <f t="shared" si="66"/>
        <v>0</v>
      </c>
      <c r="BB118" s="192">
        <f t="shared" si="67"/>
        <v>0</v>
      </c>
      <c r="BC118" s="192">
        <f t="shared" si="68"/>
        <v>0</v>
      </c>
      <c r="BD118" s="192">
        <f t="shared" si="69"/>
        <v>1</v>
      </c>
      <c r="BE118" s="192">
        <f t="shared" si="70"/>
        <v>0</v>
      </c>
      <c r="BF118" s="192">
        <f t="shared" si="71"/>
        <v>0</v>
      </c>
      <c r="BG118" s="192">
        <f t="shared" si="72"/>
        <v>0</v>
      </c>
      <c r="BH118" s="192">
        <f t="shared" si="73"/>
        <v>0</v>
      </c>
      <c r="BI118" s="192">
        <f t="shared" si="74"/>
        <v>1</v>
      </c>
      <c r="BJ118" s="192">
        <f t="shared" si="75"/>
        <v>1</v>
      </c>
      <c r="BK118" s="192">
        <f t="shared" si="76"/>
        <v>1</v>
      </c>
      <c r="BL118" s="192">
        <f t="shared" si="77"/>
        <v>1</v>
      </c>
      <c r="BM118" s="192">
        <f t="shared" si="78"/>
        <v>0</v>
      </c>
      <c r="BN118" s="192">
        <f t="shared" si="79"/>
        <v>0</v>
      </c>
      <c r="BO118" s="192">
        <f t="shared" si="80"/>
        <v>1</v>
      </c>
      <c r="BP118" s="192">
        <f t="shared" si="81"/>
        <v>1</v>
      </c>
      <c r="BQ118" s="192">
        <f t="shared" si="82"/>
        <v>1</v>
      </c>
      <c r="BR118" s="192">
        <f t="shared" si="83"/>
        <v>1</v>
      </c>
      <c r="BS118" s="192">
        <f t="shared" si="84"/>
        <v>1</v>
      </c>
      <c r="BT118" s="192">
        <f t="shared" si="85"/>
        <v>0</v>
      </c>
      <c r="BU118" s="192">
        <f t="shared" si="85"/>
        <v>0</v>
      </c>
      <c r="BV118" s="192">
        <f t="shared" si="86"/>
        <v>0</v>
      </c>
      <c r="BW118" s="192">
        <f t="shared" si="87"/>
        <v>1</v>
      </c>
      <c r="BX118" s="192">
        <f t="shared" si="88"/>
        <v>1</v>
      </c>
      <c r="BY118" s="192">
        <f t="shared" si="89"/>
        <v>1</v>
      </c>
      <c r="BZ118" s="192">
        <f t="shared" si="90"/>
        <v>1</v>
      </c>
      <c r="CA118" s="192">
        <f t="shared" si="91"/>
        <v>1</v>
      </c>
      <c r="CB118" s="192">
        <f t="shared" si="92"/>
        <v>1</v>
      </c>
      <c r="CS118" s="324" t="b">
        <f t="shared" si="102"/>
        <v>0</v>
      </c>
      <c r="CT118" s="324" t="b">
        <f t="shared" si="93"/>
        <v>0</v>
      </c>
      <c r="CU118" s="324" t="b">
        <f t="shared" si="94"/>
        <v>1</v>
      </c>
      <c r="CV118" s="324" t="b">
        <f t="shared" si="95"/>
        <v>1</v>
      </c>
      <c r="CW118" s="324" t="b">
        <f t="shared" si="96"/>
        <v>1</v>
      </c>
      <c r="CX118" s="324" t="str">
        <f t="shared" si="103"/>
        <v/>
      </c>
    </row>
    <row r="119" spans="2:102" x14ac:dyDescent="0.25">
      <c r="B119" s="7" t="str">
        <f t="shared" si="97"/>
        <v/>
      </c>
      <c r="C119" s="7"/>
      <c r="D119" s="7"/>
      <c r="E119" s="7"/>
      <c r="F119" s="316"/>
      <c r="G119" s="6"/>
      <c r="H119" s="6"/>
      <c r="I119" s="6"/>
      <c r="J119" s="6"/>
      <c r="K119" s="6"/>
      <c r="L119" s="6"/>
      <c r="M119" s="6"/>
      <c r="N119" s="6"/>
      <c r="O119" s="6"/>
      <c r="P119" s="6"/>
      <c r="Q119" s="7" t="str">
        <f t="shared" si="98"/>
        <v/>
      </c>
      <c r="R119" s="6"/>
      <c r="S119" s="6"/>
      <c r="T119" s="6"/>
      <c r="U119" s="6"/>
      <c r="V119" s="6"/>
      <c r="W119" s="6"/>
      <c r="X119" s="6"/>
      <c r="Y119" s="6"/>
      <c r="Z119" s="6"/>
      <c r="AA119" s="6"/>
      <c r="AB119" s="7" t="str">
        <f t="shared" si="99"/>
        <v/>
      </c>
      <c r="AC119" s="7" t="str">
        <f t="shared" si="100"/>
        <v/>
      </c>
      <c r="AD119" s="7" t="str">
        <f>IF(G119="","",IF(AND(Z119&gt;='פרמטרים לקריטריונים'!$D$19,AA119&gt;='פרמטרים לקריטריונים'!$C$19),1,0))</f>
        <v/>
      </c>
      <c r="AE119" s="7" t="str" cm="1">
        <f t="array" ref="AE119">IF($F119="","",IF(OR(SUMPRODUCT(--(Z119:AA119&gt;=$Z$5:$AA$5))=COUNTA($Z$29:$AA$29),OR(AND(X119=1,OR(AB119=1,AC119=1)),AND(Y119=1,AD119=1))),1,0))</f>
        <v/>
      </c>
      <c r="AF119" s="6"/>
      <c r="AG119" s="6"/>
      <c r="AH119" s="6"/>
      <c r="AI119" s="6"/>
      <c r="AJ119" s="7" t="str">
        <f t="shared" si="57"/>
        <v/>
      </c>
      <c r="AK119" s="7"/>
      <c r="AL119" s="7"/>
      <c r="AM119" s="7"/>
      <c r="AN119" s="7"/>
      <c r="AO119" s="229" t="str">
        <f t="shared" si="58"/>
        <v/>
      </c>
      <c r="AP119" s="357"/>
      <c r="AQ119" s="193">
        <f t="shared" si="59"/>
        <v>0</v>
      </c>
      <c r="AR119" s="193" t="str">
        <f t="shared" si="56"/>
        <v/>
      </c>
      <c r="AS119" s="193" t="str">
        <f t="shared" si="56"/>
        <v/>
      </c>
      <c r="AT119" s="192">
        <f t="shared" si="101"/>
        <v>0</v>
      </c>
      <c r="AU119" s="192">
        <f t="shared" si="60"/>
        <v>0</v>
      </c>
      <c r="AV119" s="192">
        <f t="shared" si="61"/>
        <v>0</v>
      </c>
      <c r="AW119" s="192">
        <f t="shared" si="62"/>
        <v>0</v>
      </c>
      <c r="AX119" s="192">
        <f t="shared" si="63"/>
        <v>0</v>
      </c>
      <c r="AY119" s="192">
        <f t="shared" si="64"/>
        <v>0</v>
      </c>
      <c r="AZ119" s="192">
        <f t="shared" si="65"/>
        <v>0</v>
      </c>
      <c r="BA119" s="192">
        <f t="shared" si="66"/>
        <v>0</v>
      </c>
      <c r="BB119" s="192">
        <f t="shared" si="67"/>
        <v>0</v>
      </c>
      <c r="BC119" s="192">
        <f t="shared" si="68"/>
        <v>0</v>
      </c>
      <c r="BD119" s="192">
        <f t="shared" si="69"/>
        <v>1</v>
      </c>
      <c r="BE119" s="192">
        <f t="shared" si="70"/>
        <v>0</v>
      </c>
      <c r="BF119" s="192">
        <f t="shared" si="71"/>
        <v>0</v>
      </c>
      <c r="BG119" s="192">
        <f t="shared" si="72"/>
        <v>0</v>
      </c>
      <c r="BH119" s="192">
        <f t="shared" si="73"/>
        <v>0</v>
      </c>
      <c r="BI119" s="192">
        <f t="shared" si="74"/>
        <v>1</v>
      </c>
      <c r="BJ119" s="192">
        <f t="shared" si="75"/>
        <v>1</v>
      </c>
      <c r="BK119" s="192">
        <f t="shared" si="76"/>
        <v>1</v>
      </c>
      <c r="BL119" s="192">
        <f t="shared" si="77"/>
        <v>1</v>
      </c>
      <c r="BM119" s="192">
        <f t="shared" si="78"/>
        <v>0</v>
      </c>
      <c r="BN119" s="192">
        <f t="shared" si="79"/>
        <v>0</v>
      </c>
      <c r="BO119" s="192">
        <f t="shared" si="80"/>
        <v>1</v>
      </c>
      <c r="BP119" s="192">
        <f t="shared" si="81"/>
        <v>1</v>
      </c>
      <c r="BQ119" s="192">
        <f t="shared" si="82"/>
        <v>1</v>
      </c>
      <c r="BR119" s="192">
        <f t="shared" si="83"/>
        <v>1</v>
      </c>
      <c r="BS119" s="192">
        <f t="shared" si="84"/>
        <v>1</v>
      </c>
      <c r="BT119" s="192">
        <f t="shared" si="85"/>
        <v>0</v>
      </c>
      <c r="BU119" s="192">
        <f t="shared" si="85"/>
        <v>0</v>
      </c>
      <c r="BV119" s="192">
        <f t="shared" si="86"/>
        <v>0</v>
      </c>
      <c r="BW119" s="192">
        <f t="shared" si="87"/>
        <v>1</v>
      </c>
      <c r="BX119" s="192">
        <f t="shared" si="88"/>
        <v>1</v>
      </c>
      <c r="BY119" s="192">
        <f t="shared" si="89"/>
        <v>1</v>
      </c>
      <c r="BZ119" s="192">
        <f t="shared" si="90"/>
        <v>1</v>
      </c>
      <c r="CA119" s="192">
        <f t="shared" si="91"/>
        <v>1</v>
      </c>
      <c r="CB119" s="192">
        <f t="shared" si="92"/>
        <v>1</v>
      </c>
      <c r="CS119" s="324" t="b">
        <f t="shared" si="102"/>
        <v>0</v>
      </c>
      <c r="CT119" s="324" t="b">
        <f t="shared" si="93"/>
        <v>0</v>
      </c>
      <c r="CU119" s="324" t="b">
        <f t="shared" si="94"/>
        <v>1</v>
      </c>
      <c r="CV119" s="324" t="b">
        <f t="shared" si="95"/>
        <v>1</v>
      </c>
      <c r="CW119" s="324" t="b">
        <f t="shared" si="96"/>
        <v>1</v>
      </c>
      <c r="CX119" s="324" t="str">
        <f t="shared" si="103"/>
        <v/>
      </c>
    </row>
    <row r="120" spans="2:102" x14ac:dyDescent="0.25">
      <c r="B120" s="7" t="str">
        <f t="shared" si="97"/>
        <v/>
      </c>
      <c r="C120" s="7"/>
      <c r="D120" s="7"/>
      <c r="E120" s="7"/>
      <c r="F120" s="316"/>
      <c r="G120" s="6"/>
      <c r="H120" s="6"/>
      <c r="I120" s="6"/>
      <c r="J120" s="6"/>
      <c r="K120" s="6"/>
      <c r="L120" s="6"/>
      <c r="M120" s="6"/>
      <c r="N120" s="6"/>
      <c r="O120" s="6"/>
      <c r="P120" s="6"/>
      <c r="Q120" s="7" t="str">
        <f t="shared" si="98"/>
        <v/>
      </c>
      <c r="R120" s="6"/>
      <c r="S120" s="6"/>
      <c r="T120" s="6"/>
      <c r="U120" s="6"/>
      <c r="V120" s="6"/>
      <c r="W120" s="6"/>
      <c r="X120" s="6"/>
      <c r="Y120" s="6"/>
      <c r="Z120" s="6"/>
      <c r="AA120" s="6"/>
      <c r="AB120" s="7" t="str">
        <f t="shared" si="99"/>
        <v/>
      </c>
      <c r="AC120" s="7" t="str">
        <f t="shared" si="100"/>
        <v/>
      </c>
      <c r="AD120" s="7" t="str">
        <f>IF(G120="","",IF(AND(Z120&gt;='פרמטרים לקריטריונים'!$D$19,AA120&gt;='פרמטרים לקריטריונים'!$C$19),1,0))</f>
        <v/>
      </c>
      <c r="AE120" s="7" t="str" cm="1">
        <f t="array" ref="AE120">IF($F120="","",IF(OR(SUMPRODUCT(--(Z120:AA120&gt;=$Z$5:$AA$5))=COUNTA($Z$29:$AA$29),OR(AND(X120=1,OR(AB120=1,AC120=1)),AND(Y120=1,AD120=1))),1,0))</f>
        <v/>
      </c>
      <c r="AF120" s="6"/>
      <c r="AG120" s="6"/>
      <c r="AH120" s="6"/>
      <c r="AI120" s="6"/>
      <c r="AJ120" s="7" t="str">
        <f t="shared" si="57"/>
        <v/>
      </c>
      <c r="AK120" s="7"/>
      <c r="AL120" s="7"/>
      <c r="AM120" s="7"/>
      <c r="AN120" s="7"/>
      <c r="AO120" s="229" t="str">
        <f t="shared" si="58"/>
        <v/>
      </c>
      <c r="AP120" s="357"/>
      <c r="AQ120" s="193">
        <f t="shared" si="59"/>
        <v>0</v>
      </c>
      <c r="AR120" s="193" t="str">
        <f t="shared" si="56"/>
        <v/>
      </c>
      <c r="AS120" s="193" t="str">
        <f t="shared" si="56"/>
        <v/>
      </c>
      <c r="AT120" s="192">
        <f t="shared" si="101"/>
        <v>0</v>
      </c>
      <c r="AU120" s="192">
        <f t="shared" si="60"/>
        <v>0</v>
      </c>
      <c r="AV120" s="192">
        <f t="shared" si="61"/>
        <v>0</v>
      </c>
      <c r="AW120" s="192">
        <f t="shared" si="62"/>
        <v>0</v>
      </c>
      <c r="AX120" s="192">
        <f t="shared" si="63"/>
        <v>0</v>
      </c>
      <c r="AY120" s="192">
        <f t="shared" si="64"/>
        <v>0</v>
      </c>
      <c r="AZ120" s="192">
        <f t="shared" si="65"/>
        <v>0</v>
      </c>
      <c r="BA120" s="192">
        <f t="shared" si="66"/>
        <v>0</v>
      </c>
      <c r="BB120" s="192">
        <f t="shared" si="67"/>
        <v>0</v>
      </c>
      <c r="BC120" s="192">
        <f t="shared" si="68"/>
        <v>0</v>
      </c>
      <c r="BD120" s="192">
        <f t="shared" si="69"/>
        <v>1</v>
      </c>
      <c r="BE120" s="192">
        <f t="shared" si="70"/>
        <v>0</v>
      </c>
      <c r="BF120" s="192">
        <f t="shared" si="71"/>
        <v>0</v>
      </c>
      <c r="BG120" s="192">
        <f t="shared" si="72"/>
        <v>0</v>
      </c>
      <c r="BH120" s="192">
        <f t="shared" si="73"/>
        <v>0</v>
      </c>
      <c r="BI120" s="192">
        <f t="shared" si="74"/>
        <v>1</v>
      </c>
      <c r="BJ120" s="192">
        <f t="shared" si="75"/>
        <v>1</v>
      </c>
      <c r="BK120" s="192">
        <f t="shared" si="76"/>
        <v>1</v>
      </c>
      <c r="BL120" s="192">
        <f t="shared" si="77"/>
        <v>1</v>
      </c>
      <c r="BM120" s="192">
        <f t="shared" si="78"/>
        <v>0</v>
      </c>
      <c r="BN120" s="192">
        <f t="shared" si="79"/>
        <v>0</v>
      </c>
      <c r="BO120" s="192">
        <f t="shared" si="80"/>
        <v>1</v>
      </c>
      <c r="BP120" s="192">
        <f t="shared" si="81"/>
        <v>1</v>
      </c>
      <c r="BQ120" s="192">
        <f t="shared" si="82"/>
        <v>1</v>
      </c>
      <c r="BR120" s="192">
        <f t="shared" si="83"/>
        <v>1</v>
      </c>
      <c r="BS120" s="192">
        <f t="shared" si="84"/>
        <v>1</v>
      </c>
      <c r="BT120" s="192">
        <f t="shared" si="85"/>
        <v>0</v>
      </c>
      <c r="BU120" s="192">
        <f t="shared" si="85"/>
        <v>0</v>
      </c>
      <c r="BV120" s="192">
        <f t="shared" si="86"/>
        <v>0</v>
      </c>
      <c r="BW120" s="192">
        <f t="shared" si="87"/>
        <v>1</v>
      </c>
      <c r="BX120" s="192">
        <f t="shared" si="88"/>
        <v>1</v>
      </c>
      <c r="BY120" s="192">
        <f t="shared" si="89"/>
        <v>1</v>
      </c>
      <c r="BZ120" s="192">
        <f t="shared" si="90"/>
        <v>1</v>
      </c>
      <c r="CA120" s="192">
        <f t="shared" si="91"/>
        <v>1</v>
      </c>
      <c r="CB120" s="192">
        <f t="shared" si="92"/>
        <v>1</v>
      </c>
      <c r="CS120" s="324" t="b">
        <f t="shared" si="102"/>
        <v>0</v>
      </c>
      <c r="CT120" s="324" t="b">
        <f t="shared" si="93"/>
        <v>0</v>
      </c>
      <c r="CU120" s="324" t="b">
        <f t="shared" si="94"/>
        <v>1</v>
      </c>
      <c r="CV120" s="324" t="b">
        <f t="shared" si="95"/>
        <v>1</v>
      </c>
      <c r="CW120" s="324" t="b">
        <f t="shared" si="96"/>
        <v>1</v>
      </c>
      <c r="CX120" s="324" t="str">
        <f t="shared" si="103"/>
        <v/>
      </c>
    </row>
    <row r="121" spans="2:102" x14ac:dyDescent="0.25">
      <c r="B121" s="7" t="str">
        <f t="shared" si="97"/>
        <v/>
      </c>
      <c r="C121" s="7"/>
      <c r="D121" s="7"/>
      <c r="E121" s="7"/>
      <c r="F121" s="316"/>
      <c r="G121" s="6"/>
      <c r="H121" s="6"/>
      <c r="I121" s="6"/>
      <c r="J121" s="6"/>
      <c r="K121" s="6"/>
      <c r="L121" s="6"/>
      <c r="M121" s="6"/>
      <c r="N121" s="6"/>
      <c r="O121" s="6"/>
      <c r="P121" s="6"/>
      <c r="Q121" s="7" t="str">
        <f t="shared" si="98"/>
        <v/>
      </c>
      <c r="R121" s="6"/>
      <c r="S121" s="6"/>
      <c r="T121" s="6"/>
      <c r="U121" s="6"/>
      <c r="V121" s="6"/>
      <c r="W121" s="6"/>
      <c r="X121" s="6"/>
      <c r="Y121" s="6"/>
      <c r="Z121" s="6"/>
      <c r="AA121" s="6"/>
      <c r="AB121" s="7" t="str">
        <f t="shared" si="99"/>
        <v/>
      </c>
      <c r="AC121" s="7" t="str">
        <f t="shared" si="100"/>
        <v/>
      </c>
      <c r="AD121" s="7" t="str">
        <f>IF(G121="","",IF(AND(Z121&gt;='פרמטרים לקריטריונים'!$D$19,AA121&gt;='פרמטרים לקריטריונים'!$C$19),1,0))</f>
        <v/>
      </c>
      <c r="AE121" s="7" t="str" cm="1">
        <f t="array" ref="AE121">IF($F121="","",IF(OR(SUMPRODUCT(--(Z121:AA121&gt;=$Z$5:$AA$5))=COUNTA($Z$29:$AA$29),OR(AND(X121=1,OR(AB121=1,AC121=1)),AND(Y121=1,AD121=1))),1,0))</f>
        <v/>
      </c>
      <c r="AF121" s="6"/>
      <c r="AG121" s="6"/>
      <c r="AH121" s="6"/>
      <c r="AI121" s="6"/>
      <c r="AJ121" s="7" t="str">
        <f t="shared" si="57"/>
        <v/>
      </c>
      <c r="AK121" s="7"/>
      <c r="AL121" s="7"/>
      <c r="AM121" s="7"/>
      <c r="AN121" s="7"/>
      <c r="AO121" s="229" t="str">
        <f t="shared" si="58"/>
        <v/>
      </c>
      <c r="AP121" s="357"/>
      <c r="AQ121" s="193">
        <f t="shared" si="59"/>
        <v>0</v>
      </c>
      <c r="AR121" s="193" t="str">
        <f t="shared" si="56"/>
        <v/>
      </c>
      <c r="AS121" s="193" t="str">
        <f t="shared" si="56"/>
        <v/>
      </c>
      <c r="AT121" s="192">
        <f t="shared" si="101"/>
        <v>0</v>
      </c>
      <c r="AU121" s="192">
        <f t="shared" si="60"/>
        <v>0</v>
      </c>
      <c r="AV121" s="192">
        <f t="shared" si="61"/>
        <v>0</v>
      </c>
      <c r="AW121" s="192">
        <f t="shared" si="62"/>
        <v>0</v>
      </c>
      <c r="AX121" s="192">
        <f t="shared" si="63"/>
        <v>0</v>
      </c>
      <c r="AY121" s="192">
        <f t="shared" si="64"/>
        <v>0</v>
      </c>
      <c r="AZ121" s="192">
        <f t="shared" si="65"/>
        <v>0</v>
      </c>
      <c r="BA121" s="192">
        <f t="shared" si="66"/>
        <v>0</v>
      </c>
      <c r="BB121" s="192">
        <f t="shared" si="67"/>
        <v>0</v>
      </c>
      <c r="BC121" s="192">
        <f t="shared" si="68"/>
        <v>0</v>
      </c>
      <c r="BD121" s="192">
        <f t="shared" si="69"/>
        <v>1</v>
      </c>
      <c r="BE121" s="192">
        <f t="shared" si="70"/>
        <v>0</v>
      </c>
      <c r="BF121" s="192">
        <f t="shared" si="71"/>
        <v>0</v>
      </c>
      <c r="BG121" s="192">
        <f t="shared" si="72"/>
        <v>0</v>
      </c>
      <c r="BH121" s="192">
        <f t="shared" si="73"/>
        <v>0</v>
      </c>
      <c r="BI121" s="192">
        <f t="shared" si="74"/>
        <v>1</v>
      </c>
      <c r="BJ121" s="192">
        <f t="shared" si="75"/>
        <v>1</v>
      </c>
      <c r="BK121" s="192">
        <f t="shared" si="76"/>
        <v>1</v>
      </c>
      <c r="BL121" s="192">
        <f t="shared" si="77"/>
        <v>1</v>
      </c>
      <c r="BM121" s="192">
        <f t="shared" si="78"/>
        <v>0</v>
      </c>
      <c r="BN121" s="192">
        <f t="shared" si="79"/>
        <v>0</v>
      </c>
      <c r="BO121" s="192">
        <f t="shared" si="80"/>
        <v>1</v>
      </c>
      <c r="BP121" s="192">
        <f t="shared" si="81"/>
        <v>1</v>
      </c>
      <c r="BQ121" s="192">
        <f t="shared" si="82"/>
        <v>1</v>
      </c>
      <c r="BR121" s="192">
        <f t="shared" si="83"/>
        <v>1</v>
      </c>
      <c r="BS121" s="192">
        <f t="shared" si="84"/>
        <v>1</v>
      </c>
      <c r="BT121" s="192">
        <f t="shared" si="85"/>
        <v>0</v>
      </c>
      <c r="BU121" s="192">
        <f t="shared" si="85"/>
        <v>0</v>
      </c>
      <c r="BV121" s="192">
        <f t="shared" si="86"/>
        <v>0</v>
      </c>
      <c r="BW121" s="192">
        <f t="shared" si="87"/>
        <v>1</v>
      </c>
      <c r="BX121" s="192">
        <f t="shared" si="88"/>
        <v>1</v>
      </c>
      <c r="BY121" s="192">
        <f t="shared" si="89"/>
        <v>1</v>
      </c>
      <c r="BZ121" s="192">
        <f t="shared" si="90"/>
        <v>1</v>
      </c>
      <c r="CA121" s="192">
        <f t="shared" si="91"/>
        <v>1</v>
      </c>
      <c r="CB121" s="192">
        <f t="shared" si="92"/>
        <v>1</v>
      </c>
      <c r="CS121" s="324" t="b">
        <f t="shared" si="102"/>
        <v>0</v>
      </c>
      <c r="CT121" s="324" t="b">
        <f t="shared" si="93"/>
        <v>0</v>
      </c>
      <c r="CU121" s="324" t="b">
        <f t="shared" si="94"/>
        <v>1</v>
      </c>
      <c r="CV121" s="324" t="b">
        <f t="shared" si="95"/>
        <v>1</v>
      </c>
      <c r="CW121" s="324" t="b">
        <f t="shared" si="96"/>
        <v>1</v>
      </c>
      <c r="CX121" s="324" t="str">
        <f t="shared" si="103"/>
        <v/>
      </c>
    </row>
    <row r="122" spans="2:102" ht="12" customHeight="1" x14ac:dyDescent="0.25">
      <c r="B122" s="7" t="str">
        <f t="shared" si="97"/>
        <v/>
      </c>
      <c r="C122" s="7"/>
      <c r="D122" s="7"/>
      <c r="E122" s="7"/>
      <c r="F122" s="316"/>
      <c r="G122" s="6"/>
      <c r="H122" s="6"/>
      <c r="I122" s="6"/>
      <c r="J122" s="6"/>
      <c r="K122" s="6"/>
      <c r="L122" s="6"/>
      <c r="M122" s="6"/>
      <c r="N122" s="6"/>
      <c r="O122" s="6"/>
      <c r="P122" s="6"/>
      <c r="Q122" s="7" t="str">
        <f t="shared" si="98"/>
        <v/>
      </c>
      <c r="R122" s="6"/>
      <c r="S122" s="6"/>
      <c r="T122" s="6"/>
      <c r="U122" s="6"/>
      <c r="V122" s="6"/>
      <c r="W122" s="6"/>
      <c r="X122" s="6"/>
      <c r="Y122" s="6"/>
      <c r="Z122" s="6"/>
      <c r="AA122" s="6"/>
      <c r="AB122" s="7" t="str">
        <f t="shared" si="99"/>
        <v/>
      </c>
      <c r="AC122" s="7" t="str">
        <f t="shared" si="100"/>
        <v/>
      </c>
      <c r="AD122" s="7" t="str">
        <f>IF(G122="","",IF(AND(Z122&gt;='פרמטרים לקריטריונים'!$D$19,AA122&gt;='פרמטרים לקריטריונים'!$C$19),1,0))</f>
        <v/>
      </c>
      <c r="AE122" s="7" t="str" cm="1">
        <f t="array" ref="AE122">IF($F122="","",IF(OR(SUMPRODUCT(--(Z122:AA122&gt;=$Z$5:$AA$5))=COUNTA($Z$29:$AA$29),OR(AND(X122=1,OR(AB122=1,AC122=1)),AND(Y122=1,AD122=1))),1,0))</f>
        <v/>
      </c>
      <c r="AF122" s="6"/>
      <c r="AG122" s="6"/>
      <c r="AH122" s="6"/>
      <c r="AI122" s="6"/>
      <c r="AJ122" s="7" t="str">
        <f t="shared" si="57"/>
        <v/>
      </c>
      <c r="AK122" s="7"/>
      <c r="AL122" s="7"/>
      <c r="AM122" s="7"/>
      <c r="AN122" s="7"/>
      <c r="AO122" s="229" t="str">
        <f t="shared" si="58"/>
        <v/>
      </c>
      <c r="AP122" s="357"/>
      <c r="AQ122" s="193">
        <f t="shared" si="59"/>
        <v>0</v>
      </c>
      <c r="AR122" s="193" t="str">
        <f t="shared" si="56"/>
        <v/>
      </c>
      <c r="AS122" s="193" t="str">
        <f t="shared" si="56"/>
        <v/>
      </c>
      <c r="AT122" s="192">
        <f t="shared" si="101"/>
        <v>0</v>
      </c>
      <c r="AU122" s="192">
        <f t="shared" si="60"/>
        <v>0</v>
      </c>
      <c r="AV122" s="192">
        <f t="shared" si="61"/>
        <v>0</v>
      </c>
      <c r="AW122" s="192">
        <f t="shared" si="62"/>
        <v>0</v>
      </c>
      <c r="AX122" s="192">
        <f t="shared" si="63"/>
        <v>0</v>
      </c>
      <c r="AY122" s="192">
        <f t="shared" si="64"/>
        <v>0</v>
      </c>
      <c r="AZ122" s="192">
        <f t="shared" si="65"/>
        <v>0</v>
      </c>
      <c r="BA122" s="192">
        <f t="shared" si="66"/>
        <v>0</v>
      </c>
      <c r="BB122" s="192">
        <f t="shared" si="67"/>
        <v>0</v>
      </c>
      <c r="BC122" s="192">
        <f t="shared" si="68"/>
        <v>0</v>
      </c>
      <c r="BD122" s="192">
        <f t="shared" si="69"/>
        <v>1</v>
      </c>
      <c r="BE122" s="192">
        <f t="shared" si="70"/>
        <v>0</v>
      </c>
      <c r="BF122" s="192">
        <f t="shared" si="71"/>
        <v>0</v>
      </c>
      <c r="BG122" s="192">
        <f t="shared" si="72"/>
        <v>0</v>
      </c>
      <c r="BH122" s="192">
        <f t="shared" si="73"/>
        <v>0</v>
      </c>
      <c r="BI122" s="192">
        <f t="shared" si="74"/>
        <v>1</v>
      </c>
      <c r="BJ122" s="192">
        <f t="shared" si="75"/>
        <v>1</v>
      </c>
      <c r="BK122" s="192">
        <f t="shared" si="76"/>
        <v>1</v>
      </c>
      <c r="BL122" s="192">
        <f t="shared" si="77"/>
        <v>1</v>
      </c>
      <c r="BM122" s="192">
        <f t="shared" si="78"/>
        <v>0</v>
      </c>
      <c r="BN122" s="192">
        <f t="shared" si="79"/>
        <v>0</v>
      </c>
      <c r="BO122" s="192">
        <f t="shared" si="80"/>
        <v>1</v>
      </c>
      <c r="BP122" s="192">
        <f t="shared" si="81"/>
        <v>1</v>
      </c>
      <c r="BQ122" s="192">
        <f t="shared" si="82"/>
        <v>1</v>
      </c>
      <c r="BR122" s="192">
        <f t="shared" si="83"/>
        <v>1</v>
      </c>
      <c r="BS122" s="192">
        <f t="shared" si="84"/>
        <v>1</v>
      </c>
      <c r="BT122" s="192">
        <f t="shared" si="85"/>
        <v>0</v>
      </c>
      <c r="BU122" s="192">
        <f t="shared" si="85"/>
        <v>0</v>
      </c>
      <c r="BV122" s="192">
        <f t="shared" si="86"/>
        <v>0</v>
      </c>
      <c r="BW122" s="192">
        <f t="shared" si="87"/>
        <v>1</v>
      </c>
      <c r="BX122" s="192">
        <f t="shared" si="88"/>
        <v>1</v>
      </c>
      <c r="BY122" s="192">
        <f t="shared" si="89"/>
        <v>1</v>
      </c>
      <c r="BZ122" s="192">
        <f t="shared" si="90"/>
        <v>1</v>
      </c>
      <c r="CA122" s="192">
        <f t="shared" si="91"/>
        <v>1</v>
      </c>
      <c r="CB122" s="192">
        <f t="shared" si="92"/>
        <v>1</v>
      </c>
      <c r="CS122" s="324" t="b">
        <f t="shared" si="102"/>
        <v>0</v>
      </c>
      <c r="CT122" s="324" t="b">
        <f t="shared" si="93"/>
        <v>0</v>
      </c>
      <c r="CU122" s="324" t="b">
        <f t="shared" si="94"/>
        <v>1</v>
      </c>
      <c r="CV122" s="324" t="b">
        <f t="shared" si="95"/>
        <v>1</v>
      </c>
      <c r="CW122" s="324" t="b">
        <f t="shared" si="96"/>
        <v>1</v>
      </c>
      <c r="CX122" s="324" t="str">
        <f t="shared" si="103"/>
        <v/>
      </c>
    </row>
    <row r="123" spans="2:102" ht="13.5" customHeight="1" x14ac:dyDescent="0.25">
      <c r="B123" s="7" t="str">
        <f t="shared" si="97"/>
        <v/>
      </c>
      <c r="C123" s="7"/>
      <c r="D123" s="7"/>
      <c r="E123" s="7"/>
      <c r="F123" s="316"/>
      <c r="G123" s="6"/>
      <c r="H123" s="6"/>
      <c r="I123" s="6"/>
      <c r="J123" s="6"/>
      <c r="K123" s="6"/>
      <c r="L123" s="6"/>
      <c r="M123" s="6"/>
      <c r="N123" s="6"/>
      <c r="O123" s="6"/>
      <c r="P123" s="6"/>
      <c r="Q123" s="7" t="str">
        <f t="shared" si="98"/>
        <v/>
      </c>
      <c r="R123" s="6"/>
      <c r="S123" s="6"/>
      <c r="T123" s="6"/>
      <c r="U123" s="6"/>
      <c r="V123" s="6"/>
      <c r="W123" s="6"/>
      <c r="X123" s="6"/>
      <c r="Y123" s="6"/>
      <c r="Z123" s="6"/>
      <c r="AA123" s="6"/>
      <c r="AB123" s="7" t="str">
        <f t="shared" si="99"/>
        <v/>
      </c>
      <c r="AC123" s="7" t="str">
        <f t="shared" si="100"/>
        <v/>
      </c>
      <c r="AD123" s="7" t="str">
        <f>IF(G123="","",IF(AND(Z123&gt;='פרמטרים לקריטריונים'!$D$19,AA123&gt;='פרמטרים לקריטריונים'!$C$19),1,0))</f>
        <v/>
      </c>
      <c r="AE123" s="7" t="str" cm="1">
        <f t="array" ref="AE123">IF($F123="","",IF(OR(SUMPRODUCT(--(Z123:AA123&gt;=$Z$5:$AA$5))=COUNTA($Z$29:$AA$29),OR(AND(X123=1,OR(AB123=1,AC123=1)),AND(Y123=1,AD123=1))),1,0))</f>
        <v/>
      </c>
      <c r="AF123" s="6"/>
      <c r="AG123" s="6"/>
      <c r="AH123" s="6"/>
      <c r="AI123" s="6"/>
      <c r="AJ123" s="7" t="str">
        <f t="shared" si="57"/>
        <v/>
      </c>
      <c r="AK123" s="7"/>
      <c r="AL123" s="7"/>
      <c r="AM123" s="7"/>
      <c r="AN123" s="7"/>
      <c r="AO123" s="229" t="str">
        <f t="shared" si="58"/>
        <v/>
      </c>
      <c r="AP123" s="357"/>
      <c r="AQ123" s="193">
        <f t="shared" si="59"/>
        <v>0</v>
      </c>
      <c r="AR123" s="193" t="str">
        <f t="shared" si="56"/>
        <v/>
      </c>
      <c r="AS123" s="193" t="str">
        <f t="shared" si="56"/>
        <v/>
      </c>
      <c r="AT123" s="192">
        <f t="shared" si="101"/>
        <v>0</v>
      </c>
      <c r="AU123" s="192">
        <f t="shared" si="60"/>
        <v>0</v>
      </c>
      <c r="AV123" s="192">
        <f t="shared" si="61"/>
        <v>0</v>
      </c>
      <c r="AW123" s="192">
        <f t="shared" si="62"/>
        <v>0</v>
      </c>
      <c r="AX123" s="192">
        <f t="shared" si="63"/>
        <v>0</v>
      </c>
      <c r="AY123" s="192">
        <f t="shared" si="64"/>
        <v>0</v>
      </c>
      <c r="AZ123" s="192">
        <f t="shared" si="65"/>
        <v>0</v>
      </c>
      <c r="BA123" s="192">
        <f t="shared" si="66"/>
        <v>0</v>
      </c>
      <c r="BB123" s="192">
        <f t="shared" si="67"/>
        <v>0</v>
      </c>
      <c r="BC123" s="192">
        <f t="shared" si="68"/>
        <v>0</v>
      </c>
      <c r="BD123" s="192">
        <f t="shared" si="69"/>
        <v>1</v>
      </c>
      <c r="BE123" s="192">
        <f t="shared" si="70"/>
        <v>0</v>
      </c>
      <c r="BF123" s="192">
        <f t="shared" si="71"/>
        <v>0</v>
      </c>
      <c r="BG123" s="192">
        <f t="shared" si="72"/>
        <v>0</v>
      </c>
      <c r="BH123" s="192">
        <f t="shared" si="73"/>
        <v>0</v>
      </c>
      <c r="BI123" s="192">
        <f t="shared" si="74"/>
        <v>1</v>
      </c>
      <c r="BJ123" s="192">
        <f t="shared" si="75"/>
        <v>1</v>
      </c>
      <c r="BK123" s="192">
        <f t="shared" si="76"/>
        <v>1</v>
      </c>
      <c r="BL123" s="192">
        <f t="shared" si="77"/>
        <v>1</v>
      </c>
      <c r="BM123" s="192">
        <f t="shared" si="78"/>
        <v>0</v>
      </c>
      <c r="BN123" s="192">
        <f t="shared" si="79"/>
        <v>0</v>
      </c>
      <c r="BO123" s="192">
        <f t="shared" si="80"/>
        <v>1</v>
      </c>
      <c r="BP123" s="192">
        <f t="shared" si="81"/>
        <v>1</v>
      </c>
      <c r="BQ123" s="192">
        <f t="shared" si="82"/>
        <v>1</v>
      </c>
      <c r="BR123" s="192">
        <f t="shared" si="83"/>
        <v>1</v>
      </c>
      <c r="BS123" s="192">
        <f t="shared" si="84"/>
        <v>1</v>
      </c>
      <c r="BT123" s="192">
        <f t="shared" si="85"/>
        <v>0</v>
      </c>
      <c r="BU123" s="192">
        <f t="shared" si="85"/>
        <v>0</v>
      </c>
      <c r="BV123" s="192">
        <f t="shared" si="86"/>
        <v>0</v>
      </c>
      <c r="BW123" s="192">
        <f t="shared" si="87"/>
        <v>1</v>
      </c>
      <c r="BX123" s="192">
        <f t="shared" si="88"/>
        <v>1</v>
      </c>
      <c r="BY123" s="192">
        <f t="shared" si="89"/>
        <v>1</v>
      </c>
      <c r="BZ123" s="192">
        <f t="shared" si="90"/>
        <v>1</v>
      </c>
      <c r="CA123" s="192">
        <f t="shared" si="91"/>
        <v>1</v>
      </c>
      <c r="CB123" s="192">
        <f t="shared" si="92"/>
        <v>1</v>
      </c>
      <c r="CS123" s="324" t="b">
        <f t="shared" si="102"/>
        <v>0</v>
      </c>
      <c r="CT123" s="324" t="b">
        <f t="shared" si="93"/>
        <v>0</v>
      </c>
      <c r="CU123" s="324" t="b">
        <f t="shared" si="94"/>
        <v>1</v>
      </c>
      <c r="CV123" s="324" t="b">
        <f t="shared" si="95"/>
        <v>1</v>
      </c>
      <c r="CW123" s="324" t="b">
        <f t="shared" si="96"/>
        <v>1</v>
      </c>
      <c r="CX123" s="324" t="str">
        <f t="shared" si="103"/>
        <v/>
      </c>
    </row>
    <row r="124" spans="2:102" ht="13.5" customHeight="1" x14ac:dyDescent="0.25">
      <c r="B124" s="7" t="str">
        <f t="shared" si="97"/>
        <v/>
      </c>
      <c r="C124" s="7"/>
      <c r="D124" s="7"/>
      <c r="E124" s="7"/>
      <c r="F124" s="316"/>
      <c r="G124" s="6"/>
      <c r="H124" s="6"/>
      <c r="I124" s="6"/>
      <c r="J124" s="6"/>
      <c r="K124" s="6"/>
      <c r="L124" s="6"/>
      <c r="M124" s="6"/>
      <c r="N124" s="6"/>
      <c r="O124" s="6"/>
      <c r="P124" s="6"/>
      <c r="Q124" s="7" t="str">
        <f t="shared" si="98"/>
        <v/>
      </c>
      <c r="R124" s="6"/>
      <c r="S124" s="6"/>
      <c r="T124" s="6"/>
      <c r="U124" s="6"/>
      <c r="V124" s="6"/>
      <c r="W124" s="6"/>
      <c r="X124" s="6"/>
      <c r="Y124" s="6"/>
      <c r="Z124" s="6"/>
      <c r="AA124" s="6"/>
      <c r="AB124" s="7" t="str">
        <f t="shared" si="99"/>
        <v/>
      </c>
      <c r="AC124" s="7" t="str">
        <f t="shared" si="100"/>
        <v/>
      </c>
      <c r="AD124" s="7" t="str">
        <f>IF(G124="","",IF(AND(Z124&gt;='פרמטרים לקריטריונים'!$D$19,AA124&gt;='פרמטרים לקריטריונים'!$C$19),1,0))</f>
        <v/>
      </c>
      <c r="AE124" s="7" t="str" cm="1">
        <f t="array" ref="AE124">IF($F124="","",IF(OR(SUMPRODUCT(--(Z124:AA124&gt;=$Z$5:$AA$5))=COUNTA($Z$29:$AA$29),OR(AND(X124=1,OR(AB124=1,AC124=1)),AND(Y124=1,AD124=1))),1,0))</f>
        <v/>
      </c>
      <c r="AF124" s="6"/>
      <c r="AG124" s="6"/>
      <c r="AH124" s="6"/>
      <c r="AI124" s="6"/>
      <c r="AJ124" s="7" t="str">
        <f t="shared" si="57"/>
        <v/>
      </c>
      <c r="AK124" s="7"/>
      <c r="AL124" s="7"/>
      <c r="AM124" s="7"/>
      <c r="AN124" s="7"/>
      <c r="AO124" s="229" t="str">
        <f t="shared" si="58"/>
        <v/>
      </c>
      <c r="AP124" s="357"/>
      <c r="AQ124" s="193">
        <f t="shared" si="59"/>
        <v>0</v>
      </c>
      <c r="AR124" s="193" t="str">
        <f t="shared" si="56"/>
        <v/>
      </c>
      <c r="AS124" s="193" t="str">
        <f t="shared" si="56"/>
        <v/>
      </c>
      <c r="AT124" s="192">
        <f t="shared" si="101"/>
        <v>0</v>
      </c>
      <c r="AU124" s="192">
        <f t="shared" si="60"/>
        <v>0</v>
      </c>
      <c r="AV124" s="192">
        <f t="shared" si="61"/>
        <v>0</v>
      </c>
      <c r="AW124" s="192">
        <f t="shared" si="62"/>
        <v>0</v>
      </c>
      <c r="AX124" s="192">
        <f t="shared" si="63"/>
        <v>0</v>
      </c>
      <c r="AY124" s="192">
        <f t="shared" si="64"/>
        <v>0</v>
      </c>
      <c r="AZ124" s="192">
        <f t="shared" si="65"/>
        <v>0</v>
      </c>
      <c r="BA124" s="192">
        <f t="shared" si="66"/>
        <v>0</v>
      </c>
      <c r="BB124" s="192">
        <f t="shared" si="67"/>
        <v>0</v>
      </c>
      <c r="BC124" s="192">
        <f t="shared" si="68"/>
        <v>0</v>
      </c>
      <c r="BD124" s="192">
        <f t="shared" si="69"/>
        <v>1</v>
      </c>
      <c r="BE124" s="192">
        <f t="shared" si="70"/>
        <v>0</v>
      </c>
      <c r="BF124" s="192">
        <f t="shared" si="71"/>
        <v>0</v>
      </c>
      <c r="BG124" s="192">
        <f t="shared" si="72"/>
        <v>0</v>
      </c>
      <c r="BH124" s="192">
        <f t="shared" si="73"/>
        <v>0</v>
      </c>
      <c r="BI124" s="192">
        <f t="shared" si="74"/>
        <v>1</v>
      </c>
      <c r="BJ124" s="192">
        <f t="shared" si="75"/>
        <v>1</v>
      </c>
      <c r="BK124" s="192">
        <f t="shared" si="76"/>
        <v>1</v>
      </c>
      <c r="BL124" s="192">
        <f t="shared" si="77"/>
        <v>1</v>
      </c>
      <c r="BM124" s="192">
        <f t="shared" si="78"/>
        <v>0</v>
      </c>
      <c r="BN124" s="192">
        <f t="shared" si="79"/>
        <v>0</v>
      </c>
      <c r="BO124" s="192">
        <f t="shared" si="80"/>
        <v>1</v>
      </c>
      <c r="BP124" s="192">
        <f t="shared" si="81"/>
        <v>1</v>
      </c>
      <c r="BQ124" s="192">
        <f t="shared" si="82"/>
        <v>1</v>
      </c>
      <c r="BR124" s="192">
        <f t="shared" si="83"/>
        <v>1</v>
      </c>
      <c r="BS124" s="192">
        <f t="shared" si="84"/>
        <v>1</v>
      </c>
      <c r="BT124" s="192">
        <f t="shared" si="85"/>
        <v>0</v>
      </c>
      <c r="BU124" s="192">
        <f t="shared" si="85"/>
        <v>0</v>
      </c>
      <c r="BV124" s="192">
        <f t="shared" si="86"/>
        <v>0</v>
      </c>
      <c r="BW124" s="192">
        <f t="shared" si="87"/>
        <v>1</v>
      </c>
      <c r="BX124" s="192">
        <f t="shared" si="88"/>
        <v>1</v>
      </c>
      <c r="BY124" s="192">
        <f t="shared" si="89"/>
        <v>1</v>
      </c>
      <c r="BZ124" s="192">
        <f t="shared" si="90"/>
        <v>1</v>
      </c>
      <c r="CA124" s="192">
        <f t="shared" si="91"/>
        <v>1</v>
      </c>
      <c r="CB124" s="192">
        <f t="shared" si="92"/>
        <v>1</v>
      </c>
      <c r="CS124" s="324" t="b">
        <f t="shared" si="102"/>
        <v>0</v>
      </c>
      <c r="CT124" s="324" t="b">
        <f t="shared" si="93"/>
        <v>0</v>
      </c>
      <c r="CU124" s="324" t="b">
        <f t="shared" si="94"/>
        <v>1</v>
      </c>
      <c r="CV124" s="324" t="b">
        <f t="shared" si="95"/>
        <v>1</v>
      </c>
      <c r="CW124" s="324" t="b">
        <f t="shared" si="96"/>
        <v>1</v>
      </c>
      <c r="CX124" s="324" t="str">
        <f t="shared" si="103"/>
        <v/>
      </c>
    </row>
    <row r="125" spans="2:102" ht="11.25" customHeight="1" x14ac:dyDescent="0.25">
      <c r="B125" s="7" t="str">
        <f t="shared" si="97"/>
        <v/>
      </c>
      <c r="C125" s="7"/>
      <c r="D125" s="7"/>
      <c r="E125" s="7"/>
      <c r="F125" s="316"/>
      <c r="G125" s="6"/>
      <c r="H125" s="6"/>
      <c r="I125" s="6"/>
      <c r="J125" s="6"/>
      <c r="K125" s="6"/>
      <c r="L125" s="6"/>
      <c r="M125" s="6"/>
      <c r="N125" s="6"/>
      <c r="O125" s="6"/>
      <c r="P125" s="6"/>
      <c r="Q125" s="7" t="str">
        <f t="shared" si="98"/>
        <v/>
      </c>
      <c r="R125" s="6"/>
      <c r="S125" s="6"/>
      <c r="T125" s="6"/>
      <c r="U125" s="6"/>
      <c r="V125" s="6"/>
      <c r="W125" s="6"/>
      <c r="X125" s="6"/>
      <c r="Y125" s="6"/>
      <c r="Z125" s="6"/>
      <c r="AA125" s="6"/>
      <c r="AB125" s="7" t="str">
        <f t="shared" si="99"/>
        <v/>
      </c>
      <c r="AC125" s="7" t="str">
        <f t="shared" si="100"/>
        <v/>
      </c>
      <c r="AD125" s="7" t="str">
        <f>IF(G125="","",IF(AND(Z125&gt;='פרמטרים לקריטריונים'!$D$19,AA125&gt;='פרמטרים לקריטריונים'!$C$19),1,0))</f>
        <v/>
      </c>
      <c r="AE125" s="7" t="str" cm="1">
        <f t="array" ref="AE125">IF($F125="","",IF(OR(SUMPRODUCT(--(Z125:AA125&gt;=$Z$5:$AA$5))=COUNTA($Z$29:$AA$29),OR(AND(X125=1,OR(AB125=1,AC125=1)),AND(Y125=1,AD125=1))),1,0))</f>
        <v/>
      </c>
      <c r="AF125" s="6"/>
      <c r="AG125" s="6"/>
      <c r="AH125" s="6"/>
      <c r="AI125" s="6"/>
      <c r="AJ125" s="7" t="str">
        <f t="shared" si="57"/>
        <v/>
      </c>
      <c r="AK125" s="7"/>
      <c r="AL125" s="7"/>
      <c r="AM125" s="7"/>
      <c r="AN125" s="7"/>
      <c r="AO125" s="229" t="str">
        <f t="shared" si="58"/>
        <v/>
      </c>
      <c r="AP125" s="357"/>
      <c r="AQ125" s="193">
        <f t="shared" si="59"/>
        <v>0</v>
      </c>
      <c r="AR125" s="193" t="str">
        <f t="shared" si="56"/>
        <v/>
      </c>
      <c r="AS125" s="193" t="str">
        <f t="shared" si="56"/>
        <v/>
      </c>
      <c r="AT125" s="192">
        <f t="shared" si="101"/>
        <v>0</v>
      </c>
      <c r="AU125" s="192">
        <f t="shared" si="60"/>
        <v>0</v>
      </c>
      <c r="AV125" s="192">
        <f t="shared" si="61"/>
        <v>0</v>
      </c>
      <c r="AW125" s="192">
        <f t="shared" si="62"/>
        <v>0</v>
      </c>
      <c r="AX125" s="192">
        <f t="shared" si="63"/>
        <v>0</v>
      </c>
      <c r="AY125" s="192">
        <f t="shared" si="64"/>
        <v>0</v>
      </c>
      <c r="AZ125" s="192">
        <f t="shared" si="65"/>
        <v>0</v>
      </c>
      <c r="BA125" s="192">
        <f t="shared" si="66"/>
        <v>0</v>
      </c>
      <c r="BB125" s="192">
        <f t="shared" si="67"/>
        <v>0</v>
      </c>
      <c r="BC125" s="192">
        <f t="shared" si="68"/>
        <v>0</v>
      </c>
      <c r="BD125" s="192">
        <f t="shared" si="69"/>
        <v>1</v>
      </c>
      <c r="BE125" s="192">
        <f t="shared" si="70"/>
        <v>0</v>
      </c>
      <c r="BF125" s="192">
        <f t="shared" si="71"/>
        <v>0</v>
      </c>
      <c r="BG125" s="192">
        <f t="shared" si="72"/>
        <v>0</v>
      </c>
      <c r="BH125" s="192">
        <f t="shared" si="73"/>
        <v>0</v>
      </c>
      <c r="BI125" s="192">
        <f t="shared" si="74"/>
        <v>1</v>
      </c>
      <c r="BJ125" s="192">
        <f t="shared" si="75"/>
        <v>1</v>
      </c>
      <c r="BK125" s="192">
        <f t="shared" si="76"/>
        <v>1</v>
      </c>
      <c r="BL125" s="192">
        <f t="shared" si="77"/>
        <v>1</v>
      </c>
      <c r="BM125" s="192">
        <f t="shared" si="78"/>
        <v>0</v>
      </c>
      <c r="BN125" s="192">
        <f t="shared" si="79"/>
        <v>0</v>
      </c>
      <c r="BO125" s="192">
        <f t="shared" si="80"/>
        <v>1</v>
      </c>
      <c r="BP125" s="192">
        <f t="shared" si="81"/>
        <v>1</v>
      </c>
      <c r="BQ125" s="192">
        <f t="shared" si="82"/>
        <v>1</v>
      </c>
      <c r="BR125" s="192">
        <f t="shared" si="83"/>
        <v>1</v>
      </c>
      <c r="BS125" s="192">
        <f t="shared" si="84"/>
        <v>1</v>
      </c>
      <c r="BT125" s="192">
        <f t="shared" si="85"/>
        <v>0</v>
      </c>
      <c r="BU125" s="192">
        <f t="shared" si="85"/>
        <v>0</v>
      </c>
      <c r="BV125" s="192">
        <f t="shared" si="86"/>
        <v>0</v>
      </c>
      <c r="BW125" s="192">
        <f t="shared" si="87"/>
        <v>1</v>
      </c>
      <c r="BX125" s="192">
        <f t="shared" si="88"/>
        <v>1</v>
      </c>
      <c r="BY125" s="192">
        <f t="shared" si="89"/>
        <v>1</v>
      </c>
      <c r="BZ125" s="192">
        <f t="shared" si="90"/>
        <v>1</v>
      </c>
      <c r="CA125" s="192">
        <f t="shared" si="91"/>
        <v>1</v>
      </c>
      <c r="CB125" s="192">
        <f t="shared" si="92"/>
        <v>1</v>
      </c>
      <c r="CS125" s="324" t="b">
        <f t="shared" si="102"/>
        <v>0</v>
      </c>
      <c r="CT125" s="324" t="b">
        <f t="shared" si="93"/>
        <v>0</v>
      </c>
      <c r="CU125" s="324" t="b">
        <f t="shared" si="94"/>
        <v>1</v>
      </c>
      <c r="CV125" s="324" t="b">
        <f t="shared" si="95"/>
        <v>1</v>
      </c>
      <c r="CW125" s="324" t="b">
        <f t="shared" si="96"/>
        <v>1</v>
      </c>
      <c r="CX125" s="324" t="str">
        <f t="shared" si="103"/>
        <v/>
      </c>
    </row>
    <row r="126" spans="2:102" ht="13.5" customHeight="1" x14ac:dyDescent="0.25">
      <c r="B126" s="7" t="str">
        <f t="shared" si="97"/>
        <v/>
      </c>
      <c r="C126" s="7"/>
      <c r="D126" s="7"/>
      <c r="E126" s="7"/>
      <c r="F126" s="316"/>
      <c r="G126" s="6"/>
      <c r="H126" s="6"/>
      <c r="I126" s="6"/>
      <c r="J126" s="6"/>
      <c r="K126" s="6"/>
      <c r="L126" s="6"/>
      <c r="M126" s="6"/>
      <c r="N126" s="6"/>
      <c r="O126" s="6"/>
      <c r="P126" s="6"/>
      <c r="Q126" s="7" t="str">
        <f t="shared" si="98"/>
        <v/>
      </c>
      <c r="R126" s="6"/>
      <c r="S126" s="6"/>
      <c r="T126" s="6"/>
      <c r="U126" s="6"/>
      <c r="V126" s="6"/>
      <c r="W126" s="6"/>
      <c r="X126" s="6"/>
      <c r="Y126" s="6"/>
      <c r="Z126" s="6"/>
      <c r="AA126" s="6"/>
      <c r="AB126" s="7" t="str">
        <f t="shared" si="99"/>
        <v/>
      </c>
      <c r="AC126" s="7" t="str">
        <f t="shared" si="100"/>
        <v/>
      </c>
      <c r="AD126" s="7" t="str">
        <f>IF(G126="","",IF(AND(Z126&gt;='פרמטרים לקריטריונים'!$D$19,AA126&gt;='פרמטרים לקריטריונים'!$C$19),1,0))</f>
        <v/>
      </c>
      <c r="AE126" s="7" t="str" cm="1">
        <f t="array" ref="AE126">IF($F126="","",IF(OR(SUMPRODUCT(--(Z126:AA126&gt;=$Z$5:$AA$5))=COUNTA($Z$29:$AA$29),OR(AND(X126=1,OR(AB126=1,AC126=1)),AND(Y126=1,AD126=1))),1,0))</f>
        <v/>
      </c>
      <c r="AF126" s="6"/>
      <c r="AG126" s="6"/>
      <c r="AH126" s="6"/>
      <c r="AI126" s="6"/>
      <c r="AJ126" s="7" t="str">
        <f t="shared" si="57"/>
        <v/>
      </c>
      <c r="AK126" s="7"/>
      <c r="AL126" s="7"/>
      <c r="AM126" s="7"/>
      <c r="AN126" s="7"/>
      <c r="AO126" s="229" t="str">
        <f t="shared" si="58"/>
        <v/>
      </c>
      <c r="AP126" s="357"/>
      <c r="AQ126" s="193">
        <f t="shared" si="59"/>
        <v>0</v>
      </c>
      <c r="AR126" s="193" t="str">
        <f t="shared" si="56"/>
        <v/>
      </c>
      <c r="AS126" s="193" t="str">
        <f t="shared" si="56"/>
        <v/>
      </c>
      <c r="AT126" s="192">
        <f t="shared" si="101"/>
        <v>0</v>
      </c>
      <c r="AU126" s="192">
        <f t="shared" si="60"/>
        <v>0</v>
      </c>
      <c r="AV126" s="192">
        <f t="shared" si="61"/>
        <v>0</v>
      </c>
      <c r="AW126" s="192">
        <f t="shared" si="62"/>
        <v>0</v>
      </c>
      <c r="AX126" s="192">
        <f t="shared" si="63"/>
        <v>0</v>
      </c>
      <c r="AY126" s="192">
        <f t="shared" si="64"/>
        <v>0</v>
      </c>
      <c r="AZ126" s="192">
        <f t="shared" si="65"/>
        <v>0</v>
      </c>
      <c r="BA126" s="192">
        <f t="shared" si="66"/>
        <v>0</v>
      </c>
      <c r="BB126" s="192">
        <f t="shared" si="67"/>
        <v>0</v>
      </c>
      <c r="BC126" s="192">
        <f t="shared" si="68"/>
        <v>0</v>
      </c>
      <c r="BD126" s="192">
        <f t="shared" si="69"/>
        <v>1</v>
      </c>
      <c r="BE126" s="192">
        <f t="shared" si="70"/>
        <v>0</v>
      </c>
      <c r="BF126" s="192">
        <f t="shared" si="71"/>
        <v>0</v>
      </c>
      <c r="BG126" s="192">
        <f t="shared" si="72"/>
        <v>0</v>
      </c>
      <c r="BH126" s="192">
        <f t="shared" si="73"/>
        <v>0</v>
      </c>
      <c r="BI126" s="192">
        <f t="shared" si="74"/>
        <v>1</v>
      </c>
      <c r="BJ126" s="192">
        <f t="shared" si="75"/>
        <v>1</v>
      </c>
      <c r="BK126" s="192">
        <f t="shared" si="76"/>
        <v>1</v>
      </c>
      <c r="BL126" s="192">
        <f t="shared" si="77"/>
        <v>1</v>
      </c>
      <c r="BM126" s="192">
        <f t="shared" si="78"/>
        <v>0</v>
      </c>
      <c r="BN126" s="192">
        <f t="shared" si="79"/>
        <v>0</v>
      </c>
      <c r="BO126" s="192">
        <f t="shared" si="80"/>
        <v>1</v>
      </c>
      <c r="BP126" s="192">
        <f t="shared" si="81"/>
        <v>1</v>
      </c>
      <c r="BQ126" s="192">
        <f t="shared" si="82"/>
        <v>1</v>
      </c>
      <c r="BR126" s="192">
        <f t="shared" si="83"/>
        <v>1</v>
      </c>
      <c r="BS126" s="192">
        <f t="shared" si="84"/>
        <v>1</v>
      </c>
      <c r="BT126" s="192">
        <f t="shared" si="85"/>
        <v>0</v>
      </c>
      <c r="BU126" s="192">
        <f t="shared" si="85"/>
        <v>0</v>
      </c>
      <c r="BV126" s="192">
        <f t="shared" si="86"/>
        <v>0</v>
      </c>
      <c r="BW126" s="192">
        <f t="shared" si="87"/>
        <v>1</v>
      </c>
      <c r="BX126" s="192">
        <f t="shared" si="88"/>
        <v>1</v>
      </c>
      <c r="BY126" s="192">
        <f t="shared" si="89"/>
        <v>1</v>
      </c>
      <c r="BZ126" s="192">
        <f t="shared" si="90"/>
        <v>1</v>
      </c>
      <c r="CA126" s="192">
        <f t="shared" si="91"/>
        <v>1</v>
      </c>
      <c r="CB126" s="192">
        <f t="shared" si="92"/>
        <v>1</v>
      </c>
      <c r="CS126" s="324" t="b">
        <f t="shared" si="102"/>
        <v>0</v>
      </c>
      <c r="CT126" s="324" t="b">
        <f t="shared" si="93"/>
        <v>0</v>
      </c>
      <c r="CU126" s="324" t="b">
        <f t="shared" si="94"/>
        <v>1</v>
      </c>
      <c r="CV126" s="324" t="b">
        <f t="shared" si="95"/>
        <v>1</v>
      </c>
      <c r="CW126" s="324" t="b">
        <f t="shared" si="96"/>
        <v>1</v>
      </c>
      <c r="CX126" s="324" t="str">
        <f t="shared" si="103"/>
        <v/>
      </c>
    </row>
    <row r="127" spans="2:102" ht="12" customHeight="1" x14ac:dyDescent="0.25">
      <c r="B127" s="7" t="str">
        <f t="shared" si="97"/>
        <v/>
      </c>
      <c r="C127" s="7"/>
      <c r="D127" s="7"/>
      <c r="E127" s="7"/>
      <c r="F127" s="316"/>
      <c r="G127" s="6"/>
      <c r="H127" s="6"/>
      <c r="I127" s="6"/>
      <c r="J127" s="6"/>
      <c r="K127" s="6"/>
      <c r="L127" s="6"/>
      <c r="M127" s="6"/>
      <c r="N127" s="6"/>
      <c r="O127" s="6"/>
      <c r="P127" s="6"/>
      <c r="Q127" s="7" t="str">
        <f t="shared" si="98"/>
        <v/>
      </c>
      <c r="R127" s="6"/>
      <c r="S127" s="6"/>
      <c r="T127" s="6"/>
      <c r="U127" s="6"/>
      <c r="V127" s="6"/>
      <c r="W127" s="6"/>
      <c r="X127" s="6"/>
      <c r="Y127" s="6"/>
      <c r="Z127" s="6"/>
      <c r="AA127" s="6"/>
      <c r="AB127" s="7" t="str">
        <f t="shared" si="99"/>
        <v/>
      </c>
      <c r="AC127" s="7" t="str">
        <f t="shared" si="100"/>
        <v/>
      </c>
      <c r="AD127" s="7" t="str">
        <f>IF(G127="","",IF(AND(Z127&gt;='פרמטרים לקריטריונים'!$D$19,AA127&gt;='פרמטרים לקריטריונים'!$C$19),1,0))</f>
        <v/>
      </c>
      <c r="AE127" s="7" t="str" cm="1">
        <f t="array" ref="AE127">IF($F127="","",IF(OR(SUMPRODUCT(--(Z127:AA127&gt;=$Z$5:$AA$5))=COUNTA($Z$29:$AA$29),OR(AND(X127=1,OR(AB127=1,AC127=1)),AND(Y127=1,AD127=1))),1,0))</f>
        <v/>
      </c>
      <c r="AF127" s="6"/>
      <c r="AG127" s="6"/>
      <c r="AH127" s="6"/>
      <c r="AI127" s="6"/>
      <c r="AJ127" s="7" t="str">
        <f t="shared" si="57"/>
        <v/>
      </c>
      <c r="AK127" s="7"/>
      <c r="AL127" s="7"/>
      <c r="AM127" s="7"/>
      <c r="AN127" s="7"/>
      <c r="AO127" s="229" t="str">
        <f t="shared" si="58"/>
        <v/>
      </c>
      <c r="AP127" s="357"/>
      <c r="AQ127" s="193">
        <f t="shared" si="59"/>
        <v>0</v>
      </c>
      <c r="AR127" s="193" t="str">
        <f t="shared" si="56"/>
        <v/>
      </c>
      <c r="AS127" s="193" t="str">
        <f t="shared" si="56"/>
        <v/>
      </c>
      <c r="AT127" s="192">
        <f t="shared" si="101"/>
        <v>0</v>
      </c>
      <c r="AU127" s="192">
        <f t="shared" si="60"/>
        <v>0</v>
      </c>
      <c r="AV127" s="192">
        <f t="shared" si="61"/>
        <v>0</v>
      </c>
      <c r="AW127" s="192">
        <f t="shared" si="62"/>
        <v>0</v>
      </c>
      <c r="AX127" s="192">
        <f t="shared" si="63"/>
        <v>0</v>
      </c>
      <c r="AY127" s="192">
        <f t="shared" si="64"/>
        <v>0</v>
      </c>
      <c r="AZ127" s="192">
        <f t="shared" si="65"/>
        <v>0</v>
      </c>
      <c r="BA127" s="192">
        <f t="shared" si="66"/>
        <v>0</v>
      </c>
      <c r="BB127" s="192">
        <f t="shared" si="67"/>
        <v>0</v>
      </c>
      <c r="BC127" s="192">
        <f t="shared" si="68"/>
        <v>0</v>
      </c>
      <c r="BD127" s="192">
        <f t="shared" si="69"/>
        <v>1</v>
      </c>
      <c r="BE127" s="192">
        <f t="shared" si="70"/>
        <v>0</v>
      </c>
      <c r="BF127" s="192">
        <f t="shared" si="71"/>
        <v>0</v>
      </c>
      <c r="BG127" s="192">
        <f t="shared" si="72"/>
        <v>0</v>
      </c>
      <c r="BH127" s="192">
        <f t="shared" si="73"/>
        <v>0</v>
      </c>
      <c r="BI127" s="192">
        <f t="shared" si="74"/>
        <v>1</v>
      </c>
      <c r="BJ127" s="192">
        <f t="shared" si="75"/>
        <v>1</v>
      </c>
      <c r="BK127" s="192">
        <f t="shared" si="76"/>
        <v>1</v>
      </c>
      <c r="BL127" s="192">
        <f t="shared" si="77"/>
        <v>1</v>
      </c>
      <c r="BM127" s="192">
        <f t="shared" si="78"/>
        <v>0</v>
      </c>
      <c r="BN127" s="192">
        <f t="shared" si="79"/>
        <v>0</v>
      </c>
      <c r="BO127" s="192">
        <f t="shared" si="80"/>
        <v>1</v>
      </c>
      <c r="BP127" s="192">
        <f t="shared" si="81"/>
        <v>1</v>
      </c>
      <c r="BQ127" s="192">
        <f t="shared" si="82"/>
        <v>1</v>
      </c>
      <c r="BR127" s="192">
        <f t="shared" si="83"/>
        <v>1</v>
      </c>
      <c r="BS127" s="192">
        <f t="shared" si="84"/>
        <v>1</v>
      </c>
      <c r="BT127" s="192">
        <f t="shared" si="85"/>
        <v>0</v>
      </c>
      <c r="BU127" s="192">
        <f t="shared" si="85"/>
        <v>0</v>
      </c>
      <c r="BV127" s="192">
        <f t="shared" si="86"/>
        <v>0</v>
      </c>
      <c r="BW127" s="192">
        <f t="shared" si="87"/>
        <v>1</v>
      </c>
      <c r="BX127" s="192">
        <f t="shared" si="88"/>
        <v>1</v>
      </c>
      <c r="BY127" s="192">
        <f t="shared" si="89"/>
        <v>1</v>
      </c>
      <c r="BZ127" s="192">
        <f t="shared" si="90"/>
        <v>1</v>
      </c>
      <c r="CA127" s="192">
        <f t="shared" si="91"/>
        <v>1</v>
      </c>
      <c r="CB127" s="192">
        <f t="shared" si="92"/>
        <v>1</v>
      </c>
      <c r="CS127" s="324" t="b">
        <f t="shared" si="102"/>
        <v>0</v>
      </c>
      <c r="CT127" s="324" t="b">
        <f t="shared" si="93"/>
        <v>0</v>
      </c>
      <c r="CU127" s="324" t="b">
        <f t="shared" si="94"/>
        <v>1</v>
      </c>
      <c r="CV127" s="324" t="b">
        <f t="shared" si="95"/>
        <v>1</v>
      </c>
      <c r="CW127" s="324" t="b">
        <f t="shared" si="96"/>
        <v>1</v>
      </c>
      <c r="CX127" s="324" t="str">
        <f t="shared" si="103"/>
        <v/>
      </c>
    </row>
    <row r="128" spans="2:102" ht="14.25" customHeight="1" x14ac:dyDescent="0.25">
      <c r="B128" s="7" t="str">
        <f t="shared" si="97"/>
        <v/>
      </c>
      <c r="C128" s="7"/>
      <c r="D128" s="7"/>
      <c r="E128" s="7"/>
      <c r="F128" s="316"/>
      <c r="G128" s="6"/>
      <c r="H128" s="6"/>
      <c r="I128" s="6"/>
      <c r="J128" s="6"/>
      <c r="K128" s="6"/>
      <c r="L128" s="6"/>
      <c r="M128" s="6"/>
      <c r="N128" s="6"/>
      <c r="O128" s="6"/>
      <c r="P128" s="6"/>
      <c r="Q128" s="7" t="str">
        <f t="shared" si="98"/>
        <v/>
      </c>
      <c r="R128" s="6"/>
      <c r="S128" s="6"/>
      <c r="T128" s="6"/>
      <c r="U128" s="6"/>
      <c r="V128" s="6"/>
      <c r="W128" s="6"/>
      <c r="X128" s="6"/>
      <c r="Y128" s="6"/>
      <c r="Z128" s="6"/>
      <c r="AA128" s="6"/>
      <c r="AB128" s="7" t="str">
        <f t="shared" si="99"/>
        <v/>
      </c>
      <c r="AC128" s="7" t="str">
        <f t="shared" si="100"/>
        <v/>
      </c>
      <c r="AD128" s="7" t="str">
        <f>IF(G128="","",IF(AND(Z128&gt;='פרמטרים לקריטריונים'!$D$19,AA128&gt;='פרמטרים לקריטריונים'!$C$19),1,0))</f>
        <v/>
      </c>
      <c r="AE128" s="7" t="str" cm="1">
        <f t="array" ref="AE128">IF($F128="","",IF(OR(SUMPRODUCT(--(Z128:AA128&gt;=$Z$5:$AA$5))=COUNTA($Z$29:$AA$29),OR(AND(X128=1,OR(AB128=1,AC128=1)),AND(Y128=1,AD128=1))),1,0))</f>
        <v/>
      </c>
      <c r="AF128" s="6"/>
      <c r="AG128" s="6"/>
      <c r="AH128" s="6"/>
      <c r="AI128" s="6"/>
      <c r="AJ128" s="7" t="str">
        <f t="shared" si="57"/>
        <v/>
      </c>
      <c r="AK128" s="7"/>
      <c r="AL128" s="7"/>
      <c r="AM128" s="7"/>
      <c r="AN128" s="7"/>
      <c r="AO128" s="229" t="str">
        <f t="shared" si="58"/>
        <v/>
      </c>
      <c r="AP128" s="357"/>
      <c r="AQ128" s="193">
        <f t="shared" si="59"/>
        <v>0</v>
      </c>
      <c r="AR128" s="193" t="str">
        <f t="shared" si="56"/>
        <v/>
      </c>
      <c r="AS128" s="193" t="str">
        <f t="shared" si="56"/>
        <v/>
      </c>
      <c r="AT128" s="192">
        <f t="shared" si="101"/>
        <v>0</v>
      </c>
      <c r="AU128" s="192">
        <f t="shared" si="60"/>
        <v>0</v>
      </c>
      <c r="AV128" s="192">
        <f t="shared" si="61"/>
        <v>0</v>
      </c>
      <c r="AW128" s="192">
        <f t="shared" si="62"/>
        <v>0</v>
      </c>
      <c r="AX128" s="192">
        <f t="shared" si="63"/>
        <v>0</v>
      </c>
      <c r="AY128" s="192">
        <f t="shared" si="64"/>
        <v>0</v>
      </c>
      <c r="AZ128" s="192">
        <f t="shared" si="65"/>
        <v>0</v>
      </c>
      <c r="BA128" s="192">
        <f t="shared" si="66"/>
        <v>0</v>
      </c>
      <c r="BB128" s="192">
        <f t="shared" si="67"/>
        <v>0</v>
      </c>
      <c r="BC128" s="192">
        <f t="shared" si="68"/>
        <v>0</v>
      </c>
      <c r="BD128" s="192">
        <f t="shared" si="69"/>
        <v>1</v>
      </c>
      <c r="BE128" s="192">
        <f t="shared" si="70"/>
        <v>0</v>
      </c>
      <c r="BF128" s="192">
        <f t="shared" si="71"/>
        <v>0</v>
      </c>
      <c r="BG128" s="192">
        <f t="shared" si="72"/>
        <v>0</v>
      </c>
      <c r="BH128" s="192">
        <f t="shared" si="73"/>
        <v>0</v>
      </c>
      <c r="BI128" s="192">
        <f t="shared" si="74"/>
        <v>1</v>
      </c>
      <c r="BJ128" s="192">
        <f t="shared" si="75"/>
        <v>1</v>
      </c>
      <c r="BK128" s="192">
        <f t="shared" si="76"/>
        <v>1</v>
      </c>
      <c r="BL128" s="192">
        <f t="shared" si="77"/>
        <v>1</v>
      </c>
      <c r="BM128" s="192">
        <f t="shared" si="78"/>
        <v>0</v>
      </c>
      <c r="BN128" s="192">
        <f t="shared" si="79"/>
        <v>0</v>
      </c>
      <c r="BO128" s="192">
        <f t="shared" si="80"/>
        <v>1</v>
      </c>
      <c r="BP128" s="192">
        <f t="shared" si="81"/>
        <v>1</v>
      </c>
      <c r="BQ128" s="192">
        <f t="shared" si="82"/>
        <v>1</v>
      </c>
      <c r="BR128" s="192">
        <f t="shared" si="83"/>
        <v>1</v>
      </c>
      <c r="BS128" s="192">
        <f t="shared" si="84"/>
        <v>1</v>
      </c>
      <c r="BT128" s="192">
        <f t="shared" si="85"/>
        <v>0</v>
      </c>
      <c r="BU128" s="192">
        <f t="shared" si="85"/>
        <v>0</v>
      </c>
      <c r="BV128" s="192">
        <f t="shared" si="86"/>
        <v>0</v>
      </c>
      <c r="BW128" s="192">
        <f t="shared" si="87"/>
        <v>1</v>
      </c>
      <c r="BX128" s="192">
        <f t="shared" si="88"/>
        <v>1</v>
      </c>
      <c r="BY128" s="192">
        <f t="shared" si="89"/>
        <v>1</v>
      </c>
      <c r="BZ128" s="192">
        <f t="shared" si="90"/>
        <v>1</v>
      </c>
      <c r="CA128" s="192">
        <f t="shared" si="91"/>
        <v>1</v>
      </c>
      <c r="CB128" s="192">
        <f t="shared" si="92"/>
        <v>1</v>
      </c>
      <c r="CS128" s="324" t="b">
        <f t="shared" si="102"/>
        <v>0</v>
      </c>
      <c r="CT128" s="324" t="b">
        <f t="shared" si="93"/>
        <v>0</v>
      </c>
      <c r="CU128" s="324" t="b">
        <f t="shared" si="94"/>
        <v>1</v>
      </c>
      <c r="CV128" s="324" t="b">
        <f t="shared" si="95"/>
        <v>1</v>
      </c>
      <c r="CW128" s="324" t="b">
        <f t="shared" si="96"/>
        <v>1</v>
      </c>
      <c r="CX128" s="324" t="str">
        <f t="shared" si="103"/>
        <v/>
      </c>
    </row>
    <row r="129" spans="2:102" ht="14.25" customHeight="1" x14ac:dyDescent="0.25">
      <c r="B129" s="7" t="str">
        <f t="shared" si="97"/>
        <v/>
      </c>
      <c r="C129" s="7"/>
      <c r="D129" s="7"/>
      <c r="E129" s="7"/>
      <c r="F129" s="316"/>
      <c r="G129" s="6"/>
      <c r="H129" s="6"/>
      <c r="I129" s="6"/>
      <c r="J129" s="6"/>
      <c r="K129" s="6"/>
      <c r="L129" s="6"/>
      <c r="M129" s="6"/>
      <c r="N129" s="6"/>
      <c r="O129" s="6"/>
      <c r="P129" s="6"/>
      <c r="Q129" s="7" t="str">
        <f t="shared" si="98"/>
        <v/>
      </c>
      <c r="R129" s="6"/>
      <c r="S129" s="6"/>
      <c r="T129" s="6"/>
      <c r="U129" s="6"/>
      <c r="V129" s="6"/>
      <c r="W129" s="6"/>
      <c r="X129" s="6"/>
      <c r="Y129" s="6"/>
      <c r="Z129" s="6"/>
      <c r="AA129" s="6"/>
      <c r="AB129" s="7" t="str">
        <f t="shared" si="99"/>
        <v/>
      </c>
      <c r="AC129" s="7" t="str">
        <f t="shared" si="100"/>
        <v/>
      </c>
      <c r="AD129" s="7" t="str">
        <f>IF(G129="","",IF(AND(Z129&gt;='פרמטרים לקריטריונים'!$D$19,AA129&gt;='פרמטרים לקריטריונים'!$C$19),1,0))</f>
        <v/>
      </c>
      <c r="AE129" s="7" t="str" cm="1">
        <f t="array" ref="AE129">IF($F129="","",IF(OR(SUMPRODUCT(--(Z129:AA129&gt;=$Z$5:$AA$5))=COUNTA($Z$29:$AA$29),OR(AND(X129=1,OR(AB129=1,AC129=1)),AND(Y129=1,AD129=1))),1,0))</f>
        <v/>
      </c>
      <c r="AF129" s="6"/>
      <c r="AG129" s="6"/>
      <c r="AH129" s="6"/>
      <c r="AI129" s="6"/>
      <c r="AJ129" s="7" t="str">
        <f t="shared" si="57"/>
        <v/>
      </c>
      <c r="AK129" s="7"/>
      <c r="AL129" s="7"/>
      <c r="AM129" s="7"/>
      <c r="AN129" s="7"/>
      <c r="AO129" s="229" t="str">
        <f t="shared" si="58"/>
        <v/>
      </c>
      <c r="AP129" s="357"/>
      <c r="AQ129" s="193">
        <f t="shared" si="59"/>
        <v>0</v>
      </c>
      <c r="AR129" s="193" t="str">
        <f t="shared" si="56"/>
        <v/>
      </c>
      <c r="AS129" s="193" t="str">
        <f t="shared" si="56"/>
        <v/>
      </c>
      <c r="AT129" s="192">
        <f t="shared" si="101"/>
        <v>0</v>
      </c>
      <c r="AU129" s="192">
        <f t="shared" si="60"/>
        <v>0</v>
      </c>
      <c r="AV129" s="192">
        <f t="shared" si="61"/>
        <v>0</v>
      </c>
      <c r="AW129" s="192">
        <f t="shared" si="62"/>
        <v>0</v>
      </c>
      <c r="AX129" s="192">
        <f t="shared" si="63"/>
        <v>0</v>
      </c>
      <c r="AY129" s="192">
        <f t="shared" si="64"/>
        <v>0</v>
      </c>
      <c r="AZ129" s="192">
        <f t="shared" si="65"/>
        <v>0</v>
      </c>
      <c r="BA129" s="192">
        <f t="shared" si="66"/>
        <v>0</v>
      </c>
      <c r="BB129" s="192">
        <f t="shared" si="67"/>
        <v>0</v>
      </c>
      <c r="BC129" s="192">
        <f t="shared" si="68"/>
        <v>0</v>
      </c>
      <c r="BD129" s="192">
        <f t="shared" si="69"/>
        <v>1</v>
      </c>
      <c r="BE129" s="192">
        <f t="shared" si="70"/>
        <v>0</v>
      </c>
      <c r="BF129" s="192">
        <f t="shared" si="71"/>
        <v>0</v>
      </c>
      <c r="BG129" s="192">
        <f t="shared" si="72"/>
        <v>0</v>
      </c>
      <c r="BH129" s="192">
        <f t="shared" si="73"/>
        <v>0</v>
      </c>
      <c r="BI129" s="192">
        <f t="shared" si="74"/>
        <v>1</v>
      </c>
      <c r="BJ129" s="192">
        <f t="shared" si="75"/>
        <v>1</v>
      </c>
      <c r="BK129" s="192">
        <f t="shared" si="76"/>
        <v>1</v>
      </c>
      <c r="BL129" s="192">
        <f t="shared" si="77"/>
        <v>1</v>
      </c>
      <c r="BM129" s="192">
        <f t="shared" si="78"/>
        <v>0</v>
      </c>
      <c r="BN129" s="192">
        <f t="shared" si="79"/>
        <v>0</v>
      </c>
      <c r="BO129" s="192">
        <f t="shared" si="80"/>
        <v>1</v>
      </c>
      <c r="BP129" s="192">
        <f t="shared" si="81"/>
        <v>1</v>
      </c>
      <c r="BQ129" s="192">
        <f t="shared" si="82"/>
        <v>1</v>
      </c>
      <c r="BR129" s="192">
        <f t="shared" si="83"/>
        <v>1</v>
      </c>
      <c r="BS129" s="192">
        <f t="shared" si="84"/>
        <v>1</v>
      </c>
      <c r="BT129" s="192">
        <f t="shared" si="85"/>
        <v>0</v>
      </c>
      <c r="BU129" s="192">
        <f t="shared" si="85"/>
        <v>0</v>
      </c>
      <c r="BV129" s="192">
        <f t="shared" si="86"/>
        <v>0</v>
      </c>
      <c r="BW129" s="192">
        <f t="shared" si="87"/>
        <v>1</v>
      </c>
      <c r="BX129" s="192">
        <f t="shared" si="88"/>
        <v>1</v>
      </c>
      <c r="BY129" s="192">
        <f t="shared" si="89"/>
        <v>1</v>
      </c>
      <c r="BZ129" s="192">
        <f t="shared" si="90"/>
        <v>1</v>
      </c>
      <c r="CA129" s="192">
        <f t="shared" si="91"/>
        <v>1</v>
      </c>
      <c r="CB129" s="192">
        <f t="shared" si="92"/>
        <v>1</v>
      </c>
      <c r="CS129" s="324" t="b">
        <f t="shared" si="102"/>
        <v>0</v>
      </c>
      <c r="CT129" s="324" t="b">
        <f t="shared" si="93"/>
        <v>0</v>
      </c>
      <c r="CU129" s="324" t="b">
        <f t="shared" si="94"/>
        <v>1</v>
      </c>
      <c r="CV129" s="324" t="b">
        <f t="shared" si="95"/>
        <v>1</v>
      </c>
      <c r="CW129" s="324" t="b">
        <f t="shared" si="96"/>
        <v>1</v>
      </c>
      <c r="CX129" s="324" t="str">
        <f t="shared" si="103"/>
        <v/>
      </c>
    </row>
    <row r="130" spans="2:102" ht="15.75" customHeight="1" x14ac:dyDescent="0.25">
      <c r="B130" s="7" t="str">
        <f t="shared" si="97"/>
        <v/>
      </c>
      <c r="C130" s="7"/>
      <c r="D130" s="7"/>
      <c r="E130" s="7"/>
      <c r="F130" s="316"/>
      <c r="G130" s="6"/>
      <c r="H130" s="6"/>
      <c r="I130" s="6"/>
      <c r="J130" s="6"/>
      <c r="K130" s="6"/>
      <c r="L130" s="6"/>
      <c r="M130" s="6"/>
      <c r="N130" s="6"/>
      <c r="O130" s="6"/>
      <c r="P130" s="6"/>
      <c r="Q130" s="7" t="str">
        <f t="shared" si="98"/>
        <v/>
      </c>
      <c r="R130" s="6"/>
      <c r="S130" s="6"/>
      <c r="T130" s="6"/>
      <c r="U130" s="6"/>
      <c r="V130" s="6"/>
      <c r="W130" s="6"/>
      <c r="X130" s="6"/>
      <c r="Y130" s="6"/>
      <c r="Z130" s="6"/>
      <c r="AA130" s="6"/>
      <c r="AB130" s="7" t="str">
        <f t="shared" si="99"/>
        <v/>
      </c>
      <c r="AC130" s="7" t="str">
        <f t="shared" si="100"/>
        <v/>
      </c>
      <c r="AD130" s="7" t="str">
        <f>IF(G130="","",IF(AND(Z130&gt;='פרמטרים לקריטריונים'!$D$19,AA130&gt;='פרמטרים לקריטריונים'!$C$19),1,0))</f>
        <v/>
      </c>
      <c r="AE130" s="7" t="str" cm="1">
        <f t="array" ref="AE130">IF($F130="","",IF(OR(SUMPRODUCT(--(Z130:AA130&gt;=$Z$5:$AA$5))=COUNTA($Z$29:$AA$29),OR(AND(X130=1,OR(AB130=1,AC130=1)),AND(Y130=1,AD130=1))),1,0))</f>
        <v/>
      </c>
      <c r="AF130" s="6"/>
      <c r="AG130" s="6"/>
      <c r="AH130" s="6"/>
      <c r="AI130" s="6"/>
      <c r="AJ130" s="7" t="str">
        <f t="shared" si="57"/>
        <v/>
      </c>
      <c r="AK130" s="7"/>
      <c r="AL130" s="7"/>
      <c r="AM130" s="7"/>
      <c r="AN130" s="7"/>
      <c r="AO130" s="229" t="str">
        <f t="shared" si="58"/>
        <v/>
      </c>
      <c r="AP130" s="357"/>
      <c r="AQ130" s="193">
        <f t="shared" si="59"/>
        <v>0</v>
      </c>
      <c r="AR130" s="193" t="str">
        <f t="shared" si="56"/>
        <v/>
      </c>
      <c r="AS130" s="193" t="str">
        <f t="shared" si="56"/>
        <v/>
      </c>
      <c r="AT130" s="192">
        <f t="shared" si="101"/>
        <v>0</v>
      </c>
      <c r="AU130" s="192">
        <f t="shared" si="60"/>
        <v>0</v>
      </c>
      <c r="AV130" s="192">
        <f t="shared" si="61"/>
        <v>0</v>
      </c>
      <c r="AW130" s="192">
        <f t="shared" si="62"/>
        <v>0</v>
      </c>
      <c r="AX130" s="192">
        <f t="shared" si="63"/>
        <v>0</v>
      </c>
      <c r="AY130" s="192">
        <f t="shared" si="64"/>
        <v>0</v>
      </c>
      <c r="AZ130" s="192">
        <f t="shared" si="65"/>
        <v>0</v>
      </c>
      <c r="BA130" s="192">
        <f t="shared" si="66"/>
        <v>0</v>
      </c>
      <c r="BB130" s="192">
        <f t="shared" si="67"/>
        <v>0</v>
      </c>
      <c r="BC130" s="192">
        <f t="shared" si="68"/>
        <v>0</v>
      </c>
      <c r="BD130" s="192">
        <f t="shared" si="69"/>
        <v>1</v>
      </c>
      <c r="BE130" s="192">
        <f t="shared" si="70"/>
        <v>0</v>
      </c>
      <c r="BF130" s="192">
        <f t="shared" si="71"/>
        <v>0</v>
      </c>
      <c r="BG130" s="192">
        <f t="shared" si="72"/>
        <v>0</v>
      </c>
      <c r="BH130" s="192">
        <f t="shared" si="73"/>
        <v>0</v>
      </c>
      <c r="BI130" s="192">
        <f t="shared" si="74"/>
        <v>1</v>
      </c>
      <c r="BJ130" s="192">
        <f t="shared" si="75"/>
        <v>1</v>
      </c>
      <c r="BK130" s="192">
        <f t="shared" si="76"/>
        <v>1</v>
      </c>
      <c r="BL130" s="192">
        <f t="shared" si="77"/>
        <v>1</v>
      </c>
      <c r="BM130" s="192">
        <f t="shared" si="78"/>
        <v>0</v>
      </c>
      <c r="BN130" s="192">
        <f t="shared" si="79"/>
        <v>0</v>
      </c>
      <c r="BO130" s="192">
        <f t="shared" si="80"/>
        <v>1</v>
      </c>
      <c r="BP130" s="192">
        <f t="shared" si="81"/>
        <v>1</v>
      </c>
      <c r="BQ130" s="192">
        <f t="shared" si="82"/>
        <v>1</v>
      </c>
      <c r="BR130" s="192">
        <f t="shared" si="83"/>
        <v>1</v>
      </c>
      <c r="BS130" s="192">
        <f t="shared" si="84"/>
        <v>1</v>
      </c>
      <c r="BT130" s="192">
        <f t="shared" si="85"/>
        <v>0</v>
      </c>
      <c r="BU130" s="192">
        <f t="shared" si="85"/>
        <v>0</v>
      </c>
      <c r="BV130" s="192">
        <f t="shared" si="86"/>
        <v>0</v>
      </c>
      <c r="BW130" s="192">
        <f t="shared" si="87"/>
        <v>1</v>
      </c>
      <c r="BX130" s="192">
        <f t="shared" si="88"/>
        <v>1</v>
      </c>
      <c r="BY130" s="192">
        <f t="shared" si="89"/>
        <v>1</v>
      </c>
      <c r="BZ130" s="192">
        <f t="shared" si="90"/>
        <v>1</v>
      </c>
      <c r="CA130" s="192">
        <f t="shared" si="91"/>
        <v>1</v>
      </c>
      <c r="CB130" s="192">
        <f t="shared" si="92"/>
        <v>1</v>
      </c>
      <c r="CS130" s="324" t="b">
        <f t="shared" si="102"/>
        <v>0</v>
      </c>
      <c r="CT130" s="324" t="b">
        <f t="shared" si="93"/>
        <v>0</v>
      </c>
      <c r="CU130" s="324" t="b">
        <f t="shared" si="94"/>
        <v>1</v>
      </c>
      <c r="CV130" s="324" t="b">
        <f t="shared" si="95"/>
        <v>1</v>
      </c>
      <c r="CW130" s="324" t="b">
        <f t="shared" si="96"/>
        <v>1</v>
      </c>
      <c r="CX130" s="324" t="str">
        <f t="shared" si="103"/>
        <v/>
      </c>
    </row>
    <row r="131" spans="2:102" ht="61.5" customHeight="1" x14ac:dyDescent="0.25">
      <c r="B131" s="231" t="s">
        <v>186</v>
      </c>
      <c r="C131" s="231" t="s">
        <v>186</v>
      </c>
      <c r="D131" s="231" t="s">
        <v>186</v>
      </c>
      <c r="E131" s="231" t="s">
        <v>186</v>
      </c>
      <c r="F131" s="231" t="s">
        <v>186</v>
      </c>
      <c r="G131" s="231" t="s">
        <v>186</v>
      </c>
      <c r="H131" s="231" t="s">
        <v>186</v>
      </c>
      <c r="I131" s="231" t="s">
        <v>186</v>
      </c>
      <c r="J131" s="231" t="s">
        <v>186</v>
      </c>
      <c r="K131" s="231" t="s">
        <v>186</v>
      </c>
      <c r="L131" s="231" t="s">
        <v>186</v>
      </c>
      <c r="M131" s="231" t="s">
        <v>186</v>
      </c>
      <c r="N131" s="231" t="s">
        <v>186</v>
      </c>
      <c r="O131" s="231" t="s">
        <v>186</v>
      </c>
      <c r="P131" s="231" t="s">
        <v>186</v>
      </c>
      <c r="Q131" s="231" t="s">
        <v>186</v>
      </c>
      <c r="R131" s="231" t="s">
        <v>186</v>
      </c>
      <c r="S131" s="231" t="s">
        <v>186</v>
      </c>
      <c r="T131" s="231" t="s">
        <v>186</v>
      </c>
      <c r="U131" s="231" t="s">
        <v>186</v>
      </c>
      <c r="V131" s="231" t="s">
        <v>186</v>
      </c>
      <c r="W131" s="231" t="s">
        <v>186</v>
      </c>
      <c r="X131" s="231" t="s">
        <v>186</v>
      </c>
      <c r="Y131" s="231" t="s">
        <v>186</v>
      </c>
      <c r="Z131" s="231" t="s">
        <v>186</v>
      </c>
      <c r="AA131" s="231" t="s">
        <v>186</v>
      </c>
      <c r="AB131" s="231" t="s">
        <v>186</v>
      </c>
      <c r="AC131" s="231" t="s">
        <v>186</v>
      </c>
      <c r="AD131" s="7" t="str">
        <f>IF(G131="","",IF(AND(Z131&gt;='פרמטרים לקריטריונים'!$D$19,AA131&gt;='פרמטרים לקריטריונים'!$C$19),1,0))</f>
        <v/>
      </c>
      <c r="AE131" s="7" t="str" cm="1">
        <f t="array" ref="AE131">IF($F131="","",IF(OR(SUMPRODUCT(--(Z131:AA131&gt;=$Z$5:$AA$5))=COUNTA($Z$29:$AA$29),OR(AND(X131=1,OR(AB131=1,AC131=1)),AND(Y131=1,AD131=1))),1,0))</f>
        <v/>
      </c>
      <c r="AF131" s="231" t="s">
        <v>186</v>
      </c>
      <c r="AG131" s="231" t="s">
        <v>186</v>
      </c>
      <c r="AH131" s="231"/>
      <c r="AI131" s="231" t="s">
        <v>186</v>
      </c>
      <c r="AJ131" s="231" t="s">
        <v>186</v>
      </c>
      <c r="AK131" s="231" t="s">
        <v>186</v>
      </c>
      <c r="AL131" s="231" t="s">
        <v>186</v>
      </c>
      <c r="AM131" s="231" t="s">
        <v>186</v>
      </c>
      <c r="AN131" s="231" t="s">
        <v>186</v>
      </c>
      <c r="AO131" s="231" t="s">
        <v>186</v>
      </c>
      <c r="AP131" s="358" t="s">
        <v>186</v>
      </c>
      <c r="CS131" s="323"/>
      <c r="CT131" s="323"/>
      <c r="CU131" s="323"/>
      <c r="CV131" s="323"/>
      <c r="CW131" s="323"/>
      <c r="CX131" s="323"/>
    </row>
  </sheetData>
  <sheetProtection algorithmName="SHA-512" hashValue="kvtr9OhOi1gttMTJrxJW8M/bDpdeQd9TB7WLLYelv0GuhCikFKzjtugrq/wa9d4IQDu0Yh9FF0DHTKZteuGEsw==" saltValue="rCIpjXoWlw7/i8v1hUKQzg==" spinCount="100000" sheet="1" scenarios="1" formatCells="0" formatColumns="0" formatRows="0" autoFilter="0"/>
  <autoFilter ref="B29:AP131" xr:uid="{00000000-0001-0000-0400-000000000000}"/>
  <mergeCells count="16">
    <mergeCell ref="AO29:AO30"/>
    <mergeCell ref="B1:AP1"/>
    <mergeCell ref="B29:B30"/>
    <mergeCell ref="C29:C30"/>
    <mergeCell ref="D29:D30"/>
    <mergeCell ref="E29:E30"/>
    <mergeCell ref="F29:F30"/>
    <mergeCell ref="AL29:AL30"/>
    <mergeCell ref="AM29:AM30"/>
    <mergeCell ref="AN29:AN30"/>
    <mergeCell ref="AJ29:AJ30"/>
    <mergeCell ref="AE29:AE30"/>
    <mergeCell ref="Q29:Q30"/>
    <mergeCell ref="AB29:AB30"/>
    <mergeCell ref="AC29:AC30"/>
    <mergeCell ref="AD29:AD30"/>
  </mergeCells>
  <conditionalFormatting sqref="G31:N31 X67:Y130 R33:S81 R83:U130">
    <cfRule type="expression" dxfId="400" priority="68">
      <formula>G31&lt;G$5</formula>
    </cfRule>
  </conditionalFormatting>
  <conditionalFormatting sqref="G31:N31 X67:Y130">
    <cfRule type="expression" dxfId="399" priority="64" stopIfTrue="1">
      <formula>AND($F31="",G31&lt;&gt;"")</formula>
    </cfRule>
    <cfRule type="expression" dxfId="398" priority="65">
      <formula>$F31=""</formula>
    </cfRule>
    <cfRule type="expression" dxfId="397" priority="66">
      <formula>G$30&lt;&gt;""</formula>
    </cfRule>
  </conditionalFormatting>
  <conditionalFormatting sqref="G32:N32">
    <cfRule type="expression" dxfId="396" priority="151">
      <formula>G$30&lt;&gt;""</formula>
    </cfRule>
  </conditionalFormatting>
  <conditionalFormatting sqref="G33:N33 R33:S81 T67:T81 Y67:Y130 R83:U130">
    <cfRule type="expression" dxfId="395" priority="76">
      <formula>G$30&lt;&gt;""</formula>
    </cfRule>
  </conditionalFormatting>
  <conditionalFormatting sqref="G33:N33 T67:T81">
    <cfRule type="expression" dxfId="394" priority="78">
      <formula>G33&lt;G$5</formula>
    </cfRule>
  </conditionalFormatting>
  <conditionalFormatting sqref="G33:N33 Y67:Y130 R33:S81 R83:U130 T67:T81">
    <cfRule type="expression" dxfId="393" priority="75">
      <formula>$F33=""</formula>
    </cfRule>
  </conditionalFormatting>
  <conditionalFormatting sqref="G33:N130">
    <cfRule type="expression" dxfId="392" priority="74" stopIfTrue="1">
      <formula>AND($F33="",G33&lt;&gt;"")</formula>
    </cfRule>
  </conditionalFormatting>
  <conditionalFormatting sqref="G32:P32">
    <cfRule type="expression" dxfId="391" priority="143">
      <formula>G32&lt;G$5</formula>
    </cfRule>
    <cfRule type="expression" dxfId="390" priority="140">
      <formula>$F32=""</formula>
    </cfRule>
    <cfRule type="expression" dxfId="389" priority="139" stopIfTrue="1">
      <formula>AND($F32="",G32&lt;&gt;"")</formula>
    </cfRule>
  </conditionalFormatting>
  <conditionalFormatting sqref="G34:P130">
    <cfRule type="expression" dxfId="388" priority="226">
      <formula>G$30&lt;&gt;""</formula>
    </cfRule>
    <cfRule type="expression" dxfId="387" priority="228">
      <formula>G34&lt;G$5</formula>
    </cfRule>
    <cfRule type="expression" dxfId="386" priority="225">
      <formula>$F34=""</formula>
    </cfRule>
  </conditionalFormatting>
  <conditionalFormatting sqref="G4:AK4">
    <cfRule type="cellIs" dxfId="385" priority="234" operator="equal">
      <formula>99</formula>
    </cfRule>
  </conditionalFormatting>
  <conditionalFormatting sqref="H31:N31">
    <cfRule type="expression" dxfId="384" priority="71">
      <formula>H$30&lt;&gt;""</formula>
    </cfRule>
  </conditionalFormatting>
  <conditionalFormatting sqref="H32:N32">
    <cfRule type="expression" dxfId="383" priority="154" stopIfTrue="1">
      <formula>AND($F32="",H32&lt;&gt;"")</formula>
    </cfRule>
    <cfRule type="expression" dxfId="382" priority="155">
      <formula>$F32=""</formula>
    </cfRule>
    <cfRule type="expression" dxfId="381" priority="156">
      <formula>H$30&lt;&gt;""</formula>
    </cfRule>
    <cfRule type="expression" dxfId="380" priority="158">
      <formula>H32&lt;H$5</formula>
    </cfRule>
  </conditionalFormatting>
  <conditionalFormatting sqref="H31:P31">
    <cfRule type="expression" dxfId="379" priority="69" stopIfTrue="1">
      <formula>AND($F31="",H31&lt;&gt;"")</formula>
    </cfRule>
    <cfRule type="expression" dxfId="378" priority="70">
      <formula>$F31=""</formula>
    </cfRule>
    <cfRule type="expression" dxfId="377" priority="73">
      <formula>H31&lt;H$5</formula>
    </cfRule>
  </conditionalFormatting>
  <conditionalFormatting sqref="H33:P33">
    <cfRule type="expression" dxfId="376" priority="83">
      <formula>H33&lt;H$5</formula>
    </cfRule>
    <cfRule type="expression" dxfId="375" priority="80">
      <formula>$F33=""</formula>
    </cfRule>
    <cfRule type="expression" dxfId="374" priority="79" stopIfTrue="1">
      <formula>AND($F33="",H33&lt;&gt;"")</formula>
    </cfRule>
    <cfRule type="expression" dxfId="373" priority="81">
      <formula>H$30&lt;&gt;""</formula>
    </cfRule>
  </conditionalFormatting>
  <conditionalFormatting sqref="O31:P32">
    <cfRule type="expression" dxfId="372" priority="141">
      <formula>O$30&lt;&gt;""</formula>
    </cfRule>
  </conditionalFormatting>
  <conditionalFormatting sqref="O34:P130">
    <cfRule type="expression" dxfId="371" priority="224" stopIfTrue="1">
      <formula>AND($F34="",O34&lt;&gt;"")</formula>
    </cfRule>
  </conditionalFormatting>
  <conditionalFormatting sqref="R31">
    <cfRule type="expression" dxfId="370" priority="298">
      <formula>R31&lt;R$5</formula>
    </cfRule>
    <cfRule type="expression" dxfId="369" priority="294" stopIfTrue="1">
      <formula>AND($F31="",R31&lt;&gt;"")</formula>
    </cfRule>
    <cfRule type="expression" dxfId="368" priority="295">
      <formula>$F31=""</formula>
    </cfRule>
    <cfRule type="expression" dxfId="367" priority="296">
      <formula>R$30&lt;&gt;""</formula>
    </cfRule>
  </conditionalFormatting>
  <conditionalFormatting sqref="R32">
    <cfRule type="expression" dxfId="366" priority="218">
      <formula>R32&lt;R$5</formula>
    </cfRule>
    <cfRule type="expression" dxfId="365" priority="216">
      <formula>R$30&lt;&gt;""</formula>
    </cfRule>
    <cfRule type="expression" dxfId="364" priority="215">
      <formula>$F32=""</formula>
    </cfRule>
    <cfRule type="expression" dxfId="363" priority="214" stopIfTrue="1">
      <formula>AND($F32="",R32&lt;&gt;"")</formula>
    </cfRule>
  </conditionalFormatting>
  <conditionalFormatting sqref="R33:R130">
    <cfRule type="expression" dxfId="362" priority="59" stopIfTrue="1">
      <formula>AND($F33="",R33&lt;&gt;"")</formula>
    </cfRule>
    <cfRule type="expression" dxfId="361" priority="60">
      <formula>$F33=""</formula>
    </cfRule>
    <cfRule type="expression" dxfId="360" priority="61">
      <formula>R$30&lt;&gt;""</formula>
    </cfRule>
  </conditionalFormatting>
  <conditionalFormatting sqref="R82">
    <cfRule type="expression" dxfId="359" priority="63">
      <formula>R82&lt;R$5</formula>
    </cfRule>
  </conditionalFormatting>
  <conditionalFormatting sqref="R31:S31">
    <cfRule type="expression" dxfId="358" priority="288">
      <formula>R31&lt;R$5</formula>
    </cfRule>
    <cfRule type="expression" dxfId="357" priority="285">
      <formula>$F31=""</formula>
    </cfRule>
    <cfRule type="expression" dxfId="356" priority="286">
      <formula>R$30&lt;&gt;""</formula>
    </cfRule>
  </conditionalFormatting>
  <conditionalFormatting sqref="R32:S32">
    <cfRule type="expression" dxfId="355" priority="208">
      <formula>R32&lt;R$5</formula>
    </cfRule>
    <cfRule type="expression" dxfId="354" priority="206">
      <formula>R$30&lt;&gt;""</formula>
    </cfRule>
    <cfRule type="expression" dxfId="353" priority="204" stopIfTrue="1">
      <formula>AND($F32="",R32&lt;&gt;"")</formula>
    </cfRule>
    <cfRule type="expression" dxfId="352" priority="205">
      <formula>$F32=""</formula>
    </cfRule>
  </conditionalFormatting>
  <conditionalFormatting sqref="R33:S81 R31:S31">
    <cfRule type="expression" dxfId="351" priority="284" stopIfTrue="1">
      <formula>AND($F31="",R31&lt;&gt;"")</formula>
    </cfRule>
  </conditionalFormatting>
  <conditionalFormatting sqref="R82:S82">
    <cfRule type="expression" dxfId="350" priority="54" stopIfTrue="1">
      <formula>AND($F82="",R82&lt;&gt;"")</formula>
    </cfRule>
    <cfRule type="expression" dxfId="349" priority="58">
      <formula>R82&lt;R$5</formula>
    </cfRule>
    <cfRule type="expression" dxfId="348" priority="55">
      <formula>$F82=""</formula>
    </cfRule>
    <cfRule type="expression" dxfId="347" priority="56">
      <formula>R$30&lt;&gt;""</formula>
    </cfRule>
  </conditionalFormatting>
  <conditionalFormatting sqref="S32">
    <cfRule type="expression" dxfId="346" priority="201">
      <formula>S$30&lt;&gt;""</formula>
    </cfRule>
    <cfRule type="expression" dxfId="345" priority="203">
      <formula>S32&lt;S$5</formula>
    </cfRule>
    <cfRule type="expression" dxfId="344" priority="200">
      <formula>$F32=""</formula>
    </cfRule>
    <cfRule type="expression" dxfId="343" priority="199" stopIfTrue="1">
      <formula>AND($F32="",S32&lt;&gt;"")</formula>
    </cfRule>
  </conditionalFormatting>
  <conditionalFormatting sqref="S33:S81">
    <cfRule type="expression" dxfId="342" priority="283">
      <formula>S33&lt;S$5</formula>
    </cfRule>
    <cfRule type="expression" dxfId="341" priority="281">
      <formula>S$30&lt;&gt;""</formula>
    </cfRule>
    <cfRule type="expression" dxfId="340" priority="280">
      <formula>$F33=""</formula>
    </cfRule>
  </conditionalFormatting>
  <conditionalFormatting sqref="S31:T31">
    <cfRule type="expression" dxfId="339" priority="278">
      <formula>S31&lt;S$5</formula>
    </cfRule>
    <cfRule type="expression" dxfId="338" priority="275">
      <formula>$F31=""</formula>
    </cfRule>
    <cfRule type="expression" dxfId="337" priority="276">
      <formula>S$30&lt;&gt;""</formula>
    </cfRule>
  </conditionalFormatting>
  <conditionalFormatting sqref="S82:T82">
    <cfRule type="expression" dxfId="336" priority="49">
      <formula>S82&lt;S$5</formula>
    </cfRule>
    <cfRule type="expression" dxfId="335" priority="47">
      <formula>S$30&lt;&gt;""</formula>
    </cfRule>
    <cfRule type="expression" dxfId="334" priority="46">
      <formula>$F82=""</formula>
    </cfRule>
  </conditionalFormatting>
  <conditionalFormatting sqref="S33:U81">
    <cfRule type="expression" dxfId="333" priority="259" stopIfTrue="1">
      <formula>AND($F33="",S33&lt;&gt;"")</formula>
    </cfRule>
  </conditionalFormatting>
  <conditionalFormatting sqref="S82:U82">
    <cfRule type="expression" dxfId="332" priority="30" stopIfTrue="1">
      <formula>AND($F82="",S82&lt;&gt;"")</formula>
    </cfRule>
  </conditionalFormatting>
  <conditionalFormatting sqref="T32:T66">
    <cfRule type="expression" dxfId="331" priority="109" stopIfTrue="1">
      <formula>AND($F32="",T32&lt;&gt;"")</formula>
    </cfRule>
    <cfRule type="expression" dxfId="330" priority="110">
      <formula>$F32=""</formula>
    </cfRule>
    <cfRule type="expression" dxfId="329" priority="111">
      <formula>T$30&lt;&gt;""</formula>
    </cfRule>
    <cfRule type="expression" dxfId="328" priority="113">
      <formula>T32&lt;T$5</formula>
    </cfRule>
    <cfRule type="expression" dxfId="327" priority="115">
      <formula>$F32=""</formula>
    </cfRule>
    <cfRule type="expression" dxfId="326" priority="116">
      <formula>T$30&lt;&gt;""</formula>
    </cfRule>
    <cfRule type="expression" dxfId="325" priority="118">
      <formula>T32&lt;T$5</formula>
    </cfRule>
    <cfRule type="expression" dxfId="324" priority="114" stopIfTrue="1">
      <formula>AND($F32="",T32&lt;&gt;"")</formula>
    </cfRule>
  </conditionalFormatting>
  <conditionalFormatting sqref="T67:T81 S31:T31">
    <cfRule type="expression" dxfId="323" priority="274" stopIfTrue="1">
      <formula>AND($F31="",S31&lt;&gt;"")</formula>
    </cfRule>
  </conditionalFormatting>
  <conditionalFormatting sqref="T67:T81">
    <cfRule type="expression" dxfId="322" priority="270">
      <formula>$F67=""</formula>
    </cfRule>
    <cfRule type="expression" dxfId="321" priority="271">
      <formula>T$30&lt;&gt;""</formula>
    </cfRule>
    <cfRule type="expression" dxfId="320" priority="273">
      <formula>T67&lt;T$5</formula>
    </cfRule>
  </conditionalFormatting>
  <conditionalFormatting sqref="T82">
    <cfRule type="expression" dxfId="319" priority="45" stopIfTrue="1">
      <formula>AND($F82="",T82&lt;&gt;"")</formula>
    </cfRule>
  </conditionalFormatting>
  <conditionalFormatting sqref="T82:U82">
    <cfRule type="expression" dxfId="318" priority="37">
      <formula>$F82=""</formula>
    </cfRule>
    <cfRule type="expression" dxfId="317" priority="38">
      <formula>T$30&lt;&gt;""</formula>
    </cfRule>
    <cfRule type="expression" dxfId="316" priority="40">
      <formula>T82&lt;T$5</formula>
    </cfRule>
  </conditionalFormatting>
  <conditionalFormatting sqref="T31:Y31">
    <cfRule type="expression" dxfId="315" priority="248">
      <formula>T31&lt;T$5</formula>
    </cfRule>
    <cfRule type="expression" dxfId="314" priority="244" stopIfTrue="1">
      <formula>AND($F31="",T31&lt;&gt;"")</formula>
    </cfRule>
    <cfRule type="expression" dxfId="313" priority="245">
      <formula>$F31=""</formula>
    </cfRule>
    <cfRule type="expression" dxfId="312" priority="246">
      <formula>T$30&lt;&gt;""</formula>
    </cfRule>
  </conditionalFormatting>
  <conditionalFormatting sqref="U31:U32">
    <cfRule type="expression" dxfId="311" priority="183">
      <formula>U31&lt;U$5</formula>
    </cfRule>
    <cfRule type="expression" dxfId="310" priority="180">
      <formula>$F31=""</formula>
    </cfRule>
    <cfRule type="expression" dxfId="309" priority="179" stopIfTrue="1">
      <formula>AND($F31="",U31&lt;&gt;"")</formula>
    </cfRule>
    <cfRule type="expression" dxfId="308" priority="181">
      <formula>U$30&lt;&gt;""</formula>
    </cfRule>
  </conditionalFormatting>
  <conditionalFormatting sqref="U33:U81 R83:U130">
    <cfRule type="expression" dxfId="307" priority="264" stopIfTrue="1">
      <formula>AND($F33="",R33&lt;&gt;"")</formula>
    </cfRule>
  </conditionalFormatting>
  <conditionalFormatting sqref="U33:U81 U83:U130">
    <cfRule type="expression" dxfId="306" priority="261">
      <formula>U$30&lt;&gt;""</formula>
    </cfRule>
    <cfRule type="expression" dxfId="305" priority="263">
      <formula>U33&lt;U$5</formula>
    </cfRule>
    <cfRule type="expression" dxfId="304" priority="260">
      <formula>$F33=""</formula>
    </cfRule>
  </conditionalFormatting>
  <conditionalFormatting sqref="U33:U81">
    <cfRule type="expression" dxfId="303" priority="268">
      <formula>U33&lt;U$5</formula>
    </cfRule>
    <cfRule type="expression" dxfId="302" priority="266">
      <formula>U$30&lt;&gt;""</formula>
    </cfRule>
    <cfRule type="expression" dxfId="301" priority="265">
      <formula>$F33=""</formula>
    </cfRule>
  </conditionalFormatting>
  <conditionalFormatting sqref="U82">
    <cfRule type="expression" dxfId="300" priority="33">
      <formula>U$30&lt;&gt;""</formula>
    </cfRule>
    <cfRule type="expression" dxfId="299" priority="36" stopIfTrue="1">
      <formula>AND($F82="",U82&lt;&gt;"")</formula>
    </cfRule>
    <cfRule type="expression" dxfId="298" priority="35">
      <formula>U82&lt;U$5</formula>
    </cfRule>
    <cfRule type="expression" dxfId="297" priority="32">
      <formula>$F82=""</formula>
    </cfRule>
  </conditionalFormatting>
  <conditionalFormatting sqref="U32:W32">
    <cfRule type="expression" dxfId="296" priority="186">
      <formula>U$30&lt;&gt;""</formula>
    </cfRule>
    <cfRule type="expression" dxfId="295" priority="188">
      <formula>U32&lt;U$5</formula>
    </cfRule>
    <cfRule type="expression" dxfId="294" priority="185">
      <formula>$F32=""</formula>
    </cfRule>
    <cfRule type="expression" dxfId="293" priority="184" stopIfTrue="1">
      <formula>AND($F32="",U32&lt;&gt;"")</formula>
    </cfRule>
  </conditionalFormatting>
  <conditionalFormatting sqref="X31:X130">
    <cfRule type="expression" dxfId="292" priority="106">
      <formula>X$30&lt;&gt;""</formula>
    </cfRule>
    <cfRule type="expression" dxfId="291" priority="104" stopIfTrue="1">
      <formula>AND($F31="",X31&lt;&gt;"")</formula>
    </cfRule>
    <cfRule type="expression" dxfId="290" priority="108">
      <formula>X31&lt;X$5</formula>
    </cfRule>
    <cfRule type="expression" dxfId="289" priority="105">
      <formula>$F31=""</formula>
    </cfRule>
  </conditionalFormatting>
  <conditionalFormatting sqref="X32:AA66">
    <cfRule type="expression" dxfId="288" priority="94" stopIfTrue="1">
      <formula>AND($F32="",X32&lt;&gt;"")</formula>
    </cfRule>
    <cfRule type="expression" dxfId="287" priority="95">
      <formula>$F32=""</formula>
    </cfRule>
    <cfRule type="expression" dxfId="286" priority="96">
      <formula>X$30&lt;&gt;""</formula>
    </cfRule>
    <cfRule type="expression" dxfId="285" priority="98">
      <formula>X32&lt;X$5</formula>
    </cfRule>
  </conditionalFormatting>
  <conditionalFormatting sqref="Y31 T67:Y81 V82:Y82 S83:Y130">
    <cfRule type="expression" dxfId="284" priority="254" stopIfTrue="1">
      <formula>AND($F31="",S31&lt;&gt;"")</formula>
    </cfRule>
  </conditionalFormatting>
  <conditionalFormatting sqref="Y31">
    <cfRule type="expression" dxfId="283" priority="258">
      <formula>Y31&lt;Y$5</formula>
    </cfRule>
    <cfRule type="expression" dxfId="282" priority="256">
      <formula>Y$30&lt;&gt;""</formula>
    </cfRule>
    <cfRule type="expression" dxfId="281" priority="255">
      <formula>$F31=""</formula>
    </cfRule>
  </conditionalFormatting>
  <conditionalFormatting sqref="Y32:Y66">
    <cfRule type="expression" dxfId="280" priority="93">
      <formula>Y32&lt;Y$5</formula>
    </cfRule>
    <cfRule type="expression" dxfId="279" priority="91">
      <formula>Y$30&lt;&gt;""</formula>
    </cfRule>
    <cfRule type="expression" dxfId="278" priority="90">
      <formula>$F32=""</formula>
    </cfRule>
    <cfRule type="expression" dxfId="277" priority="89" stopIfTrue="1">
      <formula>AND($F32="",Y32&lt;&gt;"")</formula>
    </cfRule>
  </conditionalFormatting>
  <conditionalFormatting sqref="Z67:AA87">
    <cfRule type="expression" dxfId="276" priority="12">
      <formula>Z$30&lt;&gt;""</formula>
    </cfRule>
    <cfRule type="expression" dxfId="275" priority="10" stopIfTrue="1">
      <formula>AND($F67="",Z67&lt;&gt;"")</formula>
    </cfRule>
    <cfRule type="expression" dxfId="274" priority="11">
      <formula>$F67=""</formula>
    </cfRule>
    <cfRule type="expression" dxfId="273" priority="14">
      <formula>Z67&lt;Z$5</formula>
    </cfRule>
  </conditionalFormatting>
  <conditionalFormatting sqref="Z88:AA106 Z108:AA130 Z107">
    <cfRule type="expression" dxfId="272" priority="29" stopIfTrue="1">
      <formula>AND($F88="",Z88&lt;&gt;"")</formula>
    </cfRule>
  </conditionalFormatting>
  <conditionalFormatting sqref="Z31:AP31 B31:E130 Q31:Q130 AJ32:AP66 AB32:AC130 AD32:AE131 V33:W130 H34:N130 G48:L48 G49:N50 Z88:AA90 Z91 Z92:AA106 Z108:AA130 Z107 AF67:AP130">
    <cfRule type="expression" dxfId="271" priority="317">
      <formula>$F31=""</formula>
    </cfRule>
    <cfRule type="expression" dxfId="270" priority="318">
      <formula>B$30&lt;&gt;""</formula>
    </cfRule>
  </conditionalFormatting>
  <conditionalFormatting sqref="Z31:AP31 Q31:Q130 AJ32:AP66 AB32:AC130 AD32:AE131 V33:W130 H34:N130 G48:L48 G49:N50 Z88:AA90 Z91 Z92:AA106 Z108:AA130 Z107 AF67:AP130">
    <cfRule type="expression" dxfId="269" priority="706">
      <formula>G31&lt;G$5</formula>
    </cfRule>
  </conditionalFormatting>
  <conditionalFormatting sqref="Z31:AP31 AJ32:AP66 H34:N130 G48:L48 G49:N50 B31:E130 Q31:Q130 AB32:AC130 AD32:AE131 V33:W130 AF67:AP130">
    <cfRule type="expression" dxfId="268" priority="316" stopIfTrue="1">
      <formula>AND($F31="",B31&lt;&gt;"")</formula>
    </cfRule>
  </conditionalFormatting>
  <conditionalFormatting sqref="AA91">
    <cfRule type="expression" dxfId="267" priority="9">
      <formula>AA91&lt;AA$5</formula>
    </cfRule>
    <cfRule type="expression" dxfId="266" priority="26">
      <formula>$F91=""</formula>
    </cfRule>
    <cfRule type="expression" dxfId="265" priority="25" stopIfTrue="1">
      <formula>AND($F91="",AA91&lt;&gt;"")</formula>
    </cfRule>
    <cfRule type="expression" dxfId="264" priority="6">
      <formula>$F91=""</formula>
    </cfRule>
    <cfRule type="expression" dxfId="263" priority="27">
      <formula>AA$30&lt;&gt;""</formula>
    </cfRule>
    <cfRule type="expression" dxfId="262" priority="7">
      <formula>AA$30&lt;&gt;""</formula>
    </cfRule>
  </conditionalFormatting>
  <conditionalFormatting sqref="AF32:AI66">
    <cfRule type="expression" dxfId="261" priority="84" stopIfTrue="1">
      <formula>AND($F32="",AF32&lt;&gt;"")</formula>
    </cfRule>
    <cfRule type="expression" dxfId="260" priority="85">
      <formula>$F32=""</formula>
    </cfRule>
    <cfRule type="expression" dxfId="259" priority="86">
      <formula>AF$30&lt;&gt;""</formula>
    </cfRule>
    <cfRule type="expression" dxfId="258" priority="88">
      <formula>AF32&lt;AF$5</formula>
    </cfRule>
  </conditionalFormatting>
  <conditionalFormatting sqref="AO31:AO130">
    <cfRule type="cellIs" dxfId="257" priority="311" operator="equal">
      <formula>1</formula>
    </cfRule>
  </conditionalFormatting>
  <conditionalFormatting sqref="AA107">
    <cfRule type="expression" dxfId="256" priority="1" stopIfTrue="1">
      <formula>AND($F107="",AA107&lt;&gt;"")</formula>
    </cfRule>
    <cfRule type="expression" dxfId="255" priority="2">
      <formula>$F107=""</formula>
    </cfRule>
    <cfRule type="expression" dxfId="254" priority="3">
      <formula>AA$30&lt;&gt;""</formula>
    </cfRule>
    <cfRule type="expression" dxfId="253" priority="5">
      <formula>AA107&lt;AA$5</formula>
    </cfRule>
  </conditionalFormatting>
  <dataValidations count="7">
    <dataValidation type="list" allowBlank="1" showInputMessage="1" showErrorMessage="1" errorTitle="נתון שגוי." error="ניתן להזין רק 0 או 1._x000a_0 = לא עומד בתנאי._x000a_1 = עומד בתנאי." sqref="AJ31:AJ130" xr:uid="{00000000-0002-0000-0400-000000000000}">
      <formula1>$AR$31:$AS$31</formula1>
    </dataValidation>
    <dataValidation allowBlank="1" showInputMessage="1" showErrorMessage="1" errorTitle="נתון שגוי." error="ניתן להזין רק 0 או 1._x000a_0 = לא עומד בתנאי._x000a_1 = עומד בתנאי." sqref="AL31:AN130 AB31:AD131" xr:uid="{00000000-0002-0000-0400-000001000000}"/>
    <dataValidation type="whole" operator="greaterThanOrEqual" allowBlank="1" showInputMessage="1" showErrorMessage="1" errorTitle="נתון שגוי." error="ניתן להזין רק מספר שלם גדול או שווה ל-0." sqref="Z31:Z130 O31:P130" xr:uid="{00000000-0002-0000-0400-000002000000}">
      <formula1>0</formula1>
    </dataValidation>
    <dataValidation type="list" allowBlank="1" showInputMessage="1" showErrorMessage="1" sqref="G4:AJ4" xr:uid="{00000000-0002-0000-0400-000003000000}">
      <formula1>"1,0,99"</formula1>
    </dataValidation>
    <dataValidation type="list" allowBlank="1" showInputMessage="1" showErrorMessage="1" errorTitle="נתון שגוי." error="ניתן להזין רק 0 או 1._x000a_0 = לא עומד בתנאי._x000a_1 = עומד בתנאי." sqref="AK31:AK130 AF32:AF130 AG31:AI130 G31:N130 R31:Y130" xr:uid="{00000000-0002-0000-0400-000004000000}">
      <formula1>$AR31:$AS31</formula1>
    </dataValidation>
    <dataValidation type="list" allowBlank="1" showInputMessage="1" showErrorMessage="1" sqref="AK30 AF30:AI30 G30:P30 R30:AA30" xr:uid="{00000000-0002-0000-0400-000005000000}">
      <formula1>OFFSET($AU$1,0,0,1,COUNTA($AU$1:$CF$1))</formula1>
    </dataValidation>
    <dataValidation type="decimal" operator="greaterThanOrEqual" allowBlank="1" showInputMessage="1" showErrorMessage="1" errorTitle="נתון שגוי." error="ניתן להזין רק מספר גדול או שווה ל-0." sqref="AA31:AA130" xr:uid="{00000000-0002-0000-0400-000006000000}">
      <formula1>0</formula1>
    </dataValidation>
  </dataValidations>
  <printOptions horizontalCentered="1"/>
  <pageMargins left="0.17" right="0.17" top="0.45" bottom="0.33" header="0.17" footer="0.17"/>
  <pageSetup paperSize="9" scale="20"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67" operator="containsText" id="{10326173-BBF5-4A48-AA02-ACE35DD3C7CA}">
            <xm:f>NOT(ISERROR(SEARCH($AR$1,G31)))</xm:f>
            <xm:f>$AR$1</xm:f>
            <x14:dxf>
              <fill>
                <patternFill>
                  <bgColor rgb="FFFF0000"/>
                </patternFill>
              </fill>
            </x14:dxf>
          </x14:cfRule>
          <xm:sqref>G31:N31 X67:Y130</xm:sqref>
        </x14:conditionalFormatting>
        <x14:conditionalFormatting xmlns:xm="http://schemas.microsoft.com/office/excel/2006/main">
          <x14:cfRule type="containsText" priority="152" operator="containsText" id="{5B078176-5350-42F3-9BDA-4894B859BD5B}">
            <xm:f>NOT(ISERROR(SEARCH($AR$1,G32)))</xm:f>
            <xm:f>$AR$1</xm:f>
            <x14:dxf>
              <fill>
                <patternFill>
                  <bgColor rgb="FFFF0000"/>
                </patternFill>
              </fill>
            </x14:dxf>
          </x14:cfRule>
          <xm:sqref>G32:N32</xm:sqref>
        </x14:conditionalFormatting>
        <x14:conditionalFormatting xmlns:xm="http://schemas.microsoft.com/office/excel/2006/main">
          <x14:cfRule type="containsText" priority="77" operator="containsText" id="{B18A1462-B5FB-4C89-AA26-9D640270B40E}">
            <xm:f>NOT(ISERROR(SEARCH($AR$1,G33)))</xm:f>
            <xm:f>$AR$1</xm:f>
            <x14:dxf>
              <fill>
                <patternFill>
                  <bgColor rgb="FFFF0000"/>
                </patternFill>
              </fill>
            </x14:dxf>
          </x14:cfRule>
          <xm:sqref>G33:N33 R33:S81 T67:T81 Y67:Y130 R83:U130</xm:sqref>
        </x14:conditionalFormatting>
        <x14:conditionalFormatting xmlns:xm="http://schemas.microsoft.com/office/excel/2006/main">
          <x14:cfRule type="containsText" priority="227" operator="containsText" id="{C2FDC64A-1FA9-42EC-BCD2-FC506E3A25AD}">
            <xm:f>NOT(ISERROR(SEARCH($AR$1,G34)))</xm:f>
            <xm:f>$AR$1</xm:f>
            <x14:dxf>
              <fill>
                <patternFill>
                  <bgColor rgb="FFFF0000"/>
                </patternFill>
              </fill>
            </x14:dxf>
          </x14:cfRule>
          <xm:sqref>G34:P130</xm:sqref>
        </x14:conditionalFormatting>
        <x14:conditionalFormatting xmlns:xm="http://schemas.microsoft.com/office/excel/2006/main">
          <x14:cfRule type="containsText" priority="72" operator="containsText" id="{1E189D66-C909-436F-BE6B-A4470C7C82A3}">
            <xm:f>NOT(ISERROR(SEARCH($AR$1,H31)))</xm:f>
            <xm:f>$AR$1</xm:f>
            <x14:dxf>
              <fill>
                <patternFill>
                  <bgColor rgb="FFFF0000"/>
                </patternFill>
              </fill>
            </x14:dxf>
          </x14:cfRule>
          <xm:sqref>H31:N31</xm:sqref>
        </x14:conditionalFormatting>
        <x14:conditionalFormatting xmlns:xm="http://schemas.microsoft.com/office/excel/2006/main">
          <x14:cfRule type="containsText" priority="157" operator="containsText" id="{BA76EDE9-22D1-4CC3-AFCD-3E56DC4715D2}">
            <xm:f>NOT(ISERROR(SEARCH($AR$1,H32)))</xm:f>
            <xm:f>$AR$1</xm:f>
            <x14:dxf>
              <fill>
                <patternFill>
                  <bgColor rgb="FFFF0000"/>
                </patternFill>
              </fill>
            </x14:dxf>
          </x14:cfRule>
          <xm:sqref>H32:N32</xm:sqref>
        </x14:conditionalFormatting>
        <x14:conditionalFormatting xmlns:xm="http://schemas.microsoft.com/office/excel/2006/main">
          <x14:cfRule type="containsText" priority="82" operator="containsText" id="{202EC6ED-8CAA-4E41-AF04-B74D3F17A56D}">
            <xm:f>NOT(ISERROR(SEARCH($AR$1,H33)))</xm:f>
            <xm:f>$AR$1</xm:f>
            <x14:dxf>
              <fill>
                <patternFill>
                  <bgColor rgb="FFFF0000"/>
                </patternFill>
              </fill>
            </x14:dxf>
          </x14:cfRule>
          <xm:sqref>H33:P33</xm:sqref>
        </x14:conditionalFormatting>
        <x14:conditionalFormatting xmlns:xm="http://schemas.microsoft.com/office/excel/2006/main">
          <x14:cfRule type="containsText" priority="142" operator="containsText" id="{E1923F82-30C5-475F-863E-20FF49CA5B18}">
            <xm:f>NOT(ISERROR(SEARCH($AR$1,O31)))</xm:f>
            <xm:f>$AR$1</xm:f>
            <x14:dxf>
              <fill>
                <patternFill>
                  <bgColor rgb="FFFF0000"/>
                </patternFill>
              </fill>
            </x14:dxf>
          </x14:cfRule>
          <xm:sqref>O31:P32</xm:sqref>
        </x14:conditionalFormatting>
        <x14:conditionalFormatting xmlns:xm="http://schemas.microsoft.com/office/excel/2006/main">
          <x14:cfRule type="containsText" priority="297" operator="containsText" id="{11FB0B97-7C37-48C8-8AFF-3952C0C9E5C0}">
            <xm:f>NOT(ISERROR(SEARCH($AR$1,R31)))</xm:f>
            <xm:f>$AR$1</xm:f>
            <x14:dxf>
              <fill>
                <patternFill>
                  <bgColor rgb="FFFF0000"/>
                </patternFill>
              </fill>
            </x14:dxf>
          </x14:cfRule>
          <xm:sqref>R31</xm:sqref>
        </x14:conditionalFormatting>
        <x14:conditionalFormatting xmlns:xm="http://schemas.microsoft.com/office/excel/2006/main">
          <x14:cfRule type="containsText" priority="217" operator="containsText" id="{DD4C7BFD-5041-43E4-A1EC-62C54DD3CCA5}">
            <xm:f>NOT(ISERROR(SEARCH($AR$1,R32)))</xm:f>
            <xm:f>$AR$1</xm:f>
            <x14:dxf>
              <fill>
                <patternFill>
                  <bgColor rgb="FFFF0000"/>
                </patternFill>
              </fill>
            </x14:dxf>
          </x14:cfRule>
          <xm:sqref>R32</xm:sqref>
        </x14:conditionalFormatting>
        <x14:conditionalFormatting xmlns:xm="http://schemas.microsoft.com/office/excel/2006/main">
          <x14:cfRule type="containsText" priority="62" operator="containsText" id="{7048927B-1684-4023-A617-BFDCB22A57B4}">
            <xm:f>NOT(ISERROR(SEARCH($AR$1,R33)))</xm:f>
            <xm:f>$AR$1</xm:f>
            <x14:dxf>
              <fill>
                <patternFill>
                  <bgColor rgb="FFFF0000"/>
                </patternFill>
              </fill>
            </x14:dxf>
          </x14:cfRule>
          <xm:sqref>R33:R130</xm:sqref>
        </x14:conditionalFormatting>
        <x14:conditionalFormatting xmlns:xm="http://schemas.microsoft.com/office/excel/2006/main">
          <x14:cfRule type="containsText" priority="287" operator="containsText" id="{E26FD375-714B-4890-90DD-2CB3BD2F1DD8}">
            <xm:f>NOT(ISERROR(SEARCH($AR$1,R31)))</xm:f>
            <xm:f>$AR$1</xm:f>
            <x14:dxf>
              <fill>
                <patternFill>
                  <bgColor rgb="FFFF0000"/>
                </patternFill>
              </fill>
            </x14:dxf>
          </x14:cfRule>
          <xm:sqref>R31:S31</xm:sqref>
        </x14:conditionalFormatting>
        <x14:conditionalFormatting xmlns:xm="http://schemas.microsoft.com/office/excel/2006/main">
          <x14:cfRule type="containsText" priority="207" operator="containsText" id="{CB7997E5-7F58-424C-8EE9-202B3FCE9329}">
            <xm:f>NOT(ISERROR(SEARCH($AR$1,R32)))</xm:f>
            <xm:f>$AR$1</xm:f>
            <x14:dxf>
              <fill>
                <patternFill>
                  <bgColor rgb="FFFF0000"/>
                </patternFill>
              </fill>
            </x14:dxf>
          </x14:cfRule>
          <xm:sqref>R32:S32</xm:sqref>
        </x14:conditionalFormatting>
        <x14:conditionalFormatting xmlns:xm="http://schemas.microsoft.com/office/excel/2006/main">
          <x14:cfRule type="containsText" priority="57" operator="containsText" id="{FD45078D-164F-4B30-8A16-261ECB279D5F}">
            <xm:f>NOT(ISERROR(SEARCH($AR$1,R82)))</xm:f>
            <xm:f>$AR$1</xm:f>
            <x14:dxf>
              <fill>
                <patternFill>
                  <bgColor rgb="FFFF0000"/>
                </patternFill>
              </fill>
            </x14:dxf>
          </x14:cfRule>
          <xm:sqref>R82:S82</xm:sqref>
        </x14:conditionalFormatting>
        <x14:conditionalFormatting xmlns:xm="http://schemas.microsoft.com/office/excel/2006/main">
          <x14:cfRule type="containsText" priority="202" operator="containsText" id="{95236AE5-B665-4524-945D-05BCC7B427A9}">
            <xm:f>NOT(ISERROR(SEARCH($AR$1,S32)))</xm:f>
            <xm:f>$AR$1</xm:f>
            <x14:dxf>
              <fill>
                <patternFill>
                  <bgColor rgb="FFFF0000"/>
                </patternFill>
              </fill>
            </x14:dxf>
          </x14:cfRule>
          <xm:sqref>S32</xm:sqref>
        </x14:conditionalFormatting>
        <x14:conditionalFormatting xmlns:xm="http://schemas.microsoft.com/office/excel/2006/main">
          <x14:cfRule type="containsText" priority="282" operator="containsText" id="{F8073714-D15E-4C58-940C-908C068CAF50}">
            <xm:f>NOT(ISERROR(SEARCH($AR$1,S33)))</xm:f>
            <xm:f>$AR$1</xm:f>
            <x14:dxf>
              <fill>
                <patternFill>
                  <bgColor rgb="FFFF0000"/>
                </patternFill>
              </fill>
            </x14:dxf>
          </x14:cfRule>
          <xm:sqref>S33:S81</xm:sqref>
        </x14:conditionalFormatting>
        <x14:conditionalFormatting xmlns:xm="http://schemas.microsoft.com/office/excel/2006/main">
          <x14:cfRule type="containsText" priority="277" operator="containsText" id="{5D2262D8-1835-4C4E-A27E-0CD65583BDC4}">
            <xm:f>NOT(ISERROR(SEARCH($AR$1,S31)))</xm:f>
            <xm:f>$AR$1</xm:f>
            <x14:dxf>
              <fill>
                <patternFill>
                  <bgColor rgb="FFFF0000"/>
                </patternFill>
              </fill>
            </x14:dxf>
          </x14:cfRule>
          <xm:sqref>S31:T31</xm:sqref>
        </x14:conditionalFormatting>
        <x14:conditionalFormatting xmlns:xm="http://schemas.microsoft.com/office/excel/2006/main">
          <x14:cfRule type="containsText" priority="48" operator="containsText" id="{FE6B7F7D-99F9-4A0D-BA3B-70A6E29806E0}">
            <xm:f>NOT(ISERROR(SEARCH($AR$1,S82)))</xm:f>
            <xm:f>$AR$1</xm:f>
            <x14:dxf>
              <fill>
                <patternFill>
                  <bgColor rgb="FFFF0000"/>
                </patternFill>
              </fill>
            </x14:dxf>
          </x14:cfRule>
          <xm:sqref>S82:T82</xm:sqref>
        </x14:conditionalFormatting>
        <x14:conditionalFormatting xmlns:xm="http://schemas.microsoft.com/office/excel/2006/main">
          <x14:cfRule type="containsText" priority="112" operator="containsText" id="{B8893A7E-0886-4AFA-8E1B-C18F8B404D7F}">
            <xm:f>NOT(ISERROR(SEARCH($AR$1,T32)))</xm:f>
            <xm:f>$AR$1</xm:f>
            <x14:dxf>
              <fill>
                <patternFill>
                  <bgColor rgb="FFFF0000"/>
                </patternFill>
              </fill>
            </x14:dxf>
          </x14:cfRule>
          <x14:cfRule type="containsText" priority="117" operator="containsText" id="{8F2EE202-2ED9-4F65-B993-28C608028D74}">
            <xm:f>NOT(ISERROR(SEARCH($AR$1,T32)))</xm:f>
            <xm:f>$AR$1</xm:f>
            <x14:dxf>
              <fill>
                <patternFill>
                  <bgColor rgb="FFFF0000"/>
                </patternFill>
              </fill>
            </x14:dxf>
          </x14:cfRule>
          <xm:sqref>T32:T66</xm:sqref>
        </x14:conditionalFormatting>
        <x14:conditionalFormatting xmlns:xm="http://schemas.microsoft.com/office/excel/2006/main">
          <x14:cfRule type="containsText" priority="272" operator="containsText" id="{04CA72B9-01CE-4F15-B7B7-28A9DD1DE6EE}">
            <xm:f>NOT(ISERROR(SEARCH($AR$1,T67)))</xm:f>
            <xm:f>$AR$1</xm:f>
            <x14:dxf>
              <fill>
                <patternFill>
                  <bgColor rgb="FFFF0000"/>
                </patternFill>
              </fill>
            </x14:dxf>
          </x14:cfRule>
          <xm:sqref>T67:T81</xm:sqref>
        </x14:conditionalFormatting>
        <x14:conditionalFormatting xmlns:xm="http://schemas.microsoft.com/office/excel/2006/main">
          <x14:cfRule type="containsText" priority="39" operator="containsText" id="{13369752-A6C4-43D5-81F5-DC6BB560AD45}">
            <xm:f>NOT(ISERROR(SEARCH($AR$1,T82)))</xm:f>
            <xm:f>$AR$1</xm:f>
            <x14:dxf>
              <fill>
                <patternFill>
                  <bgColor rgb="FFFF0000"/>
                </patternFill>
              </fill>
            </x14:dxf>
          </x14:cfRule>
          <xm:sqref>T82:U82</xm:sqref>
        </x14:conditionalFormatting>
        <x14:conditionalFormatting xmlns:xm="http://schemas.microsoft.com/office/excel/2006/main">
          <x14:cfRule type="containsText" priority="247" operator="containsText" id="{60982A06-93DD-4348-9B52-F3647F15B7DF}">
            <xm:f>NOT(ISERROR(SEARCH($AR$1,T31)))</xm:f>
            <xm:f>$AR$1</xm:f>
            <x14:dxf>
              <fill>
                <patternFill>
                  <bgColor rgb="FFFF0000"/>
                </patternFill>
              </fill>
            </x14:dxf>
          </x14:cfRule>
          <xm:sqref>T31:Y31</xm:sqref>
        </x14:conditionalFormatting>
        <x14:conditionalFormatting xmlns:xm="http://schemas.microsoft.com/office/excel/2006/main">
          <x14:cfRule type="containsText" priority="182" operator="containsText" id="{89EEB091-B8E5-47B4-99AA-51B182F87818}">
            <xm:f>NOT(ISERROR(SEARCH($AR$1,U31)))</xm:f>
            <xm:f>$AR$1</xm:f>
            <x14:dxf>
              <fill>
                <patternFill>
                  <bgColor rgb="FFFF0000"/>
                </patternFill>
              </fill>
            </x14:dxf>
          </x14:cfRule>
          <xm:sqref>U31:U32</xm:sqref>
        </x14:conditionalFormatting>
        <x14:conditionalFormatting xmlns:xm="http://schemas.microsoft.com/office/excel/2006/main">
          <x14:cfRule type="containsText" priority="262" operator="containsText" id="{0D65DCA1-4C74-4716-854D-D51F1C59C6D4}">
            <xm:f>NOT(ISERROR(SEARCH($AR$1,U33)))</xm:f>
            <xm:f>$AR$1</xm:f>
            <x14:dxf>
              <fill>
                <patternFill>
                  <bgColor rgb="FFFF0000"/>
                </patternFill>
              </fill>
            </x14:dxf>
          </x14:cfRule>
          <xm:sqref>U33:U81 U83:U130</xm:sqref>
        </x14:conditionalFormatting>
        <x14:conditionalFormatting xmlns:xm="http://schemas.microsoft.com/office/excel/2006/main">
          <x14:cfRule type="containsText" priority="267" operator="containsText" id="{0A32D549-359D-4EA3-BE8D-87D282162E78}">
            <xm:f>NOT(ISERROR(SEARCH($AR$1,U33)))</xm:f>
            <xm:f>$AR$1</xm:f>
            <x14:dxf>
              <fill>
                <patternFill>
                  <bgColor rgb="FFFF0000"/>
                </patternFill>
              </fill>
            </x14:dxf>
          </x14:cfRule>
          <xm:sqref>U33:U81</xm:sqref>
        </x14:conditionalFormatting>
        <x14:conditionalFormatting xmlns:xm="http://schemas.microsoft.com/office/excel/2006/main">
          <x14:cfRule type="containsText" priority="34" operator="containsText" id="{18A03AAF-5728-4897-9A74-909171A46B53}">
            <xm:f>NOT(ISERROR(SEARCH($AR$1,U82)))</xm:f>
            <xm:f>$AR$1</xm:f>
            <x14:dxf>
              <fill>
                <patternFill>
                  <bgColor rgb="FFFF0000"/>
                </patternFill>
              </fill>
            </x14:dxf>
          </x14:cfRule>
          <xm:sqref>U82</xm:sqref>
        </x14:conditionalFormatting>
        <x14:conditionalFormatting xmlns:xm="http://schemas.microsoft.com/office/excel/2006/main">
          <x14:cfRule type="containsText" priority="187" operator="containsText" id="{521A4BA8-B2FE-4091-A51C-9004227D0D7A}">
            <xm:f>NOT(ISERROR(SEARCH($AR$1,U32)))</xm:f>
            <xm:f>$AR$1</xm:f>
            <x14:dxf>
              <fill>
                <patternFill>
                  <bgColor rgb="FFFF0000"/>
                </patternFill>
              </fill>
            </x14:dxf>
          </x14:cfRule>
          <xm:sqref>U32:W32</xm:sqref>
        </x14:conditionalFormatting>
        <x14:conditionalFormatting xmlns:xm="http://schemas.microsoft.com/office/excel/2006/main">
          <x14:cfRule type="containsText" priority="107" operator="containsText" id="{577B2C3C-B001-4DC9-9483-049BDBDCC9AD}">
            <xm:f>NOT(ISERROR(SEARCH($AR$1,X31)))</xm:f>
            <xm:f>$AR$1</xm:f>
            <x14:dxf>
              <fill>
                <patternFill>
                  <bgColor rgb="FFFF0000"/>
                </patternFill>
              </fill>
            </x14:dxf>
          </x14:cfRule>
          <xm:sqref>X31:X130</xm:sqref>
        </x14:conditionalFormatting>
        <x14:conditionalFormatting xmlns:xm="http://schemas.microsoft.com/office/excel/2006/main">
          <x14:cfRule type="containsText" priority="97" operator="containsText" id="{F89241E7-F2A6-4B7B-A6DF-BA7770ED3C00}">
            <xm:f>NOT(ISERROR(SEARCH($AR$1,X32)))</xm:f>
            <xm:f>$AR$1</xm:f>
            <x14:dxf>
              <fill>
                <patternFill>
                  <bgColor rgb="FFFF0000"/>
                </patternFill>
              </fill>
            </x14:dxf>
          </x14:cfRule>
          <xm:sqref>X32:AA66</xm:sqref>
        </x14:conditionalFormatting>
        <x14:conditionalFormatting xmlns:xm="http://schemas.microsoft.com/office/excel/2006/main">
          <x14:cfRule type="containsText" priority="257" operator="containsText" id="{C459CDB0-4293-4BAF-8EC4-B3DFD8D5C5CC}">
            <xm:f>NOT(ISERROR(SEARCH($AR$1,Y31)))</xm:f>
            <xm:f>$AR$1</xm:f>
            <x14:dxf>
              <fill>
                <patternFill>
                  <bgColor rgb="FFFF0000"/>
                </patternFill>
              </fill>
            </x14:dxf>
          </x14:cfRule>
          <xm:sqref>Y31</xm:sqref>
        </x14:conditionalFormatting>
        <x14:conditionalFormatting xmlns:xm="http://schemas.microsoft.com/office/excel/2006/main">
          <x14:cfRule type="containsText" priority="92" operator="containsText" id="{D6AE0BA0-C5F0-46F9-AECE-6F29C662F6C3}">
            <xm:f>NOT(ISERROR(SEARCH($AR$1,Y32)))</xm:f>
            <xm:f>$AR$1</xm:f>
            <x14:dxf>
              <fill>
                <patternFill>
                  <bgColor rgb="FFFF0000"/>
                </patternFill>
              </fill>
            </x14:dxf>
          </x14:cfRule>
          <xm:sqref>Y32:Y66</xm:sqref>
        </x14:conditionalFormatting>
        <x14:conditionalFormatting xmlns:xm="http://schemas.microsoft.com/office/excel/2006/main">
          <x14:cfRule type="containsText" priority="13" operator="containsText" id="{0680D3F9-3799-4140-AA1D-3CA2990F0681}">
            <xm:f>NOT(ISERROR(SEARCH($AR$1,Z67)))</xm:f>
            <xm:f>$AR$1</xm:f>
            <x14:dxf>
              <fill>
                <patternFill>
                  <bgColor rgb="FFFF0000"/>
                </patternFill>
              </fill>
            </x14:dxf>
          </x14:cfRule>
          <xm:sqref>Z67:AA87</xm:sqref>
        </x14:conditionalFormatting>
        <x14:conditionalFormatting xmlns:xm="http://schemas.microsoft.com/office/excel/2006/main">
          <x14:cfRule type="containsText" priority="319" operator="containsText" id="{85988AF1-D291-48A1-95A1-9C562B5DA495}">
            <xm:f>NOT(ISERROR(SEARCH($AR$1,B31)))</xm:f>
            <xm:f>$AR$1</xm:f>
            <x14:dxf>
              <fill>
                <patternFill>
                  <bgColor rgb="FFFF0000"/>
                </patternFill>
              </fill>
            </x14:dxf>
          </x14:cfRule>
          <xm:sqref>Z31:AP31 B31:E130 Q31:Q130 AJ32:AP66 AB32:AC130 AD32:AE131 V33:W130 H34:N130 G48:L48 G49:N50 Z88:AA90 Z91 Z92:AA106 Z108:AA130 Z107 AF67:AP130</xm:sqref>
        </x14:conditionalFormatting>
        <x14:conditionalFormatting xmlns:xm="http://schemas.microsoft.com/office/excel/2006/main">
          <x14:cfRule type="containsText" priority="8" operator="containsText" id="{6A15D72C-5543-4E3A-B719-7AB8207E47FE}">
            <xm:f>NOT(ISERROR(SEARCH($AR$1,AA91)))</xm:f>
            <xm:f>$AR$1</xm:f>
            <x14:dxf>
              <fill>
                <patternFill>
                  <bgColor rgb="FFFF0000"/>
                </patternFill>
              </fill>
            </x14:dxf>
          </x14:cfRule>
          <x14:cfRule type="containsText" priority="28" operator="containsText" id="{91FD5086-3AB1-49C2-B944-3A200D9D57CF}">
            <xm:f>NOT(ISERROR(SEARCH($AB$1,AA91)))</xm:f>
            <xm:f>$AB$1</xm:f>
            <x14:dxf>
              <fill>
                <patternFill>
                  <bgColor rgb="FFFF0000"/>
                </patternFill>
              </fill>
            </x14:dxf>
          </x14:cfRule>
          <xm:sqref>AA91</xm:sqref>
        </x14:conditionalFormatting>
        <x14:conditionalFormatting xmlns:xm="http://schemas.microsoft.com/office/excel/2006/main">
          <x14:cfRule type="containsText" priority="87" operator="containsText" id="{F8D59916-465D-429F-937C-6D3D1E0E8366}">
            <xm:f>NOT(ISERROR(SEARCH($AR$1,AF32)))</xm:f>
            <xm:f>$AR$1</xm:f>
            <x14:dxf>
              <fill>
                <patternFill>
                  <bgColor rgb="FFFF0000"/>
                </patternFill>
              </fill>
            </x14:dxf>
          </x14:cfRule>
          <xm:sqref>AF32:AI66</xm:sqref>
        </x14:conditionalFormatting>
        <x14:conditionalFormatting xmlns:xm="http://schemas.microsoft.com/office/excel/2006/main">
          <x14:cfRule type="containsText" priority="4" operator="containsText" id="{B8BC18B7-2F47-401E-A268-C02744E179F4}">
            <xm:f>NOT(ISERROR(SEARCH($AR$1,AA107)))</xm:f>
            <xm:f>$AR$1</xm:f>
            <x14:dxf>
              <fill>
                <patternFill>
                  <bgColor rgb="FFFF0000"/>
                </patternFill>
              </fill>
            </x14:dxf>
          </x14:cfRule>
          <xm:sqref>AA107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7">
    <tabColor theme="4" tint="-0.249977111117893"/>
  </sheetPr>
  <dimension ref="A1:GP131"/>
  <sheetViews>
    <sheetView rightToLeft="1" view="pageBreakPreview" topLeftCell="B1" zoomScale="85" zoomScaleNormal="80" zoomScaleSheetLayoutView="85"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1.5703125" style="193" customWidth="1"/>
    <col min="7" max="7" width="21.140625" style="193" customWidth="1"/>
    <col min="8" max="8" width="26" style="193" customWidth="1"/>
    <col min="9" max="11" width="21.42578125" style="193" hidden="1" customWidth="1"/>
    <col min="12" max="12" width="22.140625" style="193" hidden="1" customWidth="1"/>
    <col min="13" max="15" width="21.42578125" style="193" hidden="1" customWidth="1"/>
    <col min="16" max="16" width="14.5703125" style="193" hidden="1" customWidth="1"/>
    <col min="17" max="20" width="21.42578125" style="193" hidden="1" customWidth="1"/>
    <col min="21" max="21" width="39" style="193" customWidth="1"/>
    <col min="22" max="22" width="14.42578125" style="193" hidden="1" customWidth="1"/>
    <col min="23" max="25" width="21.42578125" style="193" hidden="1" customWidth="1"/>
    <col min="26" max="26" width="17.42578125" style="193" customWidth="1"/>
    <col min="27" max="29" width="9.140625" style="193" hidden="1" customWidth="1"/>
    <col min="30" max="30" width="11.85546875" style="193" hidden="1" customWidth="1"/>
    <col min="31" max="32" width="9.140625" style="193" hidden="1" customWidth="1"/>
    <col min="33" max="33" width="10.140625" style="193" hidden="1" customWidth="1"/>
    <col min="34" max="34" width="16.7109375" style="193" hidden="1" customWidth="1"/>
    <col min="35" max="35" width="8.85546875" style="193" hidden="1" customWidth="1"/>
    <col min="36" max="36" width="11.85546875" style="193" hidden="1" customWidth="1"/>
    <col min="37" max="37" width="17.7109375" style="193" hidden="1" customWidth="1"/>
    <col min="38" max="48" width="9.140625" style="193" hidden="1" customWidth="1"/>
    <col min="49" max="49" width="10.7109375" style="193" hidden="1" customWidth="1"/>
    <col min="50" max="197" width="9.140625" style="193" hidden="1" customWidth="1"/>
    <col min="198" max="198" width="3.42578125" style="193" hidden="1" customWidth="1"/>
    <col min="199" max="199" width="2.5703125" style="193" customWidth="1"/>
    <col min="200" max="200" width="6.42578125" style="193" customWidth="1"/>
    <col min="201" max="16384" width="9.140625" style="193"/>
  </cols>
  <sheetData>
    <row r="1" spans="2:52" ht="21" customHeight="1" thickBot="1" x14ac:dyDescent="0.3">
      <c r="B1" s="534" t="str">
        <f ca="1">MID(CELL("filename",AC2),FIND("]",CELL("filename",AC2),1)+1,99)</f>
        <v>סיווג</v>
      </c>
      <c r="C1" s="536"/>
      <c r="D1" s="536"/>
      <c r="E1" s="536"/>
      <c r="F1" s="536"/>
      <c r="G1" s="536"/>
      <c r="H1" s="536"/>
      <c r="I1" s="536"/>
      <c r="J1" s="536"/>
      <c r="K1" s="536"/>
      <c r="L1" s="536"/>
      <c r="M1" s="536"/>
      <c r="N1" s="536"/>
      <c r="O1" s="536"/>
      <c r="P1" s="536"/>
      <c r="Q1" s="536"/>
      <c r="R1" s="536"/>
      <c r="S1" s="536"/>
      <c r="T1" s="536"/>
      <c r="U1" s="536"/>
      <c r="V1" s="536"/>
      <c r="W1" s="536"/>
      <c r="X1" s="536"/>
      <c r="Y1" s="536"/>
      <c r="Z1" s="536"/>
      <c r="AB1" s="193" t="s">
        <v>115</v>
      </c>
      <c r="AD1" s="210" t="s">
        <v>116</v>
      </c>
      <c r="AE1" s="211" t="s">
        <v>117</v>
      </c>
      <c r="AF1" s="211" t="s">
        <v>118</v>
      </c>
      <c r="AG1" s="211" t="s">
        <v>119</v>
      </c>
      <c r="AH1" s="211" t="s">
        <v>120</v>
      </c>
      <c r="AI1" s="211" t="s">
        <v>121</v>
      </c>
      <c r="AJ1" s="211" t="s">
        <v>122</v>
      </c>
      <c r="AK1" s="212" t="s">
        <v>123</v>
      </c>
      <c r="AL1" s="211" t="s">
        <v>124</v>
      </c>
      <c r="AM1" s="212" t="s">
        <v>125</v>
      </c>
      <c r="AN1" s="211" t="s">
        <v>187</v>
      </c>
      <c r="AO1" s="211"/>
      <c r="AP1" s="211"/>
      <c r="AQ1" s="211"/>
      <c r="AR1" s="211"/>
      <c r="AS1" s="211"/>
      <c r="AT1" s="211"/>
      <c r="AU1" s="211"/>
      <c r="AV1" s="211"/>
      <c r="AW1" s="211"/>
      <c r="AX1" s="211"/>
      <c r="AY1" s="211"/>
      <c r="AZ1" s="212"/>
    </row>
    <row r="2" spans="2:52" ht="20.25" customHeight="1" x14ac:dyDescent="0.25">
      <c r="U2" s="198" t="str">
        <f>'פרמטרים לקריטריונים'!$B$4</f>
        <v>שנת תקציב</v>
      </c>
      <c r="Y2" s="198" t="str">
        <f>'פרמטרים לקריטריונים'!$B$4</f>
        <v>שנת תקציב</v>
      </c>
      <c r="Z2" s="1">
        <f>'פרמטרים לקריטריונים'!$C$4</f>
        <v>2025</v>
      </c>
      <c r="AE2" s="193">
        <f>IF(ISNA(MATCH(G31,$AB$30:$AC$30,0)),0,1)</f>
        <v>0</v>
      </c>
      <c r="AF2" s="193">
        <f>IF(IFERROR(G31*1,"bad")="bad",0,1)</f>
        <v>1</v>
      </c>
      <c r="AG2" s="193">
        <f>IF(IFERROR(IF(G31=TRUNC(G31),1,"bad"),"bad")="bad",0,1)</f>
        <v>1</v>
      </c>
      <c r="AH2" s="193">
        <f>IF(AND(IF(IFERROR(G31*1,"bad")="bad",0,1)=1,G31&gt;=0),1,0)</f>
        <v>1</v>
      </c>
      <c r="AI2" s="193">
        <f>IF(AND(IF(IFERROR(IF(G31=TRUNC(G31),1,"bad"),"bad")="bad",0,1)=1,G31&gt;=0),1,0)</f>
        <v>1</v>
      </c>
      <c r="AJ2" s="193">
        <f>IF(AND(IF(IFERROR(G31*1,"bad")="bad",0,1)=1,G31&gt;0),1,0)</f>
        <v>1</v>
      </c>
      <c r="AK2" s="193">
        <f>IF(AND(IF(IFERROR(IF(G31=TRUNC(G31),1,"bad"),"bad")="bad",0,1)=1,G31&gt;0),1,0)</f>
        <v>1</v>
      </c>
      <c r="AL2" s="193">
        <v>1</v>
      </c>
      <c r="AM2" s="193">
        <f>IF(IFERROR(HLOOKUP(G31,$BA$30:$BK$30,1,0),"bad")="bad",0,1)</f>
        <v>0</v>
      </c>
      <c r="AN2" s="193">
        <f>IF(AND(IF(IFERROR(G31*1,"bad")="bad",0,1)=1,G31&gt;=0,G31&lt;=0),1,0)</f>
        <v>0</v>
      </c>
    </row>
    <row r="3" spans="2:52" ht="19.5" thickBot="1" x14ac:dyDescent="0.3">
      <c r="U3" s="199" t="str">
        <f>'פרמטרים לקריטריונים'!$B$5</f>
        <v>תקציב התמיכה</v>
      </c>
      <c r="Y3" s="199" t="str">
        <f>'פרמטרים לקריטריונים'!$B$5</f>
        <v>תקציב התמיכה</v>
      </c>
      <c r="Z3" s="2">
        <f>'פרמטרים לקריטריונים'!$C$5</f>
        <v>3076367</v>
      </c>
      <c r="AD3" s="193" t="s">
        <v>126</v>
      </c>
      <c r="AE3" s="193">
        <v>1</v>
      </c>
      <c r="AF3" s="193">
        <v>2</v>
      </c>
      <c r="AG3" s="193">
        <v>3</v>
      </c>
      <c r="AH3" s="193">
        <v>4</v>
      </c>
      <c r="AI3" s="193">
        <v>5</v>
      </c>
      <c r="AJ3" s="193">
        <v>6</v>
      </c>
      <c r="AK3" s="193">
        <v>7</v>
      </c>
      <c r="AL3" s="193">
        <v>8</v>
      </c>
      <c r="AM3" s="193">
        <v>9</v>
      </c>
      <c r="AN3" s="193">
        <v>10</v>
      </c>
    </row>
    <row r="4" spans="2:52" ht="16.5" customHeight="1" thickBot="1" x14ac:dyDescent="0.3">
      <c r="AD4" s="193" t="s">
        <v>128</v>
      </c>
      <c r="AE4" s="210">
        <v>1</v>
      </c>
      <c r="AF4" s="211">
        <v>2</v>
      </c>
      <c r="AG4" s="211">
        <v>3</v>
      </c>
      <c r="AH4" s="211">
        <v>4</v>
      </c>
      <c r="AI4" s="211">
        <v>5</v>
      </c>
      <c r="AJ4" s="211">
        <v>6</v>
      </c>
      <c r="AK4" s="211">
        <v>7</v>
      </c>
      <c r="AL4" s="211">
        <v>8</v>
      </c>
      <c r="AM4" s="211">
        <v>9</v>
      </c>
      <c r="AN4" s="212">
        <v>10</v>
      </c>
    </row>
    <row r="5" spans="2:52" ht="19.5" thickBot="1" x14ac:dyDescent="0.3">
      <c r="F5" s="534" t="str">
        <f>'פרמטרים לקריטריונים'!B24</f>
        <v>סיווג</v>
      </c>
      <c r="G5" s="536"/>
      <c r="H5" s="536"/>
      <c r="I5" s="536"/>
      <c r="J5" s="536"/>
      <c r="K5" s="536"/>
      <c r="L5" s="535"/>
      <c r="U5" s="537" t="str">
        <f>'פרמטרים לקריטריונים'!I24</f>
        <v>מקדם</v>
      </c>
    </row>
    <row r="6" spans="2:52" ht="16.5" thickBot="1" x14ac:dyDescent="0.3">
      <c r="F6" s="126" t="str">
        <f>'פרמטרים לקריטריונים'!B25</f>
        <v>סיווג</v>
      </c>
      <c r="G6" s="127" t="str">
        <f>'פרמטרים לקריטריונים'!C25</f>
        <v>תקציב גבוהה מ:</v>
      </c>
      <c r="H6" s="127" t="str">
        <f>'פרמטרים לקריטריונים'!D25</f>
        <v>מבצעים</v>
      </c>
      <c r="U6" s="538"/>
      <c r="AB6" s="193" t="s">
        <v>188</v>
      </c>
    </row>
    <row r="7" spans="2:52" x14ac:dyDescent="0.25">
      <c r="F7" s="128" t="str">
        <f>'פרמטרים לקריטריונים'!B26</f>
        <v>קטנה</v>
      </c>
      <c r="G7" s="129">
        <f>'פרמטרים לקריטריונים'!C26</f>
        <v>0</v>
      </c>
      <c r="H7" s="129">
        <f>'פרמטרים לקריטריונים'!D26</f>
        <v>0</v>
      </c>
      <c r="U7" s="132">
        <f>'פרמטרים לקריטריונים'!I26</f>
        <v>0.5</v>
      </c>
    </row>
    <row r="8" spans="2:52" x14ac:dyDescent="0.25">
      <c r="F8" s="133" t="str">
        <f>'פרמטרים לקריטריונים'!B27</f>
        <v>בינונית</v>
      </c>
      <c r="G8" s="398">
        <f>'פרמטרים לקריטריונים'!C27</f>
        <v>87021.600000023827</v>
      </c>
      <c r="H8" s="398">
        <f>'פרמטרים לקריטריונים'!D27</f>
        <v>6</v>
      </c>
      <c r="U8" s="134">
        <f>'פרמטרים לקריטריונים'!I27</f>
        <v>0.8</v>
      </c>
    </row>
    <row r="9" spans="2:52" ht="16.5" thickBot="1" x14ac:dyDescent="0.3">
      <c r="F9" s="135" t="str">
        <f>'פרמטרים לקריטריונים'!B28</f>
        <v>גדולה</v>
      </c>
      <c r="G9" s="136">
        <f>'פרמטרים לקריטריונים'!C28</f>
        <v>130532.40000003573</v>
      </c>
      <c r="H9" s="136">
        <f>'פרמטרים לקריטריונים'!D28</f>
        <v>8</v>
      </c>
      <c r="U9" s="139">
        <f>'פרמטרים לקריטריונים'!I28</f>
        <v>1</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9.75" hidden="1" customHeight="1" x14ac:dyDescent="0.25"/>
    <row r="22" spans="1:62" hidden="1" x14ac:dyDescent="0.25"/>
    <row r="23" spans="1:62" hidden="1" x14ac:dyDescent="0.25"/>
    <row r="24" spans="1:62" hidden="1" x14ac:dyDescent="0.25"/>
    <row r="25" spans="1:62" hidden="1" x14ac:dyDescent="0.25"/>
    <row r="26" spans="1:62" hidden="1" x14ac:dyDescent="0.25">
      <c r="F26" s="3"/>
      <c r="G26" s="3"/>
      <c r="H26" s="3"/>
      <c r="I26" s="3"/>
      <c r="J26" s="3"/>
      <c r="K26" s="3"/>
      <c r="L26" s="3"/>
      <c r="M26" s="3"/>
      <c r="N26" s="3"/>
      <c r="O26" s="3"/>
      <c r="P26" s="3"/>
      <c r="Q26" s="3"/>
      <c r="R26" s="3"/>
      <c r="S26" s="3"/>
      <c r="T26" s="3"/>
      <c r="U26" s="3"/>
      <c r="V26" s="3"/>
      <c r="W26" s="3"/>
      <c r="X26" s="3"/>
      <c r="Y26" s="3"/>
    </row>
    <row r="27" spans="1:62" hidden="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62" ht="16.5"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3">
        <f>IF(SUM(AA31:AA130)=COUNT(AA31:AA130),1,0)</f>
        <v>1</v>
      </c>
      <c r="AD28" s="192"/>
      <c r="AE28" s="192" t="e">
        <f>MATCH(H$30,$AE$1:$AM$1,0)</f>
        <v>#N/A</v>
      </c>
      <c r="AF28" s="192" t="e">
        <f t="shared" ref="AF28:AU28" si="0">MATCH(I$30,$AE$1:$AM$1,0)</f>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c r="AW28" s="192"/>
      <c r="AX28" s="192"/>
    </row>
    <row r="29" spans="1:62" ht="48" thickBot="1" x14ac:dyDescent="0.3">
      <c r="A29" s="221">
        <v>100</v>
      </c>
      <c r="B29" s="544" t="s">
        <v>132</v>
      </c>
      <c r="C29" s="546">
        <f>COLUMN()</f>
        <v>3</v>
      </c>
      <c r="D29" s="546">
        <f>COLUMN()</f>
        <v>4</v>
      </c>
      <c r="E29" s="546">
        <f>COLUMN()</f>
        <v>5</v>
      </c>
      <c r="F29" s="542" t="s">
        <v>133</v>
      </c>
      <c r="G29" s="448" t="s">
        <v>1096</v>
      </c>
      <c r="H29" s="551" t="s">
        <v>189</v>
      </c>
      <c r="I29" s="551">
        <f>I6</f>
        <v>0</v>
      </c>
      <c r="J29" s="551">
        <f>J6</f>
        <v>0</v>
      </c>
      <c r="K29" s="551">
        <f>K6</f>
        <v>0</v>
      </c>
      <c r="L29" s="551">
        <f>L6</f>
        <v>0</v>
      </c>
      <c r="M29" s="551">
        <f>U6</f>
        <v>0</v>
      </c>
      <c r="N29" s="551">
        <f>N6</f>
        <v>0</v>
      </c>
      <c r="O29" s="551"/>
      <c r="P29" s="232">
        <f>COLUMN()</f>
        <v>16</v>
      </c>
      <c r="Q29" s="232">
        <f>COLUMN()</f>
        <v>17</v>
      </c>
      <c r="R29" s="232">
        <f>COLUMN()</f>
        <v>18</v>
      </c>
      <c r="S29" s="232">
        <f>COLUMN()</f>
        <v>19</v>
      </c>
      <c r="T29" s="232">
        <f>COLUMN()</f>
        <v>20</v>
      </c>
      <c r="U29" s="542" t="s">
        <v>9</v>
      </c>
      <c r="V29" s="546" t="s">
        <v>190</v>
      </c>
      <c r="W29" s="546" t="s">
        <v>191</v>
      </c>
      <c r="X29" s="546" t="s">
        <v>190</v>
      </c>
      <c r="Y29" s="546" t="s">
        <v>192</v>
      </c>
      <c r="Z29" s="553" t="s">
        <v>193</v>
      </c>
      <c r="AA29" s="224" t="s">
        <v>159</v>
      </c>
      <c r="AD29" s="192" t="str">
        <f>"בקרת "&amp;G29</f>
        <v>בקרת התקציב השנתי של הקבוצה בשנת תקציב מבוקר</v>
      </c>
      <c r="AE29" s="192" t="str">
        <f>"בקרת "&amp;H29</f>
        <v>בקרת מספר מבצעים בשנת ההערכה</v>
      </c>
      <c r="AF29" s="192" t="str">
        <f t="shared" ref="AF29:AV29" si="1">"בקרת "&amp;I29</f>
        <v>בקרת 0</v>
      </c>
      <c r="AG29" s="192" t="str">
        <f t="shared" si="1"/>
        <v>בקרת 0</v>
      </c>
      <c r="AH29" s="192" t="str">
        <f t="shared" si="1"/>
        <v>בקרת 0</v>
      </c>
      <c r="AI29" s="192" t="str">
        <f>"בקרת "&amp;L29</f>
        <v>בקרת 0</v>
      </c>
      <c r="AJ29" s="192" t="str">
        <f>"בקרת "&amp;M29</f>
        <v>בקרת 0</v>
      </c>
      <c r="AK29" s="192" t="str">
        <f>"בקרת "&amp;N29</f>
        <v>בקרת 0</v>
      </c>
      <c r="AL29" s="192" t="str">
        <f t="shared" si="1"/>
        <v xml:space="preserve">בקרת </v>
      </c>
      <c r="AM29" s="192" t="str">
        <f t="shared" si="1"/>
        <v>בקרת 16</v>
      </c>
      <c r="AN29" s="192" t="str">
        <f t="shared" si="1"/>
        <v>בקרת 17</v>
      </c>
      <c r="AO29" s="192" t="str">
        <f t="shared" si="1"/>
        <v>בקרת 18</v>
      </c>
      <c r="AP29" s="192" t="str">
        <f t="shared" si="1"/>
        <v>בקרת 19</v>
      </c>
      <c r="AQ29" s="192" t="str">
        <f t="shared" si="1"/>
        <v>בקרת 20</v>
      </c>
      <c r="AR29" s="192" t="str">
        <f t="shared" si="1"/>
        <v>בקרת סיווג</v>
      </c>
      <c r="AS29" s="192" t="str">
        <f t="shared" si="1"/>
        <v>בקרת נתון למכפיל1</v>
      </c>
      <c r="AT29" s="192" t="str">
        <f t="shared" si="1"/>
        <v>בקרת ניקוד לאחר מכפיל1</v>
      </c>
      <c r="AU29" s="192" t="str">
        <f t="shared" si="1"/>
        <v>בקרת נתון למכפיל1</v>
      </c>
      <c r="AV29" s="192" t="str">
        <f t="shared" si="1"/>
        <v>בקרת ניקוד לאחר מכפיל2</v>
      </c>
      <c r="AW29" s="192"/>
      <c r="AX29" s="192"/>
      <c r="BA29" s="193" t="s">
        <v>128</v>
      </c>
    </row>
    <row r="30" spans="1:62" ht="23.25" customHeight="1" thickBot="1" x14ac:dyDescent="0.3">
      <c r="A30" s="225"/>
      <c r="B30" s="545"/>
      <c r="C30" s="547"/>
      <c r="D30" s="547"/>
      <c r="E30" s="547"/>
      <c r="F30" s="543"/>
      <c r="G30" s="447" t="s">
        <v>120</v>
      </c>
      <c r="H30" s="552"/>
      <c r="I30" s="552"/>
      <c r="J30" s="552"/>
      <c r="K30" s="552"/>
      <c r="L30" s="552"/>
      <c r="M30" s="552"/>
      <c r="N30" s="552"/>
      <c r="O30" s="552"/>
      <c r="P30" s="233"/>
      <c r="Q30" s="233"/>
      <c r="R30" s="233"/>
      <c r="S30" s="233"/>
      <c r="T30" s="233"/>
      <c r="U30" s="543"/>
      <c r="V30" s="547"/>
      <c r="W30" s="547"/>
      <c r="X30" s="547"/>
      <c r="Y30" s="547"/>
      <c r="Z30" s="554"/>
      <c r="AB30" s="193">
        <v>0</v>
      </c>
      <c r="AC30" s="193">
        <v>1</v>
      </c>
      <c r="AD30" s="192" t="str">
        <f>G30</f>
        <v>מספר שאינו שלילי</v>
      </c>
      <c r="AE30" s="192">
        <f>H30</f>
        <v>0</v>
      </c>
      <c r="AF30" s="192">
        <f t="shared" ref="AF30:AV30" si="2">I30</f>
        <v>0</v>
      </c>
      <c r="AG30" s="192">
        <f t="shared" si="2"/>
        <v>0</v>
      </c>
      <c r="AH30" s="192">
        <f t="shared" si="2"/>
        <v>0</v>
      </c>
      <c r="AI30" s="192">
        <f>L30</f>
        <v>0</v>
      </c>
      <c r="AJ30" s="192">
        <f>M30</f>
        <v>0</v>
      </c>
      <c r="AK30" s="192">
        <f>N30</f>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AW30" s="192"/>
      <c r="AX30" s="192"/>
      <c r="BA30" s="193">
        <f t="shared" ref="BA30:BJ30" si="3">AE4</f>
        <v>1</v>
      </c>
      <c r="BB30" s="193">
        <f t="shared" si="3"/>
        <v>2</v>
      </c>
      <c r="BC30" s="193">
        <f t="shared" si="3"/>
        <v>3</v>
      </c>
      <c r="BD30" s="193">
        <f t="shared" si="3"/>
        <v>4</v>
      </c>
      <c r="BE30" s="193">
        <f t="shared" si="3"/>
        <v>5</v>
      </c>
      <c r="BF30" s="193">
        <f t="shared" si="3"/>
        <v>6</v>
      </c>
      <c r="BG30" s="193">
        <f t="shared" si="3"/>
        <v>7</v>
      </c>
      <c r="BH30" s="193">
        <f t="shared" si="3"/>
        <v>8</v>
      </c>
      <c r="BI30" s="193">
        <f t="shared" si="3"/>
        <v>9</v>
      </c>
      <c r="BJ30" s="193">
        <f t="shared" si="3"/>
        <v>10</v>
      </c>
    </row>
    <row r="31" spans="1:62" ht="28.5" customHeight="1" x14ac:dyDescent="0.25">
      <c r="B31" s="7">
        <f>IF(F31="","",ROW()-30)</f>
        <v>1</v>
      </c>
      <c r="C31" s="4"/>
      <c r="D31" s="4"/>
      <c r="E31" s="4"/>
      <c r="F31" s="350" t="str">
        <f>IF('תנאי סף'!AO31&lt;&gt;1,"",'תנאי סף'!F31)</f>
        <v>אנסמבל פרץ אליהו</v>
      </c>
      <c r="G31" s="7">
        <f>IF($F31="","",'תנאי סף'!AA31)</f>
        <v>159879</v>
      </c>
      <c r="H31" s="7">
        <f>IF($F31="","",IFERROR('תנאי סף'!O31,$AB$1))</f>
        <v>13</v>
      </c>
      <c r="I31" s="7"/>
      <c r="J31" s="7"/>
      <c r="K31" s="7"/>
      <c r="L31" s="7"/>
      <c r="M31" s="7"/>
      <c r="N31" s="7"/>
      <c r="O31" s="7"/>
      <c r="P31" s="8"/>
      <c r="Q31" s="8"/>
      <c r="R31" s="8"/>
      <c r="S31" s="8"/>
      <c r="T31" s="8"/>
      <c r="U31" s="8" t="str">
        <f>IF(F31="","",IF(AA31&lt;&gt;1,$AB$1,
IF(AND(G31&gt;$G$9,H31&gt;=$H$9),$F$9,
IF(AND(G31&gt;$G$8,H31&gt;=$H$8),$F$8,
$F$7))))</f>
        <v>גדולה</v>
      </c>
      <c r="V31" s="8">
        <v>1</v>
      </c>
      <c r="W31" s="8" t="str">
        <f>IF($F31="","",IF($AA31&lt;&gt;1,$AB$1,IFERROR(U31*V31,$AB$1)))</f>
        <v>בדוק נתוני הזנה</v>
      </c>
      <c r="X31" s="8">
        <v>1</v>
      </c>
      <c r="Y31" s="8" t="str">
        <f>IF($F31="","",IF($A31&lt;&gt;1,$AB$1,IFERROR(W31*X31,$AB$1)))</f>
        <v>בדוק נתוני הזנה</v>
      </c>
      <c r="Z31" s="140">
        <f>IF($F31="","",IFERROR(INDEX($U$7:$U$9,MATCH(U31,$F$7:$F$9,0)),$AB$1))</f>
        <v>1</v>
      </c>
      <c r="AA31" s="193">
        <f>IF(SUM(AD31:AV31)=COUNT(AD31:AV31),1,0)</f>
        <v>1</v>
      </c>
      <c r="AB31" s="193">
        <f>IF($F31="","",AB$30)</f>
        <v>0</v>
      </c>
      <c r="AC31" s="193">
        <f>IF($F31="","",AC$30)</f>
        <v>1</v>
      </c>
      <c r="AD31" s="192"/>
      <c r="AE31" s="192"/>
      <c r="AF31" s="192"/>
      <c r="AG31" s="192"/>
      <c r="AH31" s="192"/>
      <c r="AI31" s="192"/>
      <c r="AJ31" s="192"/>
      <c r="AK31" s="192"/>
      <c r="AL31" s="192"/>
      <c r="AM31" s="192"/>
      <c r="AN31" s="192"/>
      <c r="AO31" s="192"/>
      <c r="AP31" s="192"/>
      <c r="AQ31" s="192"/>
      <c r="AR31" s="192"/>
      <c r="AS31" s="192"/>
      <c r="AT31" s="192"/>
      <c r="AU31" s="192"/>
      <c r="AV31" s="192"/>
      <c r="AW31" s="192"/>
      <c r="AX31" s="192"/>
      <c r="BA31" s="193">
        <f>IF($F31="","",BA$30)</f>
        <v>1</v>
      </c>
      <c r="BB31" s="193">
        <f t="shared" ref="BB31:BB46" si="4">IF($F31="","",BB$30)</f>
        <v>2</v>
      </c>
    </row>
    <row r="32" spans="1:62" ht="12.75" customHeight="1" x14ac:dyDescent="0.25">
      <c r="B32" s="7" t="str">
        <f t="shared" ref="B32:B95" si="5">IF(F32="","",ROW()-30)</f>
        <v/>
      </c>
      <c r="C32" s="4"/>
      <c r="D32" s="4"/>
      <c r="E32" s="4"/>
      <c r="F32" s="350" t="str">
        <f>IF('תנאי סף'!AO32&lt;&gt;1,"",'תנאי סף'!F32)</f>
        <v/>
      </c>
      <c r="G32" s="7" t="str">
        <f>IF($F32="","",'תנאי סף'!AA32)</f>
        <v/>
      </c>
      <c r="H32" s="7" t="str">
        <f>IF($F32="","",IFERROR('תנאי סף'!O32,$AB$1))</f>
        <v/>
      </c>
      <c r="I32" s="7"/>
      <c r="J32" s="7"/>
      <c r="K32" s="7"/>
      <c r="L32" s="7"/>
      <c r="M32" s="7"/>
      <c r="N32" s="7"/>
      <c r="O32" s="7"/>
      <c r="P32" s="8"/>
      <c r="Q32" s="8"/>
      <c r="R32" s="8"/>
      <c r="S32" s="8"/>
      <c r="T32" s="8"/>
      <c r="U32" s="8" t="str">
        <f t="shared" ref="U32:U95" si="6">IF(F32="","",IF(AA32&lt;&gt;1,$AB$1,
IF(AND(G32&gt;$G$9,H32&gt;=$H$9),$F$9,
IF(AND(G32&gt;$G$8,H32&gt;=$H$8),$F$8,
$F$7))))</f>
        <v/>
      </c>
      <c r="V32" s="8">
        <v>1</v>
      </c>
      <c r="W32" s="8" t="str">
        <f t="shared" ref="W32:W95" si="7">IF($F32="","",IF($AA32&lt;&gt;1,$AB$1,IFERROR(U32*V32,$AB$1)))</f>
        <v/>
      </c>
      <c r="X32" s="8">
        <v>1</v>
      </c>
      <c r="Y32" s="8" t="str">
        <f t="shared" ref="Y32:Y95" si="8">IF($F32="","",IF($A32&lt;&gt;1,$AB$1,IFERROR(W32*X32,$AB$1)))</f>
        <v/>
      </c>
      <c r="Z32" s="140" t="str">
        <f t="shared" ref="Z32:Z95" si="9">IF($F32="","",IFERROR(INDEX($U$7:$U$9,MATCH(U32,$F$7:$F$9,0)),$AB$1))</f>
        <v/>
      </c>
      <c r="AA32" s="193">
        <f t="shared" ref="AA32:AA95" si="10">IF(SUM(AD32:AV32)=COUNT(AD32:AV32),1,0)</f>
        <v>1</v>
      </c>
      <c r="AB32" s="193" t="str">
        <f t="shared" ref="AB32:AC63" si="11">IF($F32="","",AB$30)</f>
        <v/>
      </c>
      <c r="AC32" s="193" t="str">
        <f t="shared" si="11"/>
        <v/>
      </c>
      <c r="AD32" s="192"/>
      <c r="AE32" s="192"/>
      <c r="AF32" s="192"/>
      <c r="AG32" s="192"/>
      <c r="AH32" s="192"/>
      <c r="AI32" s="192"/>
      <c r="AJ32" s="192"/>
      <c r="AK32" s="192"/>
      <c r="AL32" s="192"/>
      <c r="AM32" s="192"/>
      <c r="AN32" s="192"/>
      <c r="AO32" s="192"/>
      <c r="AP32" s="192"/>
      <c r="AQ32" s="192"/>
      <c r="AR32" s="192"/>
      <c r="AS32" s="192"/>
      <c r="AT32" s="192"/>
      <c r="AU32" s="192"/>
      <c r="AV32" s="192"/>
      <c r="AW32" s="192"/>
      <c r="AX32" s="192"/>
      <c r="BA32" s="193" t="str">
        <f t="shared" ref="BA32:BB63" si="12">IF($F32="","",BA$30)</f>
        <v/>
      </c>
      <c r="BB32" s="193" t="str">
        <f t="shared" si="4"/>
        <v/>
      </c>
    </row>
    <row r="33" spans="2:54" ht="12" customHeight="1" x14ac:dyDescent="0.25">
      <c r="B33" s="7" t="str">
        <f t="shared" si="5"/>
        <v/>
      </c>
      <c r="C33" s="4"/>
      <c r="D33" s="4"/>
      <c r="E33" s="4"/>
      <c r="F33" s="350" t="str">
        <f>IF('תנאי סף'!AO33&lt;&gt;1,"",'תנאי סף'!F33)</f>
        <v/>
      </c>
      <c r="G33" s="7" t="str">
        <f>IF($F33="","",'תנאי סף'!AA33)</f>
        <v/>
      </c>
      <c r="H33" s="7" t="str">
        <f>IF($F33="","",IFERROR('תנאי סף'!O33,$AB$1))</f>
        <v/>
      </c>
      <c r="I33" s="7"/>
      <c r="J33" s="7"/>
      <c r="K33" s="7"/>
      <c r="L33" s="7"/>
      <c r="M33" s="7"/>
      <c r="N33" s="7"/>
      <c r="O33" s="7"/>
      <c r="P33" s="8"/>
      <c r="Q33" s="8"/>
      <c r="R33" s="8"/>
      <c r="S33" s="8"/>
      <c r="T33" s="8"/>
      <c r="U33" s="8" t="str">
        <f t="shared" si="6"/>
        <v/>
      </c>
      <c r="V33" s="8">
        <v>1</v>
      </c>
      <c r="W33" s="8" t="str">
        <f t="shared" si="7"/>
        <v/>
      </c>
      <c r="X33" s="8">
        <v>1</v>
      </c>
      <c r="Y33" s="8" t="str">
        <f t="shared" si="8"/>
        <v/>
      </c>
      <c r="Z33" s="140" t="str">
        <f t="shared" si="9"/>
        <v/>
      </c>
      <c r="AA33" s="193">
        <f t="shared" si="10"/>
        <v>1</v>
      </c>
      <c r="AB33" s="193" t="str">
        <f t="shared" si="11"/>
        <v/>
      </c>
      <c r="AC33" s="193" t="str">
        <f t="shared" si="11"/>
        <v/>
      </c>
      <c r="AD33" s="192"/>
      <c r="AE33" s="192"/>
      <c r="AF33" s="192"/>
      <c r="AG33" s="192"/>
      <c r="AH33" s="192"/>
      <c r="AI33" s="192"/>
      <c r="AJ33" s="192"/>
      <c r="AK33" s="192"/>
      <c r="AL33" s="192"/>
      <c r="AM33" s="192"/>
      <c r="AN33" s="192"/>
      <c r="AO33" s="192"/>
      <c r="AP33" s="192"/>
      <c r="AQ33" s="192"/>
      <c r="AR33" s="192"/>
      <c r="AS33" s="192"/>
      <c r="AT33" s="192"/>
      <c r="AU33" s="192"/>
      <c r="AV33" s="192"/>
      <c r="AW33" s="192"/>
      <c r="AX33" s="192"/>
      <c r="BA33" s="193" t="str">
        <f t="shared" si="12"/>
        <v/>
      </c>
      <c r="BB33" s="193" t="str">
        <f t="shared" si="4"/>
        <v/>
      </c>
    </row>
    <row r="34" spans="2:54" ht="28.5" customHeight="1" x14ac:dyDescent="0.25">
      <c r="B34" s="7">
        <f t="shared" si="5"/>
        <v>4</v>
      </c>
      <c r="C34" s="4"/>
      <c r="D34" s="4"/>
      <c r="E34" s="4"/>
      <c r="F34" s="350" t="str">
        <f>IF('תנאי סף'!AO34&lt;&gt;1,"",'תנאי סף'!F34)</f>
        <v>יניב ד'אור - אנסמבל נאיה</v>
      </c>
      <c r="G34" s="7">
        <f>IF($F34="","",'תנאי סף'!AA34)</f>
        <v>124104</v>
      </c>
      <c r="H34" s="7">
        <f>IF($F34="","",IFERROR('תנאי סף'!O34,$AB$1))</f>
        <v>7</v>
      </c>
      <c r="I34" s="7"/>
      <c r="J34" s="7"/>
      <c r="K34" s="7"/>
      <c r="L34" s="7"/>
      <c r="M34" s="7"/>
      <c r="N34" s="7"/>
      <c r="O34" s="7"/>
      <c r="P34" s="8"/>
      <c r="Q34" s="8"/>
      <c r="R34" s="8"/>
      <c r="S34" s="8"/>
      <c r="T34" s="8"/>
      <c r="U34" s="8" t="str">
        <f t="shared" si="6"/>
        <v>בינונית</v>
      </c>
      <c r="V34" s="8">
        <v>1</v>
      </c>
      <c r="W34" s="8" t="str">
        <f t="shared" si="7"/>
        <v>בדוק נתוני הזנה</v>
      </c>
      <c r="X34" s="8">
        <v>1</v>
      </c>
      <c r="Y34" s="8" t="str">
        <f t="shared" si="8"/>
        <v>בדוק נתוני הזנה</v>
      </c>
      <c r="Z34" s="140">
        <f t="shared" si="9"/>
        <v>0.8</v>
      </c>
      <c r="AA34" s="193">
        <f t="shared" si="10"/>
        <v>1</v>
      </c>
      <c r="AB34" s="193">
        <f t="shared" si="11"/>
        <v>0</v>
      </c>
      <c r="AC34" s="193">
        <f t="shared" si="11"/>
        <v>1</v>
      </c>
      <c r="AE34" s="192"/>
      <c r="AI34" s="192"/>
      <c r="AJ34" s="192"/>
      <c r="AK34" s="192"/>
      <c r="BA34" s="193">
        <f t="shared" si="12"/>
        <v>1</v>
      </c>
      <c r="BB34" s="193">
        <f t="shared" si="4"/>
        <v>2</v>
      </c>
    </row>
    <row r="35" spans="2:54" ht="12" customHeight="1" x14ac:dyDescent="0.25">
      <c r="B35" s="7" t="str">
        <f t="shared" si="5"/>
        <v/>
      </c>
      <c r="C35" s="4"/>
      <c r="D35" s="4"/>
      <c r="E35" s="4"/>
      <c r="F35" s="350" t="str">
        <f>IF('תנאי סף'!AO35&lt;&gt;1,"",'תנאי סף'!F35)</f>
        <v/>
      </c>
      <c r="G35" s="7" t="str">
        <f>IF($F35="","",'תנאי סף'!AA35)</f>
        <v/>
      </c>
      <c r="H35" s="7" t="str">
        <f>IF($F35="","",IFERROR('תנאי סף'!O35,$AB$1))</f>
        <v/>
      </c>
      <c r="I35" s="7"/>
      <c r="J35" s="7"/>
      <c r="K35" s="7"/>
      <c r="L35" s="7"/>
      <c r="M35" s="7"/>
      <c r="N35" s="7"/>
      <c r="O35" s="7"/>
      <c r="P35" s="8"/>
      <c r="Q35" s="8"/>
      <c r="R35" s="8"/>
      <c r="S35" s="8"/>
      <c r="T35" s="8"/>
      <c r="U35" s="8" t="str">
        <f t="shared" si="6"/>
        <v/>
      </c>
      <c r="V35" s="8">
        <v>1</v>
      </c>
      <c r="W35" s="8" t="str">
        <f t="shared" si="7"/>
        <v/>
      </c>
      <c r="X35" s="8">
        <v>1</v>
      </c>
      <c r="Y35" s="8" t="str">
        <f t="shared" si="8"/>
        <v/>
      </c>
      <c r="Z35" s="140" t="str">
        <f t="shared" si="9"/>
        <v/>
      </c>
      <c r="AA35" s="193">
        <f t="shared" si="10"/>
        <v>1</v>
      </c>
      <c r="AB35" s="193" t="str">
        <f t="shared" si="11"/>
        <v/>
      </c>
      <c r="AC35" s="193" t="str">
        <f t="shared" si="11"/>
        <v/>
      </c>
      <c r="AE35" s="192"/>
      <c r="AI35" s="192"/>
      <c r="AJ35" s="192"/>
      <c r="AK35" s="192"/>
      <c r="BA35" s="193" t="str">
        <f t="shared" si="12"/>
        <v/>
      </c>
      <c r="BB35" s="193" t="str">
        <f t="shared" si="4"/>
        <v/>
      </c>
    </row>
    <row r="36" spans="2:54" ht="28.5" customHeight="1" x14ac:dyDescent="0.25">
      <c r="B36" s="7">
        <f t="shared" si="5"/>
        <v>6</v>
      </c>
      <c r="C36" s="4"/>
      <c r="D36" s="4"/>
      <c r="E36" s="4"/>
      <c r="F36" s="350" t="str">
        <f>IF('תנאי סף'!AO36&lt;&gt;1,"",'תנאי סף'!F36)</f>
        <v>הפרויקט הקאמרי הישראלי</v>
      </c>
      <c r="G36" s="7">
        <f>IF($F36="","",'תנאי סף'!AA36)</f>
        <v>276882</v>
      </c>
      <c r="H36" s="7">
        <f>IF($F36="","",IFERROR('תנאי סף'!O36,$AB$1))</f>
        <v>18</v>
      </c>
      <c r="I36" s="7"/>
      <c r="J36" s="7"/>
      <c r="K36" s="7"/>
      <c r="L36" s="7"/>
      <c r="M36" s="7"/>
      <c r="N36" s="7"/>
      <c r="O36" s="7"/>
      <c r="P36" s="8"/>
      <c r="Q36" s="8"/>
      <c r="R36" s="8"/>
      <c r="S36" s="8"/>
      <c r="T36" s="8"/>
      <c r="U36" s="8" t="str">
        <f t="shared" si="6"/>
        <v>גדולה</v>
      </c>
      <c r="V36" s="8">
        <v>1</v>
      </c>
      <c r="W36" s="8" t="str">
        <f t="shared" si="7"/>
        <v>בדוק נתוני הזנה</v>
      </c>
      <c r="X36" s="8">
        <v>1</v>
      </c>
      <c r="Y36" s="8" t="str">
        <f t="shared" si="8"/>
        <v>בדוק נתוני הזנה</v>
      </c>
      <c r="Z36" s="140">
        <f t="shared" si="9"/>
        <v>1</v>
      </c>
      <c r="AA36" s="193">
        <f t="shared" si="10"/>
        <v>1</v>
      </c>
      <c r="AB36" s="193">
        <f t="shared" si="11"/>
        <v>0</v>
      </c>
      <c r="AC36" s="193">
        <f t="shared" si="11"/>
        <v>1</v>
      </c>
      <c r="AE36" s="192"/>
      <c r="AI36" s="192"/>
      <c r="AJ36" s="192"/>
      <c r="AK36" s="192"/>
      <c r="BA36" s="193">
        <f t="shared" si="12"/>
        <v>1</v>
      </c>
      <c r="BB36" s="193">
        <f t="shared" si="4"/>
        <v>2</v>
      </c>
    </row>
    <row r="37" spans="2:54" ht="28.5" customHeight="1" x14ac:dyDescent="0.25">
      <c r="B37" s="7">
        <f t="shared" si="5"/>
        <v>7</v>
      </c>
      <c r="C37" s="4"/>
      <c r="D37" s="4"/>
      <c r="E37" s="4"/>
      <c r="F37" s="350" t="str">
        <f>IF('תנאי סף'!AO37&lt;&gt;1,"",'תנאי סף'!F37)</f>
        <v>מארש דונדורמה</v>
      </c>
      <c r="G37" s="7">
        <f>IF($F37="","",'תנאי סף'!AA37)</f>
        <v>395082</v>
      </c>
      <c r="H37" s="7">
        <f>IF($F37="","",IFERROR('תנאי סף'!O37,$AB$1))</f>
        <v>17</v>
      </c>
      <c r="I37" s="7"/>
      <c r="J37" s="7"/>
      <c r="K37" s="7"/>
      <c r="L37" s="7"/>
      <c r="M37" s="7"/>
      <c r="N37" s="7"/>
      <c r="O37" s="7"/>
      <c r="P37" s="8"/>
      <c r="Q37" s="8"/>
      <c r="R37" s="8"/>
      <c r="S37" s="8"/>
      <c r="T37" s="8"/>
      <c r="U37" s="8" t="str">
        <f t="shared" si="6"/>
        <v>גדולה</v>
      </c>
      <c r="V37" s="8">
        <v>1</v>
      </c>
      <c r="W37" s="8" t="str">
        <f t="shared" si="7"/>
        <v>בדוק נתוני הזנה</v>
      </c>
      <c r="X37" s="8">
        <v>1</v>
      </c>
      <c r="Y37" s="8" t="str">
        <f t="shared" si="8"/>
        <v>בדוק נתוני הזנה</v>
      </c>
      <c r="Z37" s="140">
        <f t="shared" si="9"/>
        <v>1</v>
      </c>
      <c r="AA37" s="193">
        <f t="shared" si="10"/>
        <v>1</v>
      </c>
      <c r="AB37" s="193">
        <f t="shared" si="11"/>
        <v>0</v>
      </c>
      <c r="AC37" s="193">
        <f t="shared" si="11"/>
        <v>1</v>
      </c>
      <c r="AE37" s="192"/>
      <c r="AI37" s="192"/>
      <c r="AJ37" s="192"/>
      <c r="AK37" s="192"/>
      <c r="BA37" s="193">
        <f t="shared" si="12"/>
        <v>1</v>
      </c>
      <c r="BB37" s="193">
        <f t="shared" si="4"/>
        <v>2</v>
      </c>
    </row>
    <row r="38" spans="2:54" ht="28.5" customHeight="1" x14ac:dyDescent="0.25">
      <c r="B38" s="7">
        <f t="shared" si="5"/>
        <v>8</v>
      </c>
      <c r="C38" s="4"/>
      <c r="D38" s="4"/>
      <c r="E38" s="4"/>
      <c r="F38" s="350" t="str">
        <f>IF('תנאי סף'!AO38&lt;&gt;1,"",'תנאי סף'!F38)</f>
        <v>להקת מורין נהדר</v>
      </c>
      <c r="G38" s="7">
        <f>IF($F38="","",'תנאי סף'!AA38)</f>
        <v>44838</v>
      </c>
      <c r="H38" s="7">
        <f>IF($F38="","",IFERROR('תנאי סף'!O38,$AB$1))</f>
        <v>11</v>
      </c>
      <c r="I38" s="7"/>
      <c r="J38" s="7"/>
      <c r="K38" s="7"/>
      <c r="L38" s="7"/>
      <c r="M38" s="7"/>
      <c r="N38" s="7"/>
      <c r="O38" s="7"/>
      <c r="P38" s="8"/>
      <c r="Q38" s="8"/>
      <c r="R38" s="8"/>
      <c r="S38" s="8"/>
      <c r="T38" s="8"/>
      <c r="U38" s="8" t="str">
        <f t="shared" si="6"/>
        <v>קטנה</v>
      </c>
      <c r="V38" s="8">
        <v>1</v>
      </c>
      <c r="W38" s="8" t="str">
        <f t="shared" si="7"/>
        <v>בדוק נתוני הזנה</v>
      </c>
      <c r="X38" s="8">
        <v>1</v>
      </c>
      <c r="Y38" s="8" t="str">
        <f t="shared" si="8"/>
        <v>בדוק נתוני הזנה</v>
      </c>
      <c r="Z38" s="140">
        <f t="shared" si="9"/>
        <v>0.5</v>
      </c>
      <c r="AA38" s="193">
        <f t="shared" si="10"/>
        <v>1</v>
      </c>
      <c r="AB38" s="193">
        <f t="shared" si="11"/>
        <v>0</v>
      </c>
      <c r="AC38" s="193">
        <f t="shared" si="11"/>
        <v>1</v>
      </c>
      <c r="AE38" s="192"/>
      <c r="AI38" s="192"/>
      <c r="AJ38" s="192"/>
      <c r="AK38" s="192"/>
      <c r="BA38" s="193">
        <f t="shared" si="12"/>
        <v>1</v>
      </c>
      <c r="BB38" s="193">
        <f t="shared" si="4"/>
        <v>2</v>
      </c>
    </row>
    <row r="39" spans="2:54" ht="13.5" customHeight="1" x14ac:dyDescent="0.25">
      <c r="B39" s="7" t="str">
        <f t="shared" si="5"/>
        <v/>
      </c>
      <c r="C39" s="4"/>
      <c r="D39" s="4"/>
      <c r="E39" s="4"/>
      <c r="F39" s="350" t="str">
        <f>IF('תנאי סף'!AO39&lt;&gt;1,"",'תנאי סף'!F39)</f>
        <v/>
      </c>
      <c r="G39" s="7" t="str">
        <f>IF($F39="","",'תנאי סף'!AA39)</f>
        <v/>
      </c>
      <c r="H39" s="7" t="str">
        <f>IF($F39="","",IFERROR('תנאי סף'!O39,$AB$1))</f>
        <v/>
      </c>
      <c r="I39" s="7"/>
      <c r="J39" s="7"/>
      <c r="K39" s="7"/>
      <c r="L39" s="7"/>
      <c r="M39" s="7"/>
      <c r="N39" s="7"/>
      <c r="O39" s="7"/>
      <c r="P39" s="8"/>
      <c r="Q39" s="8"/>
      <c r="R39" s="8"/>
      <c r="S39" s="8"/>
      <c r="T39" s="8"/>
      <c r="U39" s="8" t="str">
        <f t="shared" si="6"/>
        <v/>
      </c>
      <c r="V39" s="8">
        <v>1</v>
      </c>
      <c r="W39" s="8" t="str">
        <f t="shared" si="7"/>
        <v/>
      </c>
      <c r="X39" s="8">
        <v>1</v>
      </c>
      <c r="Y39" s="8" t="str">
        <f t="shared" si="8"/>
        <v/>
      </c>
      <c r="Z39" s="140" t="str">
        <f t="shared" si="9"/>
        <v/>
      </c>
      <c r="AA39" s="193">
        <f t="shared" si="10"/>
        <v>1</v>
      </c>
      <c r="AB39" s="193" t="str">
        <f t="shared" si="11"/>
        <v/>
      </c>
      <c r="AC39" s="193" t="str">
        <f t="shared" si="11"/>
        <v/>
      </c>
      <c r="AE39" s="192"/>
      <c r="AI39" s="192"/>
      <c r="AJ39" s="192"/>
      <c r="AK39" s="192"/>
      <c r="BA39" s="193" t="str">
        <f t="shared" si="12"/>
        <v/>
      </c>
      <c r="BB39" s="193" t="str">
        <f t="shared" si="4"/>
        <v/>
      </c>
    </row>
    <row r="40" spans="2:54" ht="27" customHeight="1" x14ac:dyDescent="0.25">
      <c r="B40" s="7">
        <f t="shared" si="5"/>
        <v>10</v>
      </c>
      <c r="C40" s="4"/>
      <c r="D40" s="4"/>
      <c r="E40" s="4"/>
      <c r="F40" s="350" t="str">
        <f>IF('תנאי סף'!AO40&lt;&gt;1,"",'תנאי סף'!F40)</f>
        <v>אנסמבל גלעד אפרת</v>
      </c>
      <c r="G40" s="7">
        <f>IF($F40="","",'תנאי סף'!AA40)</f>
        <v>147011</v>
      </c>
      <c r="H40" s="7">
        <f>IF($F40="","",IFERROR('תנאי סף'!O40,$AB$1))</f>
        <v>23</v>
      </c>
      <c r="I40" s="7"/>
      <c r="J40" s="7"/>
      <c r="K40" s="7"/>
      <c r="L40" s="7"/>
      <c r="M40" s="7"/>
      <c r="N40" s="7"/>
      <c r="O40" s="7"/>
      <c r="P40" s="8"/>
      <c r="Q40" s="8"/>
      <c r="R40" s="8"/>
      <c r="S40" s="8"/>
      <c r="T40" s="8"/>
      <c r="U40" s="8" t="str">
        <f t="shared" si="6"/>
        <v>גדולה</v>
      </c>
      <c r="V40" s="8">
        <v>1</v>
      </c>
      <c r="W40" s="8" t="str">
        <f t="shared" si="7"/>
        <v>בדוק נתוני הזנה</v>
      </c>
      <c r="X40" s="8">
        <v>1</v>
      </c>
      <c r="Y40" s="8" t="str">
        <f t="shared" si="8"/>
        <v>בדוק נתוני הזנה</v>
      </c>
      <c r="Z40" s="140">
        <f t="shared" si="9"/>
        <v>1</v>
      </c>
      <c r="AA40" s="193">
        <f t="shared" si="10"/>
        <v>1</v>
      </c>
      <c r="AB40" s="193">
        <f t="shared" si="11"/>
        <v>0</v>
      </c>
      <c r="AC40" s="193">
        <f t="shared" si="11"/>
        <v>1</v>
      </c>
      <c r="AE40" s="192"/>
      <c r="AI40" s="192"/>
      <c r="AJ40" s="192"/>
      <c r="AK40" s="192"/>
      <c r="BA40" s="193">
        <f t="shared" si="12"/>
        <v>1</v>
      </c>
      <c r="BB40" s="193">
        <f t="shared" si="4"/>
        <v>2</v>
      </c>
    </row>
    <row r="41" spans="2:54" ht="30" customHeight="1" x14ac:dyDescent="0.25">
      <c r="B41" s="7">
        <f t="shared" si="5"/>
        <v>11</v>
      </c>
      <c r="C41" s="4"/>
      <c r="D41" s="4"/>
      <c r="E41" s="4"/>
      <c r="F41" s="350" t="str">
        <f>IF('תנאי סף'!AO41&lt;&gt;1,"",'תנאי סף'!F41)</f>
        <v>רביעיית כרמל</v>
      </c>
      <c r="G41" s="7">
        <f>IF($F41="","",'תנאי סף'!AA41)</f>
        <v>393861</v>
      </c>
      <c r="H41" s="7">
        <f>IF($F41="","",IFERROR('תנאי סף'!O41,$AB$1))</f>
        <v>10</v>
      </c>
      <c r="I41" s="7"/>
      <c r="J41" s="7"/>
      <c r="K41" s="7"/>
      <c r="L41" s="7"/>
      <c r="M41" s="7"/>
      <c r="N41" s="7"/>
      <c r="O41" s="7"/>
      <c r="P41" s="8"/>
      <c r="Q41" s="8"/>
      <c r="R41" s="8"/>
      <c r="S41" s="8"/>
      <c r="T41" s="8"/>
      <c r="U41" s="8" t="str">
        <f t="shared" si="6"/>
        <v>גדולה</v>
      </c>
      <c r="V41" s="8">
        <v>1</v>
      </c>
      <c r="W41" s="8" t="str">
        <f t="shared" si="7"/>
        <v>בדוק נתוני הזנה</v>
      </c>
      <c r="X41" s="8">
        <v>1</v>
      </c>
      <c r="Y41" s="8" t="str">
        <f t="shared" si="8"/>
        <v>בדוק נתוני הזנה</v>
      </c>
      <c r="Z41" s="140">
        <f t="shared" si="9"/>
        <v>1</v>
      </c>
      <c r="AA41" s="193">
        <f t="shared" si="10"/>
        <v>1</v>
      </c>
      <c r="AB41" s="193">
        <f t="shared" si="11"/>
        <v>0</v>
      </c>
      <c r="AC41" s="193">
        <f t="shared" si="11"/>
        <v>1</v>
      </c>
      <c r="AE41" s="192"/>
      <c r="AI41" s="192"/>
      <c r="AJ41" s="192"/>
      <c r="AK41" s="192"/>
      <c r="BA41" s="193">
        <f t="shared" si="12"/>
        <v>1</v>
      </c>
      <c r="BB41" s="193">
        <f t="shared" si="4"/>
        <v>2</v>
      </c>
    </row>
    <row r="42" spans="2:54" ht="28.5" customHeight="1" x14ac:dyDescent="0.25">
      <c r="B42" s="7">
        <f t="shared" si="5"/>
        <v>12</v>
      </c>
      <c r="C42" s="4"/>
      <c r="D42" s="4"/>
      <c r="E42" s="4"/>
      <c r="F42" s="350" t="str">
        <f>IF('תנאי סף'!AO42&lt;&gt;1,"",'תנאי סף'!F42)</f>
        <v>שורולה</v>
      </c>
      <c r="G42" s="7">
        <f>IF($F42="","",'תנאי סף'!AA42)</f>
        <v>81986</v>
      </c>
      <c r="H42" s="7">
        <f>IF($F42="","",IFERROR('תנאי סף'!O42,$AB$1))</f>
        <v>11</v>
      </c>
      <c r="I42" s="7"/>
      <c r="J42" s="7"/>
      <c r="K42" s="7"/>
      <c r="L42" s="7"/>
      <c r="M42" s="7"/>
      <c r="N42" s="7"/>
      <c r="O42" s="7"/>
      <c r="P42" s="8"/>
      <c r="Q42" s="8"/>
      <c r="R42" s="8"/>
      <c r="S42" s="8"/>
      <c r="T42" s="8"/>
      <c r="U42" s="8" t="str">
        <f t="shared" si="6"/>
        <v>קטנה</v>
      </c>
      <c r="V42" s="8">
        <v>1</v>
      </c>
      <c r="W42" s="8" t="str">
        <f t="shared" si="7"/>
        <v>בדוק נתוני הזנה</v>
      </c>
      <c r="X42" s="8">
        <v>1</v>
      </c>
      <c r="Y42" s="8" t="str">
        <f t="shared" si="8"/>
        <v>בדוק נתוני הזנה</v>
      </c>
      <c r="Z42" s="140">
        <f t="shared" si="9"/>
        <v>0.5</v>
      </c>
      <c r="AA42" s="193">
        <f t="shared" si="10"/>
        <v>1</v>
      </c>
      <c r="AB42" s="193">
        <f t="shared" si="11"/>
        <v>0</v>
      </c>
      <c r="AC42" s="193">
        <f t="shared" si="11"/>
        <v>1</v>
      </c>
      <c r="AE42" s="192"/>
      <c r="AI42" s="192"/>
      <c r="AJ42" s="192"/>
      <c r="AK42" s="192"/>
      <c r="BA42" s="193">
        <f t="shared" si="12"/>
        <v>1</v>
      </c>
      <c r="BB42" s="193">
        <f t="shared" si="4"/>
        <v>2</v>
      </c>
    </row>
    <row r="43" spans="2:54" ht="9.75" customHeight="1" x14ac:dyDescent="0.25">
      <c r="B43" s="7" t="str">
        <f t="shared" si="5"/>
        <v/>
      </c>
      <c r="C43" s="4"/>
      <c r="D43" s="4"/>
      <c r="E43" s="4"/>
      <c r="F43" s="350" t="str">
        <f>IF('תנאי סף'!AO43&lt;&gt;1,"",'תנאי סף'!F43)</f>
        <v/>
      </c>
      <c r="G43" s="7" t="str">
        <f>IF($F43="","",'תנאי סף'!AA43)</f>
        <v/>
      </c>
      <c r="H43" s="7" t="str">
        <f>IF($F43="","",IFERROR('תנאי סף'!O43,$AB$1))</f>
        <v/>
      </c>
      <c r="I43" s="7"/>
      <c r="J43" s="7"/>
      <c r="K43" s="7"/>
      <c r="L43" s="7"/>
      <c r="M43" s="7"/>
      <c r="N43" s="7"/>
      <c r="O43" s="7"/>
      <c r="P43" s="8"/>
      <c r="Q43" s="8"/>
      <c r="R43" s="8"/>
      <c r="S43" s="8"/>
      <c r="T43" s="8"/>
      <c r="U43" s="8" t="str">
        <f t="shared" si="6"/>
        <v/>
      </c>
      <c r="V43" s="8">
        <v>1</v>
      </c>
      <c r="W43" s="8" t="str">
        <f t="shared" si="7"/>
        <v/>
      </c>
      <c r="X43" s="8">
        <v>1</v>
      </c>
      <c r="Y43" s="8" t="str">
        <f t="shared" si="8"/>
        <v/>
      </c>
      <c r="Z43" s="140" t="str">
        <f t="shared" si="9"/>
        <v/>
      </c>
      <c r="AA43" s="193">
        <f t="shared" si="10"/>
        <v>1</v>
      </c>
      <c r="AB43" s="193" t="str">
        <f t="shared" si="11"/>
        <v/>
      </c>
      <c r="AC43" s="193" t="str">
        <f t="shared" si="11"/>
        <v/>
      </c>
      <c r="AE43" s="192"/>
      <c r="AI43" s="192"/>
      <c r="AJ43" s="192"/>
      <c r="AK43" s="192"/>
      <c r="BA43" s="193" t="str">
        <f t="shared" si="12"/>
        <v/>
      </c>
      <c r="BB43" s="193" t="str">
        <f t="shared" si="4"/>
        <v/>
      </c>
    </row>
    <row r="44" spans="2:54" ht="9.75" customHeight="1" x14ac:dyDescent="0.25">
      <c r="B44" s="7" t="str">
        <f t="shared" si="5"/>
        <v/>
      </c>
      <c r="C44" s="4"/>
      <c r="D44" s="4"/>
      <c r="E44" s="4"/>
      <c r="F44" s="350" t="str">
        <f>IF('תנאי סף'!AO44&lt;&gt;1,"",'תנאי סף'!F44)</f>
        <v/>
      </c>
      <c r="G44" s="7" t="str">
        <f>IF($F44="","",'תנאי סף'!AA44)</f>
        <v/>
      </c>
      <c r="H44" s="7" t="str">
        <f>IF($F44="","",IFERROR('תנאי סף'!O44,$AB$1))</f>
        <v/>
      </c>
      <c r="I44" s="7"/>
      <c r="J44" s="7"/>
      <c r="K44" s="7"/>
      <c r="L44" s="7"/>
      <c r="M44" s="7"/>
      <c r="N44" s="7"/>
      <c r="O44" s="7"/>
      <c r="P44" s="8"/>
      <c r="Q44" s="8"/>
      <c r="R44" s="8"/>
      <c r="S44" s="8"/>
      <c r="T44" s="8"/>
      <c r="U44" s="8" t="str">
        <f t="shared" si="6"/>
        <v/>
      </c>
      <c r="V44" s="8">
        <v>1</v>
      </c>
      <c r="W44" s="8" t="str">
        <f t="shared" si="7"/>
        <v/>
      </c>
      <c r="X44" s="8">
        <v>1</v>
      </c>
      <c r="Y44" s="8" t="str">
        <f t="shared" si="8"/>
        <v/>
      </c>
      <c r="Z44" s="140" t="str">
        <f t="shared" si="9"/>
        <v/>
      </c>
      <c r="AA44" s="193">
        <f t="shared" si="10"/>
        <v>1</v>
      </c>
      <c r="AB44" s="193" t="str">
        <f t="shared" si="11"/>
        <v/>
      </c>
      <c r="AC44" s="193" t="str">
        <f t="shared" si="11"/>
        <v/>
      </c>
      <c r="AE44" s="192"/>
      <c r="AI44" s="192"/>
      <c r="AJ44" s="192"/>
      <c r="AK44" s="192"/>
      <c r="BA44" s="193" t="str">
        <f t="shared" si="12"/>
        <v/>
      </c>
      <c r="BB44" s="193" t="str">
        <f t="shared" si="4"/>
        <v/>
      </c>
    </row>
    <row r="45" spans="2:54" ht="9.75" customHeight="1" x14ac:dyDescent="0.25">
      <c r="B45" s="7" t="str">
        <f t="shared" si="5"/>
        <v/>
      </c>
      <c r="C45" s="4"/>
      <c r="D45" s="4"/>
      <c r="E45" s="4"/>
      <c r="F45" s="350" t="str">
        <f>IF('תנאי סף'!AO45&lt;&gt;1,"",'תנאי סף'!F45)</f>
        <v/>
      </c>
      <c r="G45" s="7" t="str">
        <f>IF($F45="","",'תנאי סף'!AA45)</f>
        <v/>
      </c>
      <c r="H45" s="7" t="str">
        <f>IF($F45="","",IFERROR('תנאי סף'!O45,$AB$1))</f>
        <v/>
      </c>
      <c r="I45" s="7"/>
      <c r="J45" s="7"/>
      <c r="K45" s="7"/>
      <c r="L45" s="7"/>
      <c r="M45" s="7"/>
      <c r="N45" s="7"/>
      <c r="O45" s="7"/>
      <c r="P45" s="8"/>
      <c r="Q45" s="8"/>
      <c r="R45" s="8"/>
      <c r="S45" s="8"/>
      <c r="T45" s="8"/>
      <c r="U45" s="8" t="str">
        <f t="shared" si="6"/>
        <v/>
      </c>
      <c r="V45" s="8">
        <v>1</v>
      </c>
      <c r="W45" s="8" t="str">
        <f t="shared" si="7"/>
        <v/>
      </c>
      <c r="X45" s="8">
        <v>1</v>
      </c>
      <c r="Y45" s="8" t="str">
        <f t="shared" si="8"/>
        <v/>
      </c>
      <c r="Z45" s="140" t="str">
        <f t="shared" si="9"/>
        <v/>
      </c>
      <c r="AA45" s="193">
        <f t="shared" si="10"/>
        <v>1</v>
      </c>
      <c r="AB45" s="193" t="str">
        <f t="shared" si="11"/>
        <v/>
      </c>
      <c r="AC45" s="193" t="str">
        <f t="shared" si="11"/>
        <v/>
      </c>
      <c r="AE45" s="192"/>
      <c r="AI45" s="192"/>
      <c r="AJ45" s="192"/>
      <c r="AK45" s="192"/>
      <c r="BA45" s="193" t="str">
        <f t="shared" si="12"/>
        <v/>
      </c>
      <c r="BB45" s="193" t="str">
        <f t="shared" si="4"/>
        <v/>
      </c>
    </row>
    <row r="46" spans="2:54" ht="9.75" customHeight="1" x14ac:dyDescent="0.25">
      <c r="B46" s="7" t="str">
        <f t="shared" si="5"/>
        <v/>
      </c>
      <c r="C46" s="4"/>
      <c r="D46" s="4"/>
      <c r="E46" s="4"/>
      <c r="F46" s="350" t="str">
        <f>IF('תנאי סף'!AO46&lt;&gt;1,"",'תנאי סף'!F46)</f>
        <v/>
      </c>
      <c r="G46" s="7" t="str">
        <f>IF($F46="","",'תנאי סף'!AA46)</f>
        <v/>
      </c>
      <c r="H46" s="7" t="str">
        <f>IF($F46="","",IFERROR('תנאי סף'!O46,$AB$1))</f>
        <v/>
      </c>
      <c r="I46" s="7"/>
      <c r="J46" s="7"/>
      <c r="K46" s="7"/>
      <c r="L46" s="7"/>
      <c r="M46" s="7"/>
      <c r="N46" s="7"/>
      <c r="O46" s="7"/>
      <c r="P46" s="8"/>
      <c r="Q46" s="8"/>
      <c r="R46" s="8"/>
      <c r="S46" s="8"/>
      <c r="T46" s="8"/>
      <c r="U46" s="8" t="str">
        <f t="shared" si="6"/>
        <v/>
      </c>
      <c r="V46" s="8">
        <v>1</v>
      </c>
      <c r="W46" s="8" t="str">
        <f t="shared" si="7"/>
        <v/>
      </c>
      <c r="X46" s="8">
        <v>1</v>
      </c>
      <c r="Y46" s="8" t="str">
        <f t="shared" si="8"/>
        <v/>
      </c>
      <c r="Z46" s="140" t="str">
        <f t="shared" si="9"/>
        <v/>
      </c>
      <c r="AA46" s="193">
        <f t="shared" si="10"/>
        <v>1</v>
      </c>
      <c r="AB46" s="193" t="str">
        <f t="shared" si="11"/>
        <v/>
      </c>
      <c r="AC46" s="193" t="str">
        <f t="shared" si="11"/>
        <v/>
      </c>
      <c r="AE46" s="192"/>
      <c r="AI46" s="192"/>
      <c r="AJ46" s="192"/>
      <c r="AK46" s="192"/>
      <c r="BA46" s="193" t="str">
        <f t="shared" si="12"/>
        <v/>
      </c>
      <c r="BB46" s="193" t="str">
        <f t="shared" si="4"/>
        <v/>
      </c>
    </row>
    <row r="47" spans="2:54" ht="23.25" customHeight="1" x14ac:dyDescent="0.25">
      <c r="B47" s="7">
        <f t="shared" si="5"/>
        <v>17</v>
      </c>
      <c r="C47" s="4"/>
      <c r="D47" s="4"/>
      <c r="E47" s="4"/>
      <c r="F47" s="350" t="str">
        <f>IF('תנאי סף'!AO47&lt;&gt;1,"",'תנאי סף'!F47)</f>
        <v>הרכב עמית פרידמן</v>
      </c>
      <c r="G47" s="7">
        <f>IF($F47="","",'תנאי סף'!AA47)</f>
        <v>108363</v>
      </c>
      <c r="H47" s="7">
        <f>IF($F47="","",IFERROR('תנאי סף'!O47,$AB$1))</f>
        <v>21</v>
      </c>
      <c r="I47" s="7"/>
      <c r="J47" s="7"/>
      <c r="K47" s="7"/>
      <c r="L47" s="7"/>
      <c r="M47" s="7"/>
      <c r="N47" s="7"/>
      <c r="O47" s="7"/>
      <c r="P47" s="8"/>
      <c r="Q47" s="8"/>
      <c r="R47" s="8"/>
      <c r="S47" s="8"/>
      <c r="T47" s="8"/>
      <c r="U47" s="8" t="str">
        <f t="shared" si="6"/>
        <v>בינונית</v>
      </c>
      <c r="V47" s="8">
        <v>1</v>
      </c>
      <c r="W47" s="8" t="str">
        <f t="shared" si="7"/>
        <v>בדוק נתוני הזנה</v>
      </c>
      <c r="X47" s="8">
        <v>1</v>
      </c>
      <c r="Y47" s="8" t="str">
        <f t="shared" si="8"/>
        <v>בדוק נתוני הזנה</v>
      </c>
      <c r="Z47" s="140">
        <f t="shared" si="9"/>
        <v>0.8</v>
      </c>
      <c r="AA47" s="193">
        <f t="shared" si="10"/>
        <v>1</v>
      </c>
      <c r="AB47" s="193">
        <f t="shared" si="11"/>
        <v>0</v>
      </c>
      <c r="AC47" s="193">
        <f t="shared" si="11"/>
        <v>1</v>
      </c>
      <c r="AE47" s="192"/>
      <c r="AI47" s="192"/>
      <c r="AJ47" s="192"/>
      <c r="AK47" s="192"/>
      <c r="BA47" s="193">
        <f t="shared" si="12"/>
        <v>1</v>
      </c>
      <c r="BB47" s="193">
        <f t="shared" si="12"/>
        <v>2</v>
      </c>
    </row>
    <row r="48" spans="2:54" ht="11.25" customHeight="1" x14ac:dyDescent="0.25">
      <c r="B48" s="7" t="str">
        <f t="shared" si="5"/>
        <v/>
      </c>
      <c r="C48" s="4"/>
      <c r="D48" s="4"/>
      <c r="E48" s="4"/>
      <c r="F48" s="350" t="str">
        <f>IF('תנאי סף'!AO48&lt;&gt;1,"",'תנאי סף'!F48)</f>
        <v/>
      </c>
      <c r="G48" s="7" t="str">
        <f>IF($F48="","",'תנאי סף'!AA48)</f>
        <v/>
      </c>
      <c r="H48" s="7" t="str">
        <f>IF($F48="","",IFERROR('תנאי סף'!O48,$AB$1))</f>
        <v/>
      </c>
      <c r="I48" s="7"/>
      <c r="J48" s="7"/>
      <c r="K48" s="7"/>
      <c r="L48" s="7"/>
      <c r="M48" s="7"/>
      <c r="N48" s="7"/>
      <c r="O48" s="7"/>
      <c r="P48" s="8"/>
      <c r="Q48" s="8"/>
      <c r="R48" s="8"/>
      <c r="S48" s="8"/>
      <c r="T48" s="8"/>
      <c r="U48" s="8" t="str">
        <f t="shared" si="6"/>
        <v/>
      </c>
      <c r="V48" s="8">
        <v>1</v>
      </c>
      <c r="W48" s="8" t="str">
        <f t="shared" si="7"/>
        <v/>
      </c>
      <c r="X48" s="8">
        <v>1</v>
      </c>
      <c r="Y48" s="8" t="str">
        <f t="shared" si="8"/>
        <v/>
      </c>
      <c r="Z48" s="140" t="str">
        <f t="shared" si="9"/>
        <v/>
      </c>
      <c r="AA48" s="193">
        <f t="shared" si="10"/>
        <v>1</v>
      </c>
      <c r="AB48" s="193" t="str">
        <f t="shared" si="11"/>
        <v/>
      </c>
      <c r="AC48" s="193" t="str">
        <f t="shared" si="11"/>
        <v/>
      </c>
      <c r="AE48" s="192"/>
      <c r="AI48" s="192"/>
      <c r="AJ48" s="192"/>
      <c r="AK48" s="192"/>
      <c r="BA48" s="193" t="str">
        <f t="shared" si="12"/>
        <v/>
      </c>
      <c r="BB48" s="193" t="str">
        <f t="shared" si="12"/>
        <v/>
      </c>
    </row>
    <row r="49" spans="2:54" ht="10.5" customHeight="1" x14ac:dyDescent="0.25">
      <c r="B49" s="7" t="str">
        <f t="shared" si="5"/>
        <v/>
      </c>
      <c r="C49" s="4"/>
      <c r="D49" s="4"/>
      <c r="E49" s="4"/>
      <c r="F49" s="350" t="str">
        <f>IF('תנאי סף'!AO49&lt;&gt;1,"",'תנאי סף'!F49)</f>
        <v/>
      </c>
      <c r="G49" s="7" t="str">
        <f>IF($F49="","",'תנאי סף'!AA49)</f>
        <v/>
      </c>
      <c r="H49" s="7" t="str">
        <f>IF($F49="","",IFERROR('תנאי סף'!O49,$AB$1))</f>
        <v/>
      </c>
      <c r="I49" s="7"/>
      <c r="J49" s="7"/>
      <c r="K49" s="7"/>
      <c r="L49" s="7"/>
      <c r="M49" s="7"/>
      <c r="N49" s="7"/>
      <c r="O49" s="7"/>
      <c r="P49" s="8"/>
      <c r="Q49" s="8"/>
      <c r="R49" s="8"/>
      <c r="S49" s="8"/>
      <c r="T49" s="8"/>
      <c r="U49" s="8" t="str">
        <f t="shared" si="6"/>
        <v/>
      </c>
      <c r="V49" s="8">
        <v>1</v>
      </c>
      <c r="W49" s="8" t="str">
        <f t="shared" si="7"/>
        <v/>
      </c>
      <c r="X49" s="8">
        <v>1</v>
      </c>
      <c r="Y49" s="8" t="str">
        <f t="shared" si="8"/>
        <v/>
      </c>
      <c r="Z49" s="140" t="str">
        <f t="shared" si="9"/>
        <v/>
      </c>
      <c r="AA49" s="193">
        <f t="shared" si="10"/>
        <v>1</v>
      </c>
      <c r="AB49" s="193" t="str">
        <f t="shared" si="11"/>
        <v/>
      </c>
      <c r="AC49" s="193" t="str">
        <f t="shared" si="11"/>
        <v/>
      </c>
      <c r="AE49" s="192"/>
      <c r="AI49" s="192"/>
      <c r="AJ49" s="192"/>
      <c r="AK49" s="192"/>
      <c r="BA49" s="193" t="str">
        <f t="shared" si="12"/>
        <v/>
      </c>
      <c r="BB49" s="193" t="str">
        <f t="shared" si="12"/>
        <v/>
      </c>
    </row>
    <row r="50" spans="2:54" ht="10.5" customHeight="1" x14ac:dyDescent="0.25">
      <c r="B50" s="7" t="str">
        <f t="shared" si="5"/>
        <v/>
      </c>
      <c r="C50" s="4"/>
      <c r="D50" s="4"/>
      <c r="E50" s="4"/>
      <c r="F50" s="350" t="str">
        <f>IF('תנאי סף'!AO50&lt;&gt;1,"",'תנאי סף'!F50)</f>
        <v/>
      </c>
      <c r="G50" s="7" t="str">
        <f>IF($F50="","",'תנאי סף'!AA50)</f>
        <v/>
      </c>
      <c r="H50" s="7" t="str">
        <f>IF($F50="","",IFERROR('תנאי סף'!O50,$AB$1))</f>
        <v/>
      </c>
      <c r="I50" s="7"/>
      <c r="J50" s="7"/>
      <c r="K50" s="7"/>
      <c r="L50" s="7"/>
      <c r="M50" s="7"/>
      <c r="N50" s="7"/>
      <c r="O50" s="7"/>
      <c r="P50" s="8"/>
      <c r="Q50" s="8"/>
      <c r="R50" s="8"/>
      <c r="S50" s="8"/>
      <c r="T50" s="8"/>
      <c r="U50" s="8" t="str">
        <f t="shared" si="6"/>
        <v/>
      </c>
      <c r="V50" s="8">
        <v>1</v>
      </c>
      <c r="W50" s="8" t="str">
        <f t="shared" si="7"/>
        <v/>
      </c>
      <c r="X50" s="8">
        <v>1</v>
      </c>
      <c r="Y50" s="8" t="str">
        <f t="shared" si="8"/>
        <v/>
      </c>
      <c r="Z50" s="140" t="str">
        <f t="shared" si="9"/>
        <v/>
      </c>
      <c r="AA50" s="193">
        <f t="shared" si="10"/>
        <v>1</v>
      </c>
      <c r="AB50" s="193" t="str">
        <f t="shared" si="11"/>
        <v/>
      </c>
      <c r="AC50" s="193" t="str">
        <f t="shared" si="11"/>
        <v/>
      </c>
      <c r="AE50" s="192"/>
      <c r="AI50" s="192"/>
      <c r="AJ50" s="192"/>
      <c r="AK50" s="192"/>
      <c r="BA50" s="193" t="str">
        <f t="shared" si="12"/>
        <v/>
      </c>
      <c r="BB50" s="193" t="str">
        <f t="shared" si="12"/>
        <v/>
      </c>
    </row>
    <row r="51" spans="2:54" ht="29.25" customHeight="1" x14ac:dyDescent="0.25">
      <c r="B51" s="7">
        <f t="shared" si="5"/>
        <v>21</v>
      </c>
      <c r="C51" s="4"/>
      <c r="D51" s="4"/>
      <c r="E51" s="4"/>
      <c r="F51" s="350" t="str">
        <f>IF('תנאי סף'!AO51&lt;&gt;1,"",'תנאי סף'!F51)</f>
        <v>חמישיית תל אביב לכלי נשיפה</v>
      </c>
      <c r="G51" s="7">
        <f>IF($F51="","",'תנאי סף'!AA51)</f>
        <v>321375</v>
      </c>
      <c r="H51" s="7">
        <f>IF($F51="","",IFERROR('תנאי סף'!O51,$AB$1))</f>
        <v>15</v>
      </c>
      <c r="I51" s="7"/>
      <c r="J51" s="7"/>
      <c r="K51" s="7"/>
      <c r="L51" s="7"/>
      <c r="M51" s="7"/>
      <c r="N51" s="7"/>
      <c r="O51" s="7"/>
      <c r="P51" s="8"/>
      <c r="Q51" s="8"/>
      <c r="R51" s="8"/>
      <c r="S51" s="8"/>
      <c r="T51" s="8"/>
      <c r="U51" s="8" t="str">
        <f t="shared" si="6"/>
        <v>גדולה</v>
      </c>
      <c r="V51" s="8">
        <v>1</v>
      </c>
      <c r="W51" s="8" t="str">
        <f t="shared" si="7"/>
        <v>בדוק נתוני הזנה</v>
      </c>
      <c r="X51" s="8">
        <v>1</v>
      </c>
      <c r="Y51" s="8" t="str">
        <f t="shared" si="8"/>
        <v>בדוק נתוני הזנה</v>
      </c>
      <c r="Z51" s="140">
        <f t="shared" si="9"/>
        <v>1</v>
      </c>
      <c r="AA51" s="193">
        <f t="shared" si="10"/>
        <v>1</v>
      </c>
      <c r="AB51" s="193">
        <f t="shared" si="11"/>
        <v>0</v>
      </c>
      <c r="AC51" s="193">
        <f t="shared" si="11"/>
        <v>1</v>
      </c>
      <c r="AE51" s="192"/>
      <c r="AI51" s="192"/>
      <c r="AJ51" s="192"/>
      <c r="AK51" s="192"/>
      <c r="BA51" s="193">
        <f t="shared" si="12"/>
        <v>1</v>
      </c>
      <c r="BB51" s="193">
        <f t="shared" si="12"/>
        <v>2</v>
      </c>
    </row>
    <row r="52" spans="2:54" ht="21.75" customHeight="1" x14ac:dyDescent="0.25">
      <c r="B52" s="7">
        <f t="shared" si="5"/>
        <v>22</v>
      </c>
      <c r="C52" s="4"/>
      <c r="D52" s="4"/>
      <c r="E52" s="4"/>
      <c r="F52" s="350" t="str">
        <f>IF('תנאי סף'!AO52&lt;&gt;1,"",'תנאי סף'!F52)</f>
        <v>הרכב אקוט</v>
      </c>
      <c r="G52" s="7">
        <f>IF($F52="","",'תנאי סף'!AA52)</f>
        <v>290193</v>
      </c>
      <c r="H52" s="7">
        <f>IF($F52="","",IFERROR('תנאי סף'!O52,$AB$1))</f>
        <v>8</v>
      </c>
      <c r="I52" s="7"/>
      <c r="J52" s="7"/>
      <c r="K52" s="7"/>
      <c r="L52" s="7"/>
      <c r="M52" s="7"/>
      <c r="N52" s="7"/>
      <c r="O52" s="7"/>
      <c r="P52" s="8"/>
      <c r="Q52" s="8"/>
      <c r="R52" s="8"/>
      <c r="S52" s="8"/>
      <c r="T52" s="8"/>
      <c r="U52" s="8" t="str">
        <f t="shared" si="6"/>
        <v>גדולה</v>
      </c>
      <c r="V52" s="8">
        <v>1</v>
      </c>
      <c r="W52" s="8" t="str">
        <f t="shared" si="7"/>
        <v>בדוק נתוני הזנה</v>
      </c>
      <c r="X52" s="8">
        <v>1</v>
      </c>
      <c r="Y52" s="8" t="str">
        <f t="shared" si="8"/>
        <v>בדוק נתוני הזנה</v>
      </c>
      <c r="Z52" s="140">
        <f t="shared" si="9"/>
        <v>1</v>
      </c>
      <c r="AA52" s="193">
        <f t="shared" si="10"/>
        <v>1</v>
      </c>
      <c r="AB52" s="193">
        <f t="shared" si="11"/>
        <v>0</v>
      </c>
      <c r="AC52" s="193">
        <f t="shared" si="11"/>
        <v>1</v>
      </c>
      <c r="AE52" s="192"/>
      <c r="AI52" s="192"/>
      <c r="AJ52" s="192"/>
      <c r="AK52" s="192"/>
      <c r="BA52" s="193">
        <f t="shared" si="12"/>
        <v>1</v>
      </c>
      <c r="BB52" s="193">
        <f t="shared" si="12"/>
        <v>2</v>
      </c>
    </row>
    <row r="53" spans="2:54" ht="23.25" customHeight="1" x14ac:dyDescent="0.25">
      <c r="B53" s="7">
        <f t="shared" si="5"/>
        <v>23</v>
      </c>
      <c r="C53" s="4"/>
      <c r="D53" s="4"/>
      <c r="E53" s="4"/>
      <c r="F53" s="350" t="str">
        <f>IF('תנאי סף'!AO53&lt;&gt;1,"",'תנאי סף'!F53)</f>
        <v>שלישיית עתר</v>
      </c>
      <c r="G53" s="7">
        <f>IF($F53="","",'תנאי סף'!AA53)</f>
        <v>83561</v>
      </c>
      <c r="H53" s="7">
        <f>IF($F53="","",IFERROR('תנאי סף'!O53,$AB$1))</f>
        <v>3</v>
      </c>
      <c r="I53" s="7"/>
      <c r="J53" s="7"/>
      <c r="K53" s="7"/>
      <c r="L53" s="7"/>
      <c r="M53" s="7"/>
      <c r="N53" s="7"/>
      <c r="O53" s="7"/>
      <c r="P53" s="8"/>
      <c r="Q53" s="8"/>
      <c r="R53" s="8"/>
      <c r="S53" s="8"/>
      <c r="T53" s="8"/>
      <c r="U53" s="8" t="str">
        <f t="shared" si="6"/>
        <v>קטנה</v>
      </c>
      <c r="V53" s="8">
        <v>1</v>
      </c>
      <c r="W53" s="8" t="str">
        <f t="shared" si="7"/>
        <v>בדוק נתוני הזנה</v>
      </c>
      <c r="X53" s="8">
        <v>1</v>
      </c>
      <c r="Y53" s="8" t="str">
        <f t="shared" si="8"/>
        <v>בדוק נתוני הזנה</v>
      </c>
      <c r="Z53" s="140">
        <f t="shared" si="9"/>
        <v>0.5</v>
      </c>
      <c r="AA53" s="193">
        <f t="shared" si="10"/>
        <v>1</v>
      </c>
      <c r="AB53" s="193">
        <f t="shared" si="11"/>
        <v>0</v>
      </c>
      <c r="AC53" s="193">
        <f t="shared" si="11"/>
        <v>1</v>
      </c>
      <c r="AE53" s="192"/>
      <c r="AI53" s="192"/>
      <c r="AJ53" s="192"/>
      <c r="AK53" s="192"/>
      <c r="BA53" s="193">
        <f t="shared" si="12"/>
        <v>1</v>
      </c>
      <c r="BB53" s="193">
        <f t="shared" si="12"/>
        <v>2</v>
      </c>
    </row>
    <row r="54" spans="2:54" ht="10.5" customHeight="1" x14ac:dyDescent="0.25">
      <c r="B54" s="7" t="str">
        <f t="shared" si="5"/>
        <v/>
      </c>
      <c r="C54" s="4"/>
      <c r="D54" s="4"/>
      <c r="E54" s="4"/>
      <c r="F54" s="350" t="str">
        <f>IF('תנאי סף'!AO54&lt;&gt;1,"",'תנאי סף'!F54)</f>
        <v/>
      </c>
      <c r="G54" s="7" t="str">
        <f>IF($F54="","",'תנאי סף'!AA54)</f>
        <v/>
      </c>
      <c r="H54" s="7" t="str">
        <f>IF($F54="","",IFERROR('תנאי סף'!O54,$AB$1))</f>
        <v/>
      </c>
      <c r="I54" s="7"/>
      <c r="J54" s="7"/>
      <c r="K54" s="7"/>
      <c r="L54" s="7"/>
      <c r="M54" s="7"/>
      <c r="N54" s="7"/>
      <c r="O54" s="7"/>
      <c r="P54" s="8"/>
      <c r="Q54" s="8"/>
      <c r="R54" s="8"/>
      <c r="S54" s="8"/>
      <c r="T54" s="8"/>
      <c r="U54" s="8" t="str">
        <f t="shared" si="6"/>
        <v/>
      </c>
      <c r="V54" s="8">
        <v>1</v>
      </c>
      <c r="W54" s="8" t="str">
        <f t="shared" si="7"/>
        <v/>
      </c>
      <c r="X54" s="8">
        <v>1</v>
      </c>
      <c r="Y54" s="8" t="str">
        <f t="shared" si="8"/>
        <v/>
      </c>
      <c r="Z54" s="140" t="str">
        <f t="shared" si="9"/>
        <v/>
      </c>
      <c r="AA54" s="193">
        <f t="shared" si="10"/>
        <v>1</v>
      </c>
      <c r="AB54" s="193" t="str">
        <f t="shared" si="11"/>
        <v/>
      </c>
      <c r="AC54" s="193" t="str">
        <f t="shared" si="11"/>
        <v/>
      </c>
      <c r="AE54" s="192"/>
      <c r="AI54" s="192"/>
      <c r="AJ54" s="192"/>
      <c r="AK54" s="192"/>
      <c r="BA54" s="193" t="str">
        <f t="shared" si="12"/>
        <v/>
      </c>
      <c r="BB54" s="193" t="str">
        <f t="shared" si="12"/>
        <v/>
      </c>
    </row>
    <row r="55" spans="2:54" ht="10.5" customHeight="1" x14ac:dyDescent="0.25">
      <c r="B55" s="7" t="str">
        <f t="shared" si="5"/>
        <v/>
      </c>
      <c r="C55" s="4"/>
      <c r="D55" s="4"/>
      <c r="E55" s="4"/>
      <c r="F55" s="350" t="str">
        <f>IF('תנאי סף'!AO55&lt;&gt;1,"",'תנאי סף'!F55)</f>
        <v/>
      </c>
      <c r="G55" s="7" t="str">
        <f>IF($F55="","",'תנאי סף'!AA55)</f>
        <v/>
      </c>
      <c r="H55" s="7" t="str">
        <f>IF($F55="","",IFERROR('תנאי סף'!O55,$AB$1))</f>
        <v/>
      </c>
      <c r="I55" s="7"/>
      <c r="J55" s="7"/>
      <c r="K55" s="7"/>
      <c r="L55" s="7"/>
      <c r="M55" s="7"/>
      <c r="N55" s="7"/>
      <c r="O55" s="7"/>
      <c r="P55" s="8"/>
      <c r="Q55" s="8"/>
      <c r="R55" s="8"/>
      <c r="S55" s="8"/>
      <c r="T55" s="8"/>
      <c r="U55" s="8" t="str">
        <f t="shared" si="6"/>
        <v/>
      </c>
      <c r="V55" s="8">
        <v>1</v>
      </c>
      <c r="W55" s="8" t="str">
        <f t="shared" si="7"/>
        <v/>
      </c>
      <c r="X55" s="8">
        <v>1</v>
      </c>
      <c r="Y55" s="8" t="str">
        <f t="shared" si="8"/>
        <v/>
      </c>
      <c r="Z55" s="140" t="str">
        <f t="shared" si="9"/>
        <v/>
      </c>
      <c r="AA55" s="193">
        <f t="shared" si="10"/>
        <v>1</v>
      </c>
      <c r="AB55" s="193" t="str">
        <f t="shared" si="11"/>
        <v/>
      </c>
      <c r="AC55" s="193" t="str">
        <f t="shared" si="11"/>
        <v/>
      </c>
      <c r="AE55" s="192"/>
      <c r="AI55" s="192"/>
      <c r="AJ55" s="192"/>
      <c r="AK55" s="192"/>
      <c r="BA55" s="193" t="str">
        <f t="shared" si="12"/>
        <v/>
      </c>
      <c r="BB55" s="193" t="str">
        <f t="shared" si="12"/>
        <v/>
      </c>
    </row>
    <row r="56" spans="2:54" ht="27" customHeight="1" x14ac:dyDescent="0.25">
      <c r="B56" s="7">
        <f t="shared" si="5"/>
        <v>26</v>
      </c>
      <c r="C56" s="4"/>
      <c r="D56" s="4"/>
      <c r="E56" s="4"/>
      <c r="F56" s="350" t="str">
        <f>IF('תנאי סף'!AO56&lt;&gt;1,"",'תנאי סף'!F56)</f>
        <v>אנסמבל מצו</v>
      </c>
      <c r="G56" s="7">
        <f>IF($F56="","",'תנאי סף'!AA56)</f>
        <v>212902</v>
      </c>
      <c r="H56" s="7">
        <f>IF($F56="","",IFERROR('תנאי סף'!O56,$AB$1))</f>
        <v>31</v>
      </c>
      <c r="I56" s="7"/>
      <c r="J56" s="7"/>
      <c r="K56" s="7"/>
      <c r="L56" s="7"/>
      <c r="M56" s="7"/>
      <c r="N56" s="7"/>
      <c r="O56" s="7"/>
      <c r="P56" s="8"/>
      <c r="Q56" s="8"/>
      <c r="R56" s="8"/>
      <c r="S56" s="8"/>
      <c r="T56" s="8"/>
      <c r="U56" s="8" t="str">
        <f t="shared" si="6"/>
        <v>גדולה</v>
      </c>
      <c r="V56" s="8">
        <v>1</v>
      </c>
      <c r="W56" s="8" t="str">
        <f t="shared" si="7"/>
        <v>בדוק נתוני הזנה</v>
      </c>
      <c r="X56" s="8">
        <v>1</v>
      </c>
      <c r="Y56" s="8" t="str">
        <f t="shared" si="8"/>
        <v>בדוק נתוני הזנה</v>
      </c>
      <c r="Z56" s="140">
        <f t="shared" si="9"/>
        <v>1</v>
      </c>
      <c r="AA56" s="193">
        <f t="shared" si="10"/>
        <v>1</v>
      </c>
      <c r="AB56" s="193">
        <f t="shared" si="11"/>
        <v>0</v>
      </c>
      <c r="AC56" s="193">
        <f t="shared" si="11"/>
        <v>1</v>
      </c>
      <c r="AE56" s="192"/>
      <c r="AI56" s="192"/>
      <c r="AJ56" s="192"/>
      <c r="AK56" s="192"/>
      <c r="BA56" s="193">
        <f t="shared" si="12"/>
        <v>1</v>
      </c>
      <c r="BB56" s="193">
        <f t="shared" si="12"/>
        <v>2</v>
      </c>
    </row>
    <row r="57" spans="2:54" ht="10.5" customHeight="1" x14ac:dyDescent="0.25">
      <c r="B57" s="7" t="str">
        <f t="shared" si="5"/>
        <v/>
      </c>
      <c r="C57" s="4"/>
      <c r="D57" s="4"/>
      <c r="E57" s="4"/>
      <c r="F57" s="350" t="str">
        <f>IF('תנאי סף'!AO57&lt;&gt;1,"",'תנאי סף'!F57)</f>
        <v/>
      </c>
      <c r="G57" s="7" t="str">
        <f>IF($F57="","",'תנאי סף'!AA57)</f>
        <v/>
      </c>
      <c r="H57" s="7" t="str">
        <f>IF($F57="","",IFERROR('תנאי סף'!O57,$AB$1))</f>
        <v/>
      </c>
      <c r="I57" s="7"/>
      <c r="J57" s="7"/>
      <c r="K57" s="7"/>
      <c r="L57" s="7"/>
      <c r="M57" s="7"/>
      <c r="N57" s="7"/>
      <c r="O57" s="7"/>
      <c r="P57" s="8"/>
      <c r="Q57" s="8"/>
      <c r="R57" s="8"/>
      <c r="S57" s="8"/>
      <c r="T57" s="8"/>
      <c r="U57" s="8" t="str">
        <f t="shared" si="6"/>
        <v/>
      </c>
      <c r="V57" s="8">
        <v>1</v>
      </c>
      <c r="W57" s="8" t="str">
        <f t="shared" si="7"/>
        <v/>
      </c>
      <c r="X57" s="8">
        <v>1</v>
      </c>
      <c r="Y57" s="8" t="str">
        <f t="shared" si="8"/>
        <v/>
      </c>
      <c r="Z57" s="140" t="str">
        <f t="shared" si="9"/>
        <v/>
      </c>
      <c r="AA57" s="193">
        <f t="shared" si="10"/>
        <v>1</v>
      </c>
      <c r="AB57" s="193" t="str">
        <f t="shared" si="11"/>
        <v/>
      </c>
      <c r="AC57" s="193" t="str">
        <f t="shared" si="11"/>
        <v/>
      </c>
      <c r="AE57" s="192"/>
      <c r="AI57" s="192"/>
      <c r="AJ57" s="192"/>
      <c r="AK57" s="192"/>
      <c r="BA57" s="193" t="str">
        <f t="shared" si="12"/>
        <v/>
      </c>
      <c r="BB57" s="193" t="str">
        <f t="shared" si="12"/>
        <v/>
      </c>
    </row>
    <row r="58" spans="2:54" ht="24.75" customHeight="1" x14ac:dyDescent="0.25">
      <c r="B58" s="7">
        <f t="shared" si="5"/>
        <v>28</v>
      </c>
      <c r="C58" s="4"/>
      <c r="D58" s="4"/>
      <c r="E58" s="4"/>
      <c r="F58" s="350" t="str">
        <f>IF('תנאי סף'!AO58&lt;&gt;1,"",'תנאי סף'!F58)</f>
        <v>תמיכה שותפת- קבוצת מוסיקה נובה</v>
      </c>
      <c r="G58" s="7">
        <f>IF($F58="","",'תנאי סף'!AA58)</f>
        <v>252430</v>
      </c>
      <c r="H58" s="7">
        <f>IF($F58="","",IFERROR('תנאי סף'!O58,$AB$1))</f>
        <v>14</v>
      </c>
      <c r="I58" s="7"/>
      <c r="J58" s="7"/>
      <c r="K58" s="7"/>
      <c r="L58" s="7"/>
      <c r="M58" s="7"/>
      <c r="N58" s="7"/>
      <c r="O58" s="7"/>
      <c r="P58" s="8"/>
      <c r="Q58" s="8"/>
      <c r="R58" s="8"/>
      <c r="S58" s="8"/>
      <c r="T58" s="8"/>
      <c r="U58" s="8" t="str">
        <f t="shared" si="6"/>
        <v>גדולה</v>
      </c>
      <c r="V58" s="8">
        <v>1</v>
      </c>
      <c r="W58" s="8" t="str">
        <f t="shared" si="7"/>
        <v>בדוק נתוני הזנה</v>
      </c>
      <c r="X58" s="8">
        <v>1</v>
      </c>
      <c r="Y58" s="8" t="str">
        <f t="shared" si="8"/>
        <v>בדוק נתוני הזנה</v>
      </c>
      <c r="Z58" s="140">
        <f t="shared" si="9"/>
        <v>1</v>
      </c>
      <c r="AA58" s="193">
        <f t="shared" si="10"/>
        <v>1</v>
      </c>
      <c r="AB58" s="193">
        <f t="shared" si="11"/>
        <v>0</v>
      </c>
      <c r="AC58" s="193">
        <f t="shared" si="11"/>
        <v>1</v>
      </c>
      <c r="AE58" s="192"/>
      <c r="AI58" s="192"/>
      <c r="AJ58" s="192"/>
      <c r="AK58" s="192"/>
      <c r="BA58" s="193">
        <f t="shared" si="12"/>
        <v>1</v>
      </c>
      <c r="BB58" s="193">
        <f t="shared" si="12"/>
        <v>2</v>
      </c>
    </row>
    <row r="59" spans="2:54" ht="10.5" customHeight="1" x14ac:dyDescent="0.25">
      <c r="B59" s="7" t="str">
        <f t="shared" si="5"/>
        <v/>
      </c>
      <c r="C59" s="4"/>
      <c r="D59" s="4"/>
      <c r="E59" s="4"/>
      <c r="F59" s="350" t="str">
        <f>IF('תנאי סף'!AO59&lt;&gt;1,"",'תנאי סף'!F59)</f>
        <v/>
      </c>
      <c r="G59" s="7" t="str">
        <f>IF($F59="","",'תנאי סף'!AA59)</f>
        <v/>
      </c>
      <c r="H59" s="7" t="str">
        <f>IF($F59="","",IFERROR('תנאי סף'!O59,$AB$1))</f>
        <v/>
      </c>
      <c r="I59" s="7"/>
      <c r="J59" s="7"/>
      <c r="K59" s="7"/>
      <c r="L59" s="7"/>
      <c r="M59" s="7"/>
      <c r="N59" s="7"/>
      <c r="O59" s="7"/>
      <c r="P59" s="8"/>
      <c r="Q59" s="8"/>
      <c r="R59" s="8"/>
      <c r="S59" s="8"/>
      <c r="T59" s="8"/>
      <c r="U59" s="8" t="str">
        <f t="shared" si="6"/>
        <v/>
      </c>
      <c r="V59" s="8">
        <v>1</v>
      </c>
      <c r="W59" s="8" t="str">
        <f t="shared" si="7"/>
        <v/>
      </c>
      <c r="X59" s="8">
        <v>1</v>
      </c>
      <c r="Y59" s="8" t="str">
        <f t="shared" si="8"/>
        <v/>
      </c>
      <c r="Z59" s="140" t="str">
        <f t="shared" si="9"/>
        <v/>
      </c>
      <c r="AA59" s="193">
        <f t="shared" si="10"/>
        <v>1</v>
      </c>
      <c r="AB59" s="193" t="str">
        <f t="shared" si="11"/>
        <v/>
      </c>
      <c r="AC59" s="193" t="str">
        <f t="shared" si="11"/>
        <v/>
      </c>
      <c r="AE59" s="192"/>
      <c r="AI59" s="192"/>
      <c r="AJ59" s="192"/>
      <c r="AK59" s="192"/>
      <c r="BA59" s="193" t="str">
        <f t="shared" si="12"/>
        <v/>
      </c>
      <c r="BB59" s="193" t="str">
        <f t="shared" si="12"/>
        <v/>
      </c>
    </row>
    <row r="60" spans="2:54" ht="10.5" customHeight="1" x14ac:dyDescent="0.25">
      <c r="B60" s="7" t="str">
        <f t="shared" si="5"/>
        <v/>
      </c>
      <c r="C60" s="4"/>
      <c r="D60" s="4"/>
      <c r="E60" s="4"/>
      <c r="F60" s="350" t="str">
        <f>IF('תנאי סף'!AO60&lt;&gt;1,"",'תנאי סף'!F60)</f>
        <v/>
      </c>
      <c r="G60" s="7" t="str">
        <f>IF($F60="","",'תנאי סף'!AA60)</f>
        <v/>
      </c>
      <c r="H60" s="7" t="str">
        <f>IF($F60="","",IFERROR('תנאי סף'!O60,$AB$1))</f>
        <v/>
      </c>
      <c r="I60" s="7"/>
      <c r="J60" s="7"/>
      <c r="K60" s="7"/>
      <c r="L60" s="7"/>
      <c r="M60" s="7"/>
      <c r="N60" s="7"/>
      <c r="O60" s="7"/>
      <c r="P60" s="8"/>
      <c r="Q60" s="8"/>
      <c r="R60" s="8"/>
      <c r="S60" s="8"/>
      <c r="T60" s="8"/>
      <c r="U60" s="8" t="str">
        <f t="shared" si="6"/>
        <v/>
      </c>
      <c r="V60" s="8">
        <v>1</v>
      </c>
      <c r="W60" s="8" t="str">
        <f t="shared" si="7"/>
        <v/>
      </c>
      <c r="X60" s="8">
        <v>1</v>
      </c>
      <c r="Y60" s="8" t="str">
        <f t="shared" si="8"/>
        <v/>
      </c>
      <c r="Z60" s="140" t="str">
        <f t="shared" si="9"/>
        <v/>
      </c>
      <c r="AA60" s="193">
        <f t="shared" si="10"/>
        <v>1</v>
      </c>
      <c r="AB60" s="193" t="str">
        <f t="shared" si="11"/>
        <v/>
      </c>
      <c r="AC60" s="193" t="str">
        <f t="shared" si="11"/>
        <v/>
      </c>
      <c r="AE60" s="192"/>
      <c r="AI60" s="192"/>
      <c r="AJ60" s="192"/>
      <c r="AK60" s="192"/>
      <c r="BA60" s="193" t="str">
        <f t="shared" si="12"/>
        <v/>
      </c>
      <c r="BB60" s="193" t="str">
        <f t="shared" si="12"/>
        <v/>
      </c>
    </row>
    <row r="61" spans="2:54" ht="10.5" customHeight="1" x14ac:dyDescent="0.25">
      <c r="B61" s="7" t="str">
        <f t="shared" si="5"/>
        <v/>
      </c>
      <c r="C61" s="4"/>
      <c r="D61" s="4"/>
      <c r="E61" s="4"/>
      <c r="F61" s="350" t="str">
        <f>IF('תנאי סף'!AO61&lt;&gt;1,"",'תנאי סף'!F61)</f>
        <v/>
      </c>
      <c r="G61" s="7" t="str">
        <f>IF($F61="","",'תנאי סף'!AA61)</f>
        <v/>
      </c>
      <c r="H61" s="7" t="str">
        <f>IF($F61="","",IFERROR('תנאי סף'!O61,$AB$1))</f>
        <v/>
      </c>
      <c r="I61" s="7"/>
      <c r="J61" s="7"/>
      <c r="K61" s="7"/>
      <c r="L61" s="7"/>
      <c r="M61" s="7"/>
      <c r="N61" s="7"/>
      <c r="O61" s="7"/>
      <c r="P61" s="8"/>
      <c r="Q61" s="8"/>
      <c r="R61" s="8"/>
      <c r="S61" s="8"/>
      <c r="T61" s="8"/>
      <c r="U61" s="8" t="str">
        <f t="shared" si="6"/>
        <v/>
      </c>
      <c r="V61" s="8">
        <v>1</v>
      </c>
      <c r="W61" s="8" t="str">
        <f t="shared" si="7"/>
        <v/>
      </c>
      <c r="X61" s="8">
        <v>1</v>
      </c>
      <c r="Y61" s="8" t="str">
        <f t="shared" si="8"/>
        <v/>
      </c>
      <c r="Z61" s="140" t="str">
        <f t="shared" si="9"/>
        <v/>
      </c>
      <c r="AA61" s="193">
        <f t="shared" si="10"/>
        <v>1</v>
      </c>
      <c r="AB61" s="193" t="str">
        <f t="shared" si="11"/>
        <v/>
      </c>
      <c r="AC61" s="193" t="str">
        <f t="shared" si="11"/>
        <v/>
      </c>
      <c r="AE61" s="192"/>
      <c r="AI61" s="192"/>
      <c r="AJ61" s="192"/>
      <c r="AK61" s="192"/>
      <c r="BA61" s="193" t="str">
        <f t="shared" si="12"/>
        <v/>
      </c>
      <c r="BB61" s="193" t="str">
        <f t="shared" si="12"/>
        <v/>
      </c>
    </row>
    <row r="62" spans="2:54" ht="10.5" customHeight="1" x14ac:dyDescent="0.25">
      <c r="B62" s="7" t="str">
        <f t="shared" si="5"/>
        <v/>
      </c>
      <c r="C62" s="4"/>
      <c r="D62" s="4"/>
      <c r="E62" s="4"/>
      <c r="F62" s="350" t="str">
        <f>IF('תנאי סף'!AO62&lt;&gt;1,"",'תנאי סף'!F62)</f>
        <v/>
      </c>
      <c r="G62" s="7" t="str">
        <f>IF($F62="","",'תנאי סף'!AA62)</f>
        <v/>
      </c>
      <c r="H62" s="7" t="str">
        <f>IF($F62="","",IFERROR('תנאי סף'!O62,$AB$1))</f>
        <v/>
      </c>
      <c r="I62" s="7"/>
      <c r="J62" s="7"/>
      <c r="K62" s="7"/>
      <c r="L62" s="7"/>
      <c r="M62" s="7"/>
      <c r="N62" s="7"/>
      <c r="O62" s="7"/>
      <c r="P62" s="8"/>
      <c r="Q62" s="8"/>
      <c r="R62" s="8"/>
      <c r="S62" s="8"/>
      <c r="T62" s="8"/>
      <c r="U62" s="8" t="str">
        <f t="shared" si="6"/>
        <v/>
      </c>
      <c r="V62" s="8">
        <v>1</v>
      </c>
      <c r="W62" s="8" t="str">
        <f t="shared" si="7"/>
        <v/>
      </c>
      <c r="X62" s="8">
        <v>1</v>
      </c>
      <c r="Y62" s="8" t="str">
        <f t="shared" si="8"/>
        <v/>
      </c>
      <c r="Z62" s="140" t="str">
        <f t="shared" si="9"/>
        <v/>
      </c>
      <c r="AA62" s="193">
        <f t="shared" si="10"/>
        <v>1</v>
      </c>
      <c r="AB62" s="193" t="str">
        <f t="shared" si="11"/>
        <v/>
      </c>
      <c r="AC62" s="193" t="str">
        <f t="shared" si="11"/>
        <v/>
      </c>
      <c r="AE62" s="192"/>
      <c r="AI62" s="192"/>
      <c r="AJ62" s="192"/>
      <c r="AK62" s="192"/>
      <c r="BA62" s="193" t="str">
        <f t="shared" si="12"/>
        <v/>
      </c>
      <c r="BB62" s="193" t="str">
        <f t="shared" si="12"/>
        <v/>
      </c>
    </row>
    <row r="63" spans="2:54" ht="10.5" customHeight="1" x14ac:dyDescent="0.25">
      <c r="B63" s="7" t="str">
        <f t="shared" si="5"/>
        <v/>
      </c>
      <c r="C63" s="4"/>
      <c r="D63" s="4"/>
      <c r="E63" s="4"/>
      <c r="F63" s="350" t="str">
        <f>IF('תנאי סף'!AO63&lt;&gt;1,"",'תנאי סף'!F63)</f>
        <v/>
      </c>
      <c r="G63" s="7" t="str">
        <f>IF($F63="","",'תנאי סף'!AA63)</f>
        <v/>
      </c>
      <c r="H63" s="7" t="str">
        <f>IF($F63="","",IFERROR('תנאי סף'!O63,$AB$1))</f>
        <v/>
      </c>
      <c r="I63" s="7"/>
      <c r="J63" s="7"/>
      <c r="K63" s="7"/>
      <c r="L63" s="7"/>
      <c r="M63" s="7"/>
      <c r="N63" s="7"/>
      <c r="O63" s="7"/>
      <c r="P63" s="8"/>
      <c r="Q63" s="8"/>
      <c r="R63" s="8"/>
      <c r="S63" s="8"/>
      <c r="T63" s="8"/>
      <c r="U63" s="8" t="str">
        <f t="shared" si="6"/>
        <v/>
      </c>
      <c r="V63" s="8">
        <v>1</v>
      </c>
      <c r="W63" s="8" t="str">
        <f t="shared" si="7"/>
        <v/>
      </c>
      <c r="X63" s="8">
        <v>1</v>
      </c>
      <c r="Y63" s="8" t="str">
        <f t="shared" si="8"/>
        <v/>
      </c>
      <c r="Z63" s="140" t="str">
        <f t="shared" si="9"/>
        <v/>
      </c>
      <c r="AA63" s="193">
        <f t="shared" si="10"/>
        <v>1</v>
      </c>
      <c r="AB63" s="193" t="str">
        <f t="shared" si="11"/>
        <v/>
      </c>
      <c r="AC63" s="193" t="str">
        <f t="shared" si="11"/>
        <v/>
      </c>
      <c r="AE63" s="192"/>
      <c r="AI63" s="192"/>
      <c r="AJ63" s="192"/>
      <c r="AK63" s="192"/>
      <c r="BA63" s="193" t="str">
        <f t="shared" si="12"/>
        <v/>
      </c>
      <c r="BB63" s="193" t="str">
        <f t="shared" si="12"/>
        <v/>
      </c>
    </row>
    <row r="64" spans="2:54" ht="10.5" customHeight="1" x14ac:dyDescent="0.25">
      <c r="B64" s="7" t="str">
        <f t="shared" si="5"/>
        <v/>
      </c>
      <c r="C64" s="4"/>
      <c r="D64" s="4"/>
      <c r="E64" s="4"/>
      <c r="F64" s="350" t="str">
        <f>IF('תנאי סף'!AO64&lt;&gt;1,"",'תנאי סף'!F64)</f>
        <v/>
      </c>
      <c r="G64" s="7" t="str">
        <f>IF($F64="","",'תנאי סף'!AA64)</f>
        <v/>
      </c>
      <c r="H64" s="7" t="str">
        <f>IF($F64="","",IFERROR('תנאי סף'!O64,$AB$1))</f>
        <v/>
      </c>
      <c r="I64" s="7"/>
      <c r="J64" s="7"/>
      <c r="K64" s="7"/>
      <c r="L64" s="7"/>
      <c r="M64" s="7"/>
      <c r="N64" s="7"/>
      <c r="O64" s="7"/>
      <c r="P64" s="8"/>
      <c r="Q64" s="8"/>
      <c r="R64" s="8"/>
      <c r="S64" s="8"/>
      <c r="T64" s="8"/>
      <c r="U64" s="8" t="str">
        <f t="shared" si="6"/>
        <v/>
      </c>
      <c r="V64" s="8">
        <v>1</v>
      </c>
      <c r="W64" s="8" t="str">
        <f t="shared" si="7"/>
        <v/>
      </c>
      <c r="X64" s="8">
        <v>1</v>
      </c>
      <c r="Y64" s="8" t="str">
        <f t="shared" si="8"/>
        <v/>
      </c>
      <c r="Z64" s="140" t="str">
        <f t="shared" si="9"/>
        <v/>
      </c>
      <c r="AA64" s="193">
        <f t="shared" si="10"/>
        <v>1</v>
      </c>
      <c r="AB64" s="193" t="str">
        <f t="shared" ref="AB64:AC130" si="13">IF($F64="","",AB$30)</f>
        <v/>
      </c>
      <c r="AC64" s="193" t="str">
        <f t="shared" si="13"/>
        <v/>
      </c>
      <c r="AE64" s="192"/>
      <c r="AI64" s="192"/>
      <c r="AJ64" s="192"/>
      <c r="AK64" s="192"/>
      <c r="BA64" s="193" t="str">
        <f t="shared" ref="BA64:BB130" si="14">IF($F64="","",BA$30)</f>
        <v/>
      </c>
      <c r="BB64" s="193" t="str">
        <f t="shared" si="14"/>
        <v/>
      </c>
    </row>
    <row r="65" spans="2:54" ht="24.75" customHeight="1" x14ac:dyDescent="0.25">
      <c r="B65" s="7">
        <f t="shared" si="5"/>
        <v>35</v>
      </c>
      <c r="C65" s="4"/>
      <c r="D65" s="4"/>
      <c r="E65" s="4"/>
      <c r="F65" s="350" t="str">
        <f>IF('תנאי סף'!AO65&lt;&gt;1,"",'תנאי סף'!F65)</f>
        <v>אנסמבל מיתר</v>
      </c>
      <c r="G65" s="7">
        <f>IF($F65="","",'תנאי סף'!AA65)</f>
        <v>552727</v>
      </c>
      <c r="H65" s="7">
        <f>IF($F65="","",IFERROR('תנאי סף'!O65,$AB$1))</f>
        <v>40</v>
      </c>
      <c r="I65" s="7"/>
      <c r="J65" s="7"/>
      <c r="K65" s="7"/>
      <c r="L65" s="7"/>
      <c r="M65" s="7"/>
      <c r="N65" s="7"/>
      <c r="O65" s="7"/>
      <c r="P65" s="8"/>
      <c r="Q65" s="8"/>
      <c r="R65" s="8"/>
      <c r="S65" s="8"/>
      <c r="T65" s="8"/>
      <c r="U65" s="8" t="str">
        <f t="shared" si="6"/>
        <v>גדולה</v>
      </c>
      <c r="V65" s="8">
        <v>1</v>
      </c>
      <c r="W65" s="8" t="str">
        <f t="shared" si="7"/>
        <v>בדוק נתוני הזנה</v>
      </c>
      <c r="X65" s="8">
        <v>1</v>
      </c>
      <c r="Y65" s="8" t="str">
        <f t="shared" si="8"/>
        <v>בדוק נתוני הזנה</v>
      </c>
      <c r="Z65" s="140">
        <f t="shared" si="9"/>
        <v>1</v>
      </c>
      <c r="AA65" s="193">
        <f t="shared" si="10"/>
        <v>1</v>
      </c>
      <c r="AB65" s="193">
        <f t="shared" si="13"/>
        <v>0</v>
      </c>
      <c r="AC65" s="193">
        <f t="shared" si="13"/>
        <v>1</v>
      </c>
      <c r="AE65" s="192"/>
      <c r="AI65" s="192"/>
      <c r="AJ65" s="192"/>
      <c r="AK65" s="192"/>
      <c r="BA65" s="193">
        <f t="shared" si="14"/>
        <v>1</v>
      </c>
      <c r="BB65" s="193">
        <f t="shared" si="14"/>
        <v>2</v>
      </c>
    </row>
    <row r="66" spans="2:54" ht="11.25" customHeight="1" x14ac:dyDescent="0.25">
      <c r="B66" s="7" t="str">
        <f t="shared" si="5"/>
        <v/>
      </c>
      <c r="C66" s="4"/>
      <c r="D66" s="4"/>
      <c r="E66" s="4"/>
      <c r="F66" s="350" t="str">
        <f>IF('תנאי סף'!AO66&lt;&gt;1,"",'תנאי סף'!F66)</f>
        <v/>
      </c>
      <c r="G66" s="7" t="str">
        <f>IF($F66="","",'תנאי סף'!AA66)</f>
        <v/>
      </c>
      <c r="H66" s="7" t="str">
        <f>IF($F66="","",IFERROR('תנאי סף'!O66,$AB$1))</f>
        <v/>
      </c>
      <c r="I66" s="7"/>
      <c r="J66" s="7"/>
      <c r="K66" s="7"/>
      <c r="L66" s="7"/>
      <c r="M66" s="7"/>
      <c r="N66" s="7"/>
      <c r="O66" s="7"/>
      <c r="P66" s="8"/>
      <c r="Q66" s="8"/>
      <c r="R66" s="8"/>
      <c r="S66" s="8"/>
      <c r="T66" s="8"/>
      <c r="U66" s="8" t="str">
        <f t="shared" si="6"/>
        <v/>
      </c>
      <c r="V66" s="8">
        <v>1</v>
      </c>
      <c r="W66" s="8" t="str">
        <f t="shared" si="7"/>
        <v/>
      </c>
      <c r="X66" s="8">
        <v>1</v>
      </c>
      <c r="Y66" s="8" t="str">
        <f t="shared" si="8"/>
        <v/>
      </c>
      <c r="Z66" s="140" t="str">
        <f t="shared" si="9"/>
        <v/>
      </c>
      <c r="AA66" s="193">
        <f t="shared" si="10"/>
        <v>1</v>
      </c>
      <c r="AB66" s="193" t="str">
        <f t="shared" si="13"/>
        <v/>
      </c>
      <c r="AC66" s="193" t="str">
        <f t="shared" si="13"/>
        <v/>
      </c>
      <c r="AE66" s="192"/>
      <c r="AI66" s="192"/>
      <c r="AJ66" s="192"/>
      <c r="AK66" s="192"/>
      <c r="BA66" s="193" t="str">
        <f t="shared" si="14"/>
        <v/>
      </c>
      <c r="BB66" s="193" t="str">
        <f t="shared" si="14"/>
        <v/>
      </c>
    </row>
    <row r="67" spans="2:54" ht="28.5" customHeight="1" x14ac:dyDescent="0.25">
      <c r="B67" s="7">
        <f t="shared" si="5"/>
        <v>37</v>
      </c>
      <c r="C67" s="4"/>
      <c r="D67" s="4"/>
      <c r="E67" s="4"/>
      <c r="F67" s="350" t="str">
        <f>IF('תנאי סף'!AO67&lt;&gt;1,"",'תנאי סף'!F67)</f>
        <v>אנסמבל ארז נטף</v>
      </c>
      <c r="G67" s="7">
        <f>IF($F67="","",'תנאי סף'!AA67)</f>
        <v>562957</v>
      </c>
      <c r="H67" s="7">
        <f>IF($F67="","",IFERROR('תנאי סף'!O67,$AB$1))</f>
        <v>15</v>
      </c>
      <c r="I67" s="7"/>
      <c r="J67" s="7"/>
      <c r="K67" s="7"/>
      <c r="L67" s="7"/>
      <c r="M67" s="7"/>
      <c r="N67" s="7"/>
      <c r="O67" s="7"/>
      <c r="P67" s="8"/>
      <c r="Q67" s="8"/>
      <c r="R67" s="8"/>
      <c r="S67" s="8"/>
      <c r="T67" s="8"/>
      <c r="U67" s="8" t="str">
        <f t="shared" si="6"/>
        <v>גדולה</v>
      </c>
      <c r="V67" s="8">
        <v>1</v>
      </c>
      <c r="W67" s="8" t="str">
        <f t="shared" si="7"/>
        <v>בדוק נתוני הזנה</v>
      </c>
      <c r="X67" s="8">
        <v>1</v>
      </c>
      <c r="Y67" s="8" t="str">
        <f t="shared" si="8"/>
        <v>בדוק נתוני הזנה</v>
      </c>
      <c r="Z67" s="140">
        <f t="shared" si="9"/>
        <v>1</v>
      </c>
      <c r="AA67" s="193">
        <f t="shared" si="10"/>
        <v>1</v>
      </c>
      <c r="AB67" s="193">
        <f t="shared" si="13"/>
        <v>0</v>
      </c>
      <c r="AC67" s="193">
        <f t="shared" si="13"/>
        <v>1</v>
      </c>
      <c r="AE67" s="192"/>
      <c r="AI67" s="192"/>
      <c r="AJ67" s="192"/>
      <c r="AK67" s="192"/>
      <c r="BA67" s="193">
        <f t="shared" si="14"/>
        <v>1</v>
      </c>
      <c r="BB67" s="193">
        <f t="shared" si="14"/>
        <v>2</v>
      </c>
    </row>
    <row r="68" spans="2:54" ht="9" customHeight="1" x14ac:dyDescent="0.25">
      <c r="B68" s="7" t="str">
        <f t="shared" si="5"/>
        <v/>
      </c>
      <c r="C68" s="4"/>
      <c r="D68" s="4"/>
      <c r="E68" s="4"/>
      <c r="F68" s="350" t="str">
        <f>IF('תנאי סף'!AO68&lt;&gt;1,"",'תנאי סף'!F68)</f>
        <v/>
      </c>
      <c r="G68" s="7" t="str">
        <f>IF($F68="","",'תנאי סף'!AA68)</f>
        <v/>
      </c>
      <c r="H68" s="7" t="str">
        <f>IF($F68="","",IFERROR('תנאי סף'!O68,$AB$1))</f>
        <v/>
      </c>
      <c r="I68" s="7"/>
      <c r="J68" s="7"/>
      <c r="K68" s="7"/>
      <c r="L68" s="7"/>
      <c r="M68" s="7"/>
      <c r="N68" s="7"/>
      <c r="O68" s="7"/>
      <c r="P68" s="8"/>
      <c r="Q68" s="8"/>
      <c r="R68" s="8"/>
      <c r="S68" s="8"/>
      <c r="T68" s="8"/>
      <c r="U68" s="8" t="str">
        <f t="shared" si="6"/>
        <v/>
      </c>
      <c r="V68" s="8">
        <v>1</v>
      </c>
      <c r="W68" s="8" t="str">
        <f t="shared" si="7"/>
        <v/>
      </c>
      <c r="X68" s="8">
        <v>1</v>
      </c>
      <c r="Y68" s="8" t="str">
        <f t="shared" si="8"/>
        <v/>
      </c>
      <c r="Z68" s="140" t="str">
        <f t="shared" si="9"/>
        <v/>
      </c>
      <c r="AA68" s="193">
        <f t="shared" si="10"/>
        <v>1</v>
      </c>
      <c r="AB68" s="193" t="str">
        <f t="shared" si="13"/>
        <v/>
      </c>
      <c r="AC68" s="193" t="str">
        <f t="shared" si="13"/>
        <v/>
      </c>
      <c r="AE68" s="192"/>
      <c r="AI68" s="192"/>
      <c r="AJ68" s="192"/>
      <c r="AK68" s="192"/>
      <c r="BA68" s="193" t="str">
        <f t="shared" si="14"/>
        <v/>
      </c>
      <c r="BB68" s="193" t="str">
        <f t="shared" si="14"/>
        <v/>
      </c>
    </row>
    <row r="69" spans="2:54" ht="9" customHeight="1" x14ac:dyDescent="0.25">
      <c r="B69" s="7" t="str">
        <f t="shared" si="5"/>
        <v/>
      </c>
      <c r="C69" s="4"/>
      <c r="D69" s="4"/>
      <c r="E69" s="4"/>
      <c r="F69" s="350" t="str">
        <f>IF('תנאי סף'!AO69&lt;&gt;1,"",'תנאי סף'!F69)</f>
        <v/>
      </c>
      <c r="G69" s="7" t="str">
        <f>IF($F69="","",'תנאי סף'!AA69)</f>
        <v/>
      </c>
      <c r="H69" s="7" t="str">
        <f>IF($F69="","",IFERROR('תנאי סף'!O69,$AB$1))</f>
        <v/>
      </c>
      <c r="I69" s="7"/>
      <c r="J69" s="7"/>
      <c r="K69" s="7"/>
      <c r="L69" s="7"/>
      <c r="M69" s="7"/>
      <c r="N69" s="7"/>
      <c r="O69" s="7"/>
      <c r="P69" s="8"/>
      <c r="Q69" s="8"/>
      <c r="R69" s="8"/>
      <c r="S69" s="8"/>
      <c r="T69" s="8"/>
      <c r="U69" s="8" t="str">
        <f t="shared" si="6"/>
        <v/>
      </c>
      <c r="V69" s="8">
        <v>1</v>
      </c>
      <c r="W69" s="8" t="str">
        <f t="shared" si="7"/>
        <v/>
      </c>
      <c r="X69" s="8">
        <v>1</v>
      </c>
      <c r="Y69" s="8" t="str">
        <f t="shared" si="8"/>
        <v/>
      </c>
      <c r="Z69" s="140" t="str">
        <f t="shared" si="9"/>
        <v/>
      </c>
      <c r="AA69" s="193">
        <f t="shared" si="10"/>
        <v>1</v>
      </c>
      <c r="AB69" s="193" t="str">
        <f t="shared" si="13"/>
        <v/>
      </c>
      <c r="AC69" s="193" t="str">
        <f t="shared" si="13"/>
        <v/>
      </c>
      <c r="AE69" s="192"/>
      <c r="AI69" s="192"/>
      <c r="AJ69" s="192"/>
      <c r="AK69" s="192"/>
      <c r="BA69" s="193" t="str">
        <f t="shared" si="14"/>
        <v/>
      </c>
      <c r="BB69" s="193" t="str">
        <f t="shared" si="14"/>
        <v/>
      </c>
    </row>
    <row r="70" spans="2:54" ht="22.5" customHeight="1" x14ac:dyDescent="0.25">
      <c r="B70" s="7">
        <f t="shared" si="5"/>
        <v>40</v>
      </c>
      <c r="C70" s="4"/>
      <c r="D70" s="4"/>
      <c r="E70" s="4"/>
      <c r="F70" s="350" t="str">
        <f>IF('תנאי סף'!AO70&lt;&gt;1,"",'תנאי סף'!F70)</f>
        <v>תו המשווה (ע"ר)</v>
      </c>
      <c r="G70" s="7">
        <f>IF($F70="","",'תנאי סף'!AA70)</f>
        <v>258086</v>
      </c>
      <c r="H70" s="7">
        <f>IF($F70="","",IFERROR('תנאי סף'!O70,$AB$1))</f>
        <v>43</v>
      </c>
      <c r="I70" s="7"/>
      <c r="J70" s="7"/>
      <c r="K70" s="7"/>
      <c r="L70" s="7"/>
      <c r="M70" s="7"/>
      <c r="N70" s="7"/>
      <c r="O70" s="7"/>
      <c r="P70" s="8"/>
      <c r="Q70" s="8"/>
      <c r="R70" s="8"/>
      <c r="S70" s="8"/>
      <c r="T70" s="8"/>
      <c r="U70" s="8" t="str">
        <f t="shared" si="6"/>
        <v>גדולה</v>
      </c>
      <c r="V70" s="8">
        <v>1</v>
      </c>
      <c r="W70" s="8" t="str">
        <f t="shared" si="7"/>
        <v>בדוק נתוני הזנה</v>
      </c>
      <c r="X70" s="8">
        <v>1</v>
      </c>
      <c r="Y70" s="8" t="str">
        <f t="shared" si="8"/>
        <v>בדוק נתוני הזנה</v>
      </c>
      <c r="Z70" s="140">
        <f t="shared" si="9"/>
        <v>1</v>
      </c>
      <c r="AA70" s="193">
        <f t="shared" si="10"/>
        <v>1</v>
      </c>
      <c r="AB70" s="193">
        <f t="shared" si="13"/>
        <v>0</v>
      </c>
      <c r="AC70" s="193">
        <f t="shared" si="13"/>
        <v>1</v>
      </c>
      <c r="AE70" s="192"/>
      <c r="AI70" s="192"/>
      <c r="AJ70" s="192"/>
      <c r="AK70" s="192"/>
      <c r="BA70" s="193">
        <f t="shared" si="14"/>
        <v>1</v>
      </c>
      <c r="BB70" s="193">
        <f t="shared" si="14"/>
        <v>2</v>
      </c>
    </row>
    <row r="71" spans="2:54" ht="8.25" customHeight="1" x14ac:dyDescent="0.25">
      <c r="B71" s="7" t="str">
        <f t="shared" si="5"/>
        <v/>
      </c>
      <c r="C71" s="4"/>
      <c r="D71" s="4"/>
      <c r="E71" s="4"/>
      <c r="F71" s="230" t="str">
        <f>IF('תנאי סף'!AO71&lt;&gt;1,"",'תנאי סף'!F71)</f>
        <v/>
      </c>
      <c r="G71" s="7" t="str">
        <f>IF($F71="","",'תנאי סף'!AA71)</f>
        <v/>
      </c>
      <c r="H71" s="7" t="str">
        <f>IF($F71="","",IFERROR('תנאי סף'!O71,$AB$1))</f>
        <v/>
      </c>
      <c r="I71" s="7"/>
      <c r="J71" s="7"/>
      <c r="K71" s="7"/>
      <c r="L71" s="7"/>
      <c r="M71" s="7"/>
      <c r="N71" s="7"/>
      <c r="O71" s="7"/>
      <c r="P71" s="8"/>
      <c r="Q71" s="8"/>
      <c r="R71" s="8"/>
      <c r="S71" s="8"/>
      <c r="T71" s="8"/>
      <c r="U71" s="8" t="str">
        <f t="shared" si="6"/>
        <v/>
      </c>
      <c r="V71" s="8">
        <v>1</v>
      </c>
      <c r="W71" s="8" t="str">
        <f t="shared" si="7"/>
        <v/>
      </c>
      <c r="X71" s="8">
        <v>1</v>
      </c>
      <c r="Y71" s="8" t="str">
        <f t="shared" si="8"/>
        <v/>
      </c>
      <c r="Z71" s="140" t="str">
        <f t="shared" si="9"/>
        <v/>
      </c>
      <c r="AA71" s="193">
        <f t="shared" si="10"/>
        <v>1</v>
      </c>
      <c r="AB71" s="193" t="str">
        <f t="shared" si="13"/>
        <v/>
      </c>
      <c r="AC71" s="193" t="str">
        <f t="shared" si="13"/>
        <v/>
      </c>
      <c r="AE71" s="192"/>
      <c r="AI71" s="192"/>
      <c r="AJ71" s="192"/>
      <c r="AK71" s="192"/>
      <c r="BA71" s="193" t="str">
        <f t="shared" si="14"/>
        <v/>
      </c>
      <c r="BB71" s="193" t="str">
        <f t="shared" si="14"/>
        <v/>
      </c>
    </row>
    <row r="72" spans="2:54" ht="8.25" customHeight="1" x14ac:dyDescent="0.25">
      <c r="B72" s="7" t="str">
        <f t="shared" si="5"/>
        <v/>
      </c>
      <c r="C72" s="4"/>
      <c r="D72" s="4"/>
      <c r="E72" s="4"/>
      <c r="F72" s="230" t="str">
        <f>IF('תנאי סף'!AO72&lt;&gt;1,"",'תנאי סף'!F72)</f>
        <v/>
      </c>
      <c r="G72" s="7" t="str">
        <f>IF($F72="","",'תנאי סף'!AA72)</f>
        <v/>
      </c>
      <c r="H72" s="7" t="str">
        <f>IF($F72="","",IFERROR('תנאי סף'!O72,$AB$1))</f>
        <v/>
      </c>
      <c r="I72" s="7"/>
      <c r="J72" s="7"/>
      <c r="K72" s="7"/>
      <c r="L72" s="7"/>
      <c r="M72" s="7"/>
      <c r="N72" s="7"/>
      <c r="O72" s="7"/>
      <c r="P72" s="8"/>
      <c r="Q72" s="8"/>
      <c r="R72" s="8"/>
      <c r="S72" s="8"/>
      <c r="T72" s="8"/>
      <c r="U72" s="8" t="str">
        <f t="shared" si="6"/>
        <v/>
      </c>
      <c r="V72" s="8">
        <v>1</v>
      </c>
      <c r="W72" s="8" t="str">
        <f t="shared" si="7"/>
        <v/>
      </c>
      <c r="X72" s="8">
        <v>1</v>
      </c>
      <c r="Y72" s="8" t="str">
        <f t="shared" si="8"/>
        <v/>
      </c>
      <c r="Z72" s="140" t="str">
        <f t="shared" si="9"/>
        <v/>
      </c>
      <c r="AA72" s="193">
        <f t="shared" si="10"/>
        <v>1</v>
      </c>
      <c r="AB72" s="193" t="str">
        <f t="shared" si="13"/>
        <v/>
      </c>
      <c r="AC72" s="193" t="str">
        <f t="shared" si="13"/>
        <v/>
      </c>
      <c r="AE72" s="192"/>
      <c r="AI72" s="192"/>
      <c r="AJ72" s="192"/>
      <c r="AK72" s="192"/>
      <c r="BA72" s="193" t="str">
        <f t="shared" si="14"/>
        <v/>
      </c>
      <c r="BB72" s="193" t="str">
        <f t="shared" si="14"/>
        <v/>
      </c>
    </row>
    <row r="73" spans="2:54" ht="28.5" customHeight="1" x14ac:dyDescent="0.25">
      <c r="B73" s="7">
        <f t="shared" si="5"/>
        <v>43</v>
      </c>
      <c r="C73" s="4"/>
      <c r="D73" s="4"/>
      <c r="E73" s="4"/>
      <c r="F73" s="230" t="str">
        <f>IF('תנאי סף'!AO73&lt;&gt;1,"",'תנאי סף'!F73)</f>
        <v>בר קיימא ואקלקוטנטקט</v>
      </c>
      <c r="G73" s="7">
        <f>IF($F73="","",'תנאי סף'!AA73)</f>
        <v>128950</v>
      </c>
      <c r="H73" s="7">
        <f>IF($F73="","",IFERROR('תנאי סף'!O73,$AB$1))</f>
        <v>9</v>
      </c>
      <c r="I73" s="7"/>
      <c r="J73" s="7"/>
      <c r="K73" s="7"/>
      <c r="L73" s="7"/>
      <c r="M73" s="7"/>
      <c r="N73" s="7"/>
      <c r="O73" s="7"/>
      <c r="P73" s="8"/>
      <c r="Q73" s="8"/>
      <c r="R73" s="8"/>
      <c r="S73" s="8"/>
      <c r="T73" s="8"/>
      <c r="U73" s="8" t="str">
        <f t="shared" si="6"/>
        <v>בינונית</v>
      </c>
      <c r="V73" s="8">
        <v>1</v>
      </c>
      <c r="W73" s="8" t="str">
        <f t="shared" si="7"/>
        <v>בדוק נתוני הזנה</v>
      </c>
      <c r="X73" s="8">
        <v>1</v>
      </c>
      <c r="Y73" s="8" t="str">
        <f t="shared" si="8"/>
        <v>בדוק נתוני הזנה</v>
      </c>
      <c r="Z73" s="140">
        <f t="shared" si="9"/>
        <v>0.8</v>
      </c>
      <c r="AA73" s="193">
        <f t="shared" si="10"/>
        <v>1</v>
      </c>
      <c r="AB73" s="193">
        <f t="shared" si="13"/>
        <v>0</v>
      </c>
      <c r="AC73" s="193">
        <f t="shared" si="13"/>
        <v>1</v>
      </c>
      <c r="AE73" s="192"/>
      <c r="AI73" s="192"/>
      <c r="AJ73" s="192"/>
      <c r="AK73" s="192"/>
      <c r="BA73" s="193">
        <f t="shared" si="14"/>
        <v>1</v>
      </c>
      <c r="BB73" s="193">
        <f t="shared" si="14"/>
        <v>2</v>
      </c>
    </row>
    <row r="74" spans="2:54" ht="10.5" customHeight="1" x14ac:dyDescent="0.25">
      <c r="B74" s="7" t="str">
        <f t="shared" si="5"/>
        <v/>
      </c>
      <c r="C74" s="4"/>
      <c r="D74" s="4"/>
      <c r="E74" s="4"/>
      <c r="F74" s="230" t="str">
        <f>IF('תנאי סף'!AO74&lt;&gt;1,"",'תנאי סף'!F74)</f>
        <v/>
      </c>
      <c r="G74" s="7" t="str">
        <f>IF($F74="","",'תנאי סף'!AA74)</f>
        <v/>
      </c>
      <c r="H74" s="7" t="str">
        <f>IF($F74="","",IFERROR('תנאי סף'!O74,$AB$1))</f>
        <v/>
      </c>
      <c r="I74" s="7"/>
      <c r="J74" s="7"/>
      <c r="K74" s="7"/>
      <c r="L74" s="7"/>
      <c r="M74" s="7"/>
      <c r="N74" s="7"/>
      <c r="O74" s="7"/>
      <c r="P74" s="8"/>
      <c r="Q74" s="8"/>
      <c r="R74" s="8"/>
      <c r="S74" s="8"/>
      <c r="T74" s="8"/>
      <c r="U74" s="8" t="str">
        <f t="shared" si="6"/>
        <v/>
      </c>
      <c r="V74" s="8">
        <v>1</v>
      </c>
      <c r="W74" s="8" t="str">
        <f t="shared" si="7"/>
        <v/>
      </c>
      <c r="X74" s="8">
        <v>1</v>
      </c>
      <c r="Y74" s="8" t="str">
        <f t="shared" si="8"/>
        <v/>
      </c>
      <c r="Z74" s="140" t="str">
        <f t="shared" si="9"/>
        <v/>
      </c>
      <c r="AA74" s="193">
        <f t="shared" si="10"/>
        <v>1</v>
      </c>
      <c r="AB74" s="193" t="str">
        <f t="shared" si="13"/>
        <v/>
      </c>
      <c r="AC74" s="193" t="str">
        <f t="shared" si="13"/>
        <v/>
      </c>
      <c r="AE74" s="192"/>
      <c r="AI74" s="192"/>
      <c r="AJ74" s="192"/>
      <c r="AK74" s="192"/>
      <c r="BA74" s="193" t="str">
        <f t="shared" si="14"/>
        <v/>
      </c>
      <c r="BB74" s="193" t="str">
        <f t="shared" si="14"/>
        <v/>
      </c>
    </row>
    <row r="75" spans="2:54" ht="30" customHeight="1" x14ac:dyDescent="0.25">
      <c r="B75" s="7">
        <f t="shared" si="5"/>
        <v>45</v>
      </c>
      <c r="C75" s="4"/>
      <c r="D75" s="4"/>
      <c r="E75" s="4"/>
      <c r="F75" s="230" t="str">
        <f>IF('תנאי סף'!AO75&lt;&gt;1,"",'תנאי סף'!F75)</f>
        <v>אלקאת התזמורת התימנית</v>
      </c>
      <c r="G75" s="7">
        <f>IF($F75="","",'תנאי סף'!AA75)</f>
        <v>179700</v>
      </c>
      <c r="H75" s="7">
        <f>IF($F75="","",IFERROR('תנאי סף'!O75,$AB$1))</f>
        <v>21</v>
      </c>
      <c r="I75" s="7"/>
      <c r="J75" s="7"/>
      <c r="K75" s="7"/>
      <c r="L75" s="7"/>
      <c r="M75" s="7"/>
      <c r="N75" s="7"/>
      <c r="O75" s="7"/>
      <c r="P75" s="8"/>
      <c r="Q75" s="8"/>
      <c r="R75" s="8"/>
      <c r="S75" s="8"/>
      <c r="T75" s="8"/>
      <c r="U75" s="8" t="str">
        <f t="shared" si="6"/>
        <v>גדולה</v>
      </c>
      <c r="V75" s="8">
        <v>1</v>
      </c>
      <c r="W75" s="8" t="str">
        <f t="shared" si="7"/>
        <v>בדוק נתוני הזנה</v>
      </c>
      <c r="X75" s="8">
        <v>1</v>
      </c>
      <c r="Y75" s="8" t="str">
        <f t="shared" si="8"/>
        <v>בדוק נתוני הזנה</v>
      </c>
      <c r="Z75" s="140">
        <f t="shared" si="9"/>
        <v>1</v>
      </c>
      <c r="AA75" s="193">
        <f t="shared" si="10"/>
        <v>1</v>
      </c>
      <c r="AB75" s="193">
        <f t="shared" si="13"/>
        <v>0</v>
      </c>
      <c r="AC75" s="193">
        <f t="shared" si="13"/>
        <v>1</v>
      </c>
      <c r="AE75" s="192"/>
      <c r="AI75" s="192"/>
      <c r="AJ75" s="192"/>
      <c r="AK75" s="192"/>
      <c r="BA75" s="193">
        <f t="shared" si="14"/>
        <v>1</v>
      </c>
      <c r="BB75" s="193">
        <f t="shared" si="14"/>
        <v>2</v>
      </c>
    </row>
    <row r="76" spans="2:54" ht="11.25" customHeight="1" x14ac:dyDescent="0.25">
      <c r="B76" s="7" t="str">
        <f t="shared" si="5"/>
        <v/>
      </c>
      <c r="C76" s="4"/>
      <c r="D76" s="4"/>
      <c r="E76" s="4"/>
      <c r="F76" s="230" t="str">
        <f>IF('תנאי סף'!AO76&lt;&gt;1,"",'תנאי סף'!F76)</f>
        <v/>
      </c>
      <c r="G76" s="7" t="str">
        <f>IF($F76="","",'תנאי סף'!AA76)</f>
        <v/>
      </c>
      <c r="H76" s="7" t="str">
        <f>IF($F76="","",IFERROR('תנאי סף'!O76,$AB$1))</f>
        <v/>
      </c>
      <c r="I76" s="7"/>
      <c r="J76" s="7"/>
      <c r="K76" s="7"/>
      <c r="L76" s="7"/>
      <c r="M76" s="7"/>
      <c r="N76" s="7"/>
      <c r="O76" s="7"/>
      <c r="P76" s="8"/>
      <c r="Q76" s="8"/>
      <c r="R76" s="8"/>
      <c r="S76" s="8"/>
      <c r="T76" s="8"/>
      <c r="U76" s="8" t="str">
        <f t="shared" si="6"/>
        <v/>
      </c>
      <c r="V76" s="8">
        <v>1</v>
      </c>
      <c r="W76" s="8" t="str">
        <f t="shared" si="7"/>
        <v/>
      </c>
      <c r="X76" s="8">
        <v>1</v>
      </c>
      <c r="Y76" s="8" t="str">
        <f t="shared" si="8"/>
        <v/>
      </c>
      <c r="Z76" s="140" t="str">
        <f t="shared" si="9"/>
        <v/>
      </c>
      <c r="AA76" s="193">
        <f t="shared" si="10"/>
        <v>1</v>
      </c>
      <c r="AB76" s="193" t="str">
        <f t="shared" si="13"/>
        <v/>
      </c>
      <c r="AC76" s="193" t="str">
        <f t="shared" si="13"/>
        <v/>
      </c>
      <c r="AE76" s="192"/>
      <c r="AI76" s="192"/>
      <c r="AJ76" s="192"/>
      <c r="AK76" s="192"/>
      <c r="BA76" s="193" t="str">
        <f t="shared" si="14"/>
        <v/>
      </c>
      <c r="BB76" s="193" t="str">
        <f t="shared" si="14"/>
        <v/>
      </c>
    </row>
    <row r="77" spans="2:54" ht="11.25" customHeight="1" x14ac:dyDescent="0.25">
      <c r="B77" s="7" t="str">
        <f t="shared" si="5"/>
        <v/>
      </c>
      <c r="C77" s="4"/>
      <c r="D77" s="4"/>
      <c r="E77" s="4"/>
      <c r="F77" s="230" t="str">
        <f>IF('תנאי סף'!AO77&lt;&gt;1,"",'תנאי סף'!F77)</f>
        <v/>
      </c>
      <c r="G77" s="7" t="str">
        <f>IF($F77="","",'תנאי סף'!AA77)</f>
        <v/>
      </c>
      <c r="H77" s="7" t="str">
        <f>IF($F77="","",IFERROR('תנאי סף'!O77,$AB$1))</f>
        <v/>
      </c>
      <c r="I77" s="7"/>
      <c r="J77" s="7"/>
      <c r="K77" s="7"/>
      <c r="L77" s="7"/>
      <c r="M77" s="7"/>
      <c r="N77" s="7"/>
      <c r="O77" s="7"/>
      <c r="P77" s="8"/>
      <c r="Q77" s="8"/>
      <c r="R77" s="8"/>
      <c r="S77" s="8"/>
      <c r="T77" s="8"/>
      <c r="U77" s="8" t="str">
        <f t="shared" si="6"/>
        <v/>
      </c>
      <c r="V77" s="8">
        <v>1</v>
      </c>
      <c r="W77" s="8" t="str">
        <f t="shared" si="7"/>
        <v/>
      </c>
      <c r="X77" s="8">
        <v>1</v>
      </c>
      <c r="Y77" s="8" t="str">
        <f t="shared" si="8"/>
        <v/>
      </c>
      <c r="Z77" s="140" t="str">
        <f t="shared" si="9"/>
        <v/>
      </c>
      <c r="AA77" s="193">
        <f t="shared" si="10"/>
        <v>1</v>
      </c>
      <c r="AB77" s="193" t="str">
        <f t="shared" si="13"/>
        <v/>
      </c>
      <c r="AC77" s="193" t="str">
        <f t="shared" si="13"/>
        <v/>
      </c>
      <c r="AE77" s="192"/>
      <c r="AI77" s="192"/>
      <c r="AJ77" s="192"/>
      <c r="AK77" s="192"/>
      <c r="BA77" s="193" t="str">
        <f t="shared" si="14"/>
        <v/>
      </c>
      <c r="BB77" s="193" t="str">
        <f t="shared" si="14"/>
        <v/>
      </c>
    </row>
    <row r="78" spans="2:54" ht="26.25" customHeight="1" x14ac:dyDescent="0.25">
      <c r="B78" s="7">
        <f t="shared" si="5"/>
        <v>48</v>
      </c>
      <c r="C78" s="4"/>
      <c r="D78" s="4"/>
      <c r="E78" s="4"/>
      <c r="F78" s="230" t="str">
        <f>IF('תנאי סף'!AO78&lt;&gt;1,"",'תנאי סף'!F78)</f>
        <v>גיא מינטוס- טריו</v>
      </c>
      <c r="G78" s="7">
        <f>IF($F78="","",'תנאי סף'!AA78)</f>
        <v>272603</v>
      </c>
      <c r="H78" s="7">
        <f>IF($F78="","",IFERROR('תנאי סף'!O78,$AB$1))</f>
        <v>14</v>
      </c>
      <c r="I78" s="7"/>
      <c r="J78" s="7"/>
      <c r="K78" s="7"/>
      <c r="L78" s="7"/>
      <c r="M78" s="7"/>
      <c r="N78" s="7"/>
      <c r="O78" s="7"/>
      <c r="P78" s="8"/>
      <c r="Q78" s="8"/>
      <c r="R78" s="8"/>
      <c r="S78" s="8"/>
      <c r="T78" s="8"/>
      <c r="U78" s="8" t="str">
        <f t="shared" si="6"/>
        <v>גדולה</v>
      </c>
      <c r="V78" s="8">
        <v>1</v>
      </c>
      <c r="W78" s="8" t="str">
        <f t="shared" si="7"/>
        <v>בדוק נתוני הזנה</v>
      </c>
      <c r="X78" s="8">
        <v>1</v>
      </c>
      <c r="Y78" s="8" t="str">
        <f t="shared" si="8"/>
        <v>בדוק נתוני הזנה</v>
      </c>
      <c r="Z78" s="140">
        <f t="shared" si="9"/>
        <v>1</v>
      </c>
      <c r="AA78" s="193">
        <f t="shared" si="10"/>
        <v>1</v>
      </c>
      <c r="AB78" s="193">
        <f t="shared" si="13"/>
        <v>0</v>
      </c>
      <c r="AC78" s="193">
        <f t="shared" si="13"/>
        <v>1</v>
      </c>
      <c r="AE78" s="192"/>
      <c r="AI78" s="192"/>
      <c r="AJ78" s="192"/>
      <c r="AK78" s="192"/>
      <c r="BA78" s="193">
        <f t="shared" si="14"/>
        <v>1</v>
      </c>
      <c r="BB78" s="193">
        <f t="shared" si="14"/>
        <v>2</v>
      </c>
    </row>
    <row r="79" spans="2:54" ht="9" customHeight="1" x14ac:dyDescent="0.25">
      <c r="B79" s="7" t="str">
        <f t="shared" si="5"/>
        <v/>
      </c>
      <c r="C79" s="4"/>
      <c r="D79" s="4"/>
      <c r="E79" s="4"/>
      <c r="F79" s="230" t="str">
        <f>IF('תנאי סף'!AO79&lt;&gt;1,"",'תנאי סף'!F79)</f>
        <v/>
      </c>
      <c r="G79" s="7" t="str">
        <f>IF($F79="","",'תנאי סף'!AA79)</f>
        <v/>
      </c>
      <c r="H79" s="7" t="str">
        <f>IF($F79="","",IFERROR('תנאי סף'!O79,$AB$1))</f>
        <v/>
      </c>
      <c r="I79" s="7"/>
      <c r="J79" s="7"/>
      <c r="K79" s="7"/>
      <c r="L79" s="7"/>
      <c r="M79" s="7"/>
      <c r="N79" s="7"/>
      <c r="O79" s="7"/>
      <c r="P79" s="8"/>
      <c r="Q79" s="8"/>
      <c r="R79" s="8"/>
      <c r="S79" s="8"/>
      <c r="T79" s="8"/>
      <c r="U79" s="8" t="str">
        <f t="shared" si="6"/>
        <v/>
      </c>
      <c r="V79" s="8">
        <v>1</v>
      </c>
      <c r="W79" s="8" t="str">
        <f t="shared" si="7"/>
        <v/>
      </c>
      <c r="X79" s="8">
        <v>1</v>
      </c>
      <c r="Y79" s="8" t="str">
        <f t="shared" si="8"/>
        <v/>
      </c>
      <c r="Z79" s="140" t="str">
        <f t="shared" si="9"/>
        <v/>
      </c>
      <c r="AA79" s="193">
        <f t="shared" si="10"/>
        <v>1</v>
      </c>
      <c r="AB79" s="193" t="str">
        <f t="shared" si="13"/>
        <v/>
      </c>
      <c r="AC79" s="193" t="str">
        <f t="shared" si="13"/>
        <v/>
      </c>
      <c r="AE79" s="192"/>
      <c r="AI79" s="192"/>
      <c r="AJ79" s="192"/>
      <c r="AK79" s="192"/>
      <c r="BA79" s="193" t="str">
        <f t="shared" si="14"/>
        <v/>
      </c>
      <c r="BB79" s="193" t="str">
        <f t="shared" si="14"/>
        <v/>
      </c>
    </row>
    <row r="80" spans="2:54" ht="9" customHeight="1" x14ac:dyDescent="0.25">
      <c r="B80" s="7" t="str">
        <f t="shared" si="5"/>
        <v/>
      </c>
      <c r="C80" s="4"/>
      <c r="D80" s="4"/>
      <c r="E80" s="4"/>
      <c r="F80" s="230" t="str">
        <f>IF('תנאי סף'!AO80&lt;&gt;1,"",'תנאי סף'!F80)</f>
        <v/>
      </c>
      <c r="G80" s="7" t="str">
        <f>IF($F80="","",'תנאי סף'!AA80)</f>
        <v/>
      </c>
      <c r="H80" s="7" t="str">
        <f>IF($F80="","",IFERROR('תנאי סף'!O80,$AB$1))</f>
        <v/>
      </c>
      <c r="I80" s="7"/>
      <c r="J80" s="7"/>
      <c r="K80" s="7"/>
      <c r="L80" s="7"/>
      <c r="M80" s="7"/>
      <c r="N80" s="7"/>
      <c r="O80" s="7"/>
      <c r="P80" s="8"/>
      <c r="Q80" s="8"/>
      <c r="R80" s="8"/>
      <c r="S80" s="8"/>
      <c r="T80" s="8"/>
      <c r="U80" s="8" t="str">
        <f t="shared" si="6"/>
        <v/>
      </c>
      <c r="V80" s="8">
        <v>1</v>
      </c>
      <c r="W80" s="8" t="str">
        <f t="shared" si="7"/>
        <v/>
      </c>
      <c r="X80" s="8">
        <v>1</v>
      </c>
      <c r="Y80" s="8" t="str">
        <f t="shared" si="8"/>
        <v/>
      </c>
      <c r="Z80" s="140" t="str">
        <f t="shared" si="9"/>
        <v/>
      </c>
      <c r="AA80" s="193">
        <f t="shared" si="10"/>
        <v>1</v>
      </c>
      <c r="AB80" s="193" t="str">
        <f t="shared" si="13"/>
        <v/>
      </c>
      <c r="AC80" s="193" t="str">
        <f t="shared" si="13"/>
        <v/>
      </c>
      <c r="AE80" s="192"/>
      <c r="AI80" s="192"/>
      <c r="AJ80" s="192"/>
      <c r="AK80" s="192"/>
      <c r="BA80" s="193" t="str">
        <f t="shared" si="14"/>
        <v/>
      </c>
      <c r="BB80" s="193" t="str">
        <f t="shared" si="14"/>
        <v/>
      </c>
    </row>
    <row r="81" spans="2:54" ht="9" customHeight="1" x14ac:dyDescent="0.25">
      <c r="B81" s="7" t="str">
        <f t="shared" si="5"/>
        <v/>
      </c>
      <c r="C81" s="4"/>
      <c r="D81" s="4"/>
      <c r="E81" s="4"/>
      <c r="F81" s="230" t="str">
        <f>IF('תנאי סף'!AO81&lt;&gt;1,"",'תנאי סף'!F81)</f>
        <v/>
      </c>
      <c r="G81" s="7" t="str">
        <f>IF($F81="","",'תנאי סף'!AA81)</f>
        <v/>
      </c>
      <c r="H81" s="7" t="str">
        <f>IF($F81="","",IFERROR('תנאי סף'!O81,$AB$1))</f>
        <v/>
      </c>
      <c r="I81" s="7"/>
      <c r="J81" s="7"/>
      <c r="K81" s="7"/>
      <c r="L81" s="7"/>
      <c r="M81" s="7"/>
      <c r="N81" s="7"/>
      <c r="O81" s="7"/>
      <c r="P81" s="8"/>
      <c r="Q81" s="8"/>
      <c r="R81" s="8"/>
      <c r="S81" s="8"/>
      <c r="T81" s="8"/>
      <c r="U81" s="8" t="str">
        <f t="shared" si="6"/>
        <v/>
      </c>
      <c r="V81" s="8">
        <v>1</v>
      </c>
      <c r="W81" s="8" t="str">
        <f t="shared" si="7"/>
        <v/>
      </c>
      <c r="X81" s="8">
        <v>1</v>
      </c>
      <c r="Y81" s="8" t="str">
        <f t="shared" si="8"/>
        <v/>
      </c>
      <c r="Z81" s="140" t="str">
        <f t="shared" si="9"/>
        <v/>
      </c>
      <c r="AA81" s="193">
        <f t="shared" si="10"/>
        <v>1</v>
      </c>
      <c r="AB81" s="193" t="str">
        <f t="shared" si="13"/>
        <v/>
      </c>
      <c r="AC81" s="193" t="str">
        <f t="shared" si="13"/>
        <v/>
      </c>
      <c r="AE81" s="192"/>
      <c r="AI81" s="192"/>
      <c r="AJ81" s="192"/>
      <c r="AK81" s="192"/>
      <c r="BA81" s="193" t="str">
        <f t="shared" si="14"/>
        <v/>
      </c>
      <c r="BB81" s="193" t="str">
        <f t="shared" si="14"/>
        <v/>
      </c>
    </row>
    <row r="82" spans="2:54" ht="30.75" customHeight="1" x14ac:dyDescent="0.25">
      <c r="B82" s="7">
        <f t="shared" si="5"/>
        <v>52</v>
      </c>
      <c r="C82" s="4"/>
      <c r="D82" s="4"/>
      <c r="E82" s="4"/>
      <c r="F82" s="230" t="str">
        <f>IF('תנאי סף'!AO82&lt;&gt;1,"",'תנאי סף'!F82)</f>
        <v xml:space="preserve">פולקעס - בר-קיימא לתרבות </v>
      </c>
      <c r="G82" s="7">
        <f>IF($F82="","",'תנאי סף'!AA82)</f>
        <v>244285</v>
      </c>
      <c r="H82" s="7">
        <f>IF($F82="","",IFERROR('תנאי סף'!O82,$AB$1))</f>
        <v>7</v>
      </c>
      <c r="I82" s="7"/>
      <c r="J82" s="7"/>
      <c r="K82" s="7"/>
      <c r="L82" s="7"/>
      <c r="M82" s="7"/>
      <c r="N82" s="7"/>
      <c r="O82" s="7"/>
      <c r="P82" s="8"/>
      <c r="Q82" s="8"/>
      <c r="R82" s="8"/>
      <c r="S82" s="8"/>
      <c r="T82" s="8"/>
      <c r="U82" s="8" t="str">
        <f t="shared" si="6"/>
        <v>בינונית</v>
      </c>
      <c r="V82" s="8">
        <v>1</v>
      </c>
      <c r="W82" s="8" t="str">
        <f t="shared" si="7"/>
        <v>בדוק נתוני הזנה</v>
      </c>
      <c r="X82" s="8">
        <v>1</v>
      </c>
      <c r="Y82" s="8" t="str">
        <f t="shared" si="8"/>
        <v>בדוק נתוני הזנה</v>
      </c>
      <c r="Z82" s="140">
        <f t="shared" si="9"/>
        <v>0.8</v>
      </c>
      <c r="AA82" s="193">
        <f t="shared" si="10"/>
        <v>1</v>
      </c>
      <c r="AB82" s="193">
        <f t="shared" si="13"/>
        <v>0</v>
      </c>
      <c r="AC82" s="193">
        <f t="shared" si="13"/>
        <v>1</v>
      </c>
      <c r="AE82" s="192"/>
      <c r="AI82" s="192"/>
      <c r="AJ82" s="192"/>
      <c r="AK82" s="192"/>
      <c r="BA82" s="193">
        <f t="shared" si="14"/>
        <v>1</v>
      </c>
      <c r="BB82" s="193">
        <f t="shared" si="14"/>
        <v>2</v>
      </c>
    </row>
    <row r="83" spans="2:54" ht="9.75" customHeight="1" x14ac:dyDescent="0.25">
      <c r="B83" s="7" t="str">
        <f t="shared" si="5"/>
        <v/>
      </c>
      <c r="C83" s="4"/>
      <c r="D83" s="4"/>
      <c r="E83" s="4"/>
      <c r="F83" s="230" t="str">
        <f>IF('תנאי סף'!AO83&lt;&gt;1,"",'תנאי סף'!F83)</f>
        <v/>
      </c>
      <c r="G83" s="7" t="str">
        <f>IF($F83="","",'תנאי סף'!AA83)</f>
        <v/>
      </c>
      <c r="H83" s="7" t="str">
        <f>IF($F83="","",IFERROR('תנאי סף'!O83,$AB$1))</f>
        <v/>
      </c>
      <c r="I83" s="7"/>
      <c r="J83" s="7"/>
      <c r="K83" s="7"/>
      <c r="L83" s="7"/>
      <c r="M83" s="7"/>
      <c r="N83" s="7"/>
      <c r="O83" s="7"/>
      <c r="P83" s="8"/>
      <c r="Q83" s="8"/>
      <c r="R83" s="8"/>
      <c r="S83" s="8"/>
      <c r="T83" s="8"/>
      <c r="U83" s="8" t="str">
        <f t="shared" si="6"/>
        <v/>
      </c>
      <c r="V83" s="8">
        <v>1</v>
      </c>
      <c r="W83" s="8" t="str">
        <f t="shared" si="7"/>
        <v/>
      </c>
      <c r="X83" s="8">
        <v>1</v>
      </c>
      <c r="Y83" s="8" t="str">
        <f t="shared" si="8"/>
        <v/>
      </c>
      <c r="Z83" s="140" t="str">
        <f t="shared" si="9"/>
        <v/>
      </c>
      <c r="AA83" s="193">
        <f t="shared" si="10"/>
        <v>1</v>
      </c>
      <c r="AB83" s="193" t="str">
        <f t="shared" si="13"/>
        <v/>
      </c>
      <c r="AC83" s="193" t="str">
        <f t="shared" si="13"/>
        <v/>
      </c>
      <c r="AE83" s="192"/>
      <c r="AI83" s="192"/>
      <c r="AJ83" s="192"/>
      <c r="AK83" s="192"/>
      <c r="BA83" s="193" t="str">
        <f t="shared" si="14"/>
        <v/>
      </c>
      <c r="BB83" s="193" t="str">
        <f t="shared" si="14"/>
        <v/>
      </c>
    </row>
    <row r="84" spans="2:54" ht="9.75" customHeight="1" x14ac:dyDescent="0.25">
      <c r="B84" s="7" t="str">
        <f t="shared" si="5"/>
        <v/>
      </c>
      <c r="C84" s="4"/>
      <c r="D84" s="4"/>
      <c r="E84" s="4"/>
      <c r="F84" s="230" t="str">
        <f>IF('תנאי סף'!AO84&lt;&gt;1,"",'תנאי סף'!F84)</f>
        <v/>
      </c>
      <c r="G84" s="7" t="str">
        <f>IF($F84="","",'תנאי סף'!AA84)</f>
        <v/>
      </c>
      <c r="H84" s="7" t="str">
        <f>IF($F84="","",IFERROR('תנאי סף'!O84,$AB$1))</f>
        <v/>
      </c>
      <c r="I84" s="7"/>
      <c r="J84" s="7"/>
      <c r="K84" s="7"/>
      <c r="L84" s="7"/>
      <c r="M84" s="7"/>
      <c r="N84" s="7"/>
      <c r="O84" s="7"/>
      <c r="P84" s="8"/>
      <c r="Q84" s="8"/>
      <c r="R84" s="8"/>
      <c r="S84" s="8"/>
      <c r="T84" s="8"/>
      <c r="U84" s="8" t="str">
        <f t="shared" si="6"/>
        <v/>
      </c>
      <c r="V84" s="8">
        <v>1</v>
      </c>
      <c r="W84" s="8" t="str">
        <f t="shared" si="7"/>
        <v/>
      </c>
      <c r="X84" s="8">
        <v>1</v>
      </c>
      <c r="Y84" s="8" t="str">
        <f t="shared" si="8"/>
        <v/>
      </c>
      <c r="Z84" s="140" t="str">
        <f t="shared" si="9"/>
        <v/>
      </c>
      <c r="AA84" s="193">
        <f t="shared" si="10"/>
        <v>1</v>
      </c>
      <c r="AB84" s="193" t="str">
        <f t="shared" si="13"/>
        <v/>
      </c>
      <c r="AC84" s="193" t="str">
        <f t="shared" si="13"/>
        <v/>
      </c>
      <c r="AE84" s="192"/>
      <c r="AI84" s="192"/>
      <c r="AJ84" s="192"/>
      <c r="AK84" s="192"/>
      <c r="BA84" s="193" t="str">
        <f t="shared" si="14"/>
        <v/>
      </c>
      <c r="BB84" s="193" t="str">
        <f t="shared" si="14"/>
        <v/>
      </c>
    </row>
    <row r="85" spans="2:54" ht="21.75" customHeight="1" x14ac:dyDescent="0.25">
      <c r="B85" s="7">
        <f t="shared" si="5"/>
        <v>55</v>
      </c>
      <c r="C85" s="4"/>
      <c r="D85" s="4"/>
      <c r="E85" s="4"/>
      <c r="F85" s="230" t="str">
        <f>IF('תנאי סף'!AO85&lt;&gt;1,"",'תנאי סף'!F85)</f>
        <v>מכון רננות</v>
      </c>
      <c r="G85" s="7">
        <f>IF($F85="","",'תנאי סף'!AA85)</f>
        <v>97373</v>
      </c>
      <c r="H85" s="7">
        <f>IF($F85="","",IFERROR('תנאי סף'!O85,$AB$1))</f>
        <v>15</v>
      </c>
      <c r="I85" s="7"/>
      <c r="J85" s="7"/>
      <c r="K85" s="7"/>
      <c r="L85" s="7"/>
      <c r="M85" s="7"/>
      <c r="N85" s="7"/>
      <c r="O85" s="7"/>
      <c r="P85" s="8"/>
      <c r="Q85" s="8"/>
      <c r="R85" s="8"/>
      <c r="S85" s="8"/>
      <c r="T85" s="8"/>
      <c r="U85" s="8" t="str">
        <f t="shared" si="6"/>
        <v>בינונית</v>
      </c>
      <c r="V85" s="8">
        <v>1</v>
      </c>
      <c r="W85" s="8" t="str">
        <f t="shared" si="7"/>
        <v>בדוק נתוני הזנה</v>
      </c>
      <c r="X85" s="8">
        <v>1</v>
      </c>
      <c r="Y85" s="8" t="str">
        <f t="shared" si="8"/>
        <v>בדוק נתוני הזנה</v>
      </c>
      <c r="Z85" s="140">
        <f t="shared" si="9"/>
        <v>0.8</v>
      </c>
      <c r="AA85" s="193">
        <f t="shared" si="10"/>
        <v>1</v>
      </c>
      <c r="AB85" s="193">
        <f t="shared" si="13"/>
        <v>0</v>
      </c>
      <c r="AC85" s="193">
        <f t="shared" si="13"/>
        <v>1</v>
      </c>
      <c r="AE85" s="192"/>
      <c r="AI85" s="192"/>
      <c r="AJ85" s="192"/>
      <c r="AK85" s="192"/>
      <c r="BA85" s="193">
        <f t="shared" si="14"/>
        <v>1</v>
      </c>
      <c r="BB85" s="193">
        <f t="shared" si="14"/>
        <v>2</v>
      </c>
    </row>
    <row r="86" spans="2:54" ht="9.75" customHeight="1" x14ac:dyDescent="0.25">
      <c r="B86" s="7" t="str">
        <f t="shared" si="5"/>
        <v/>
      </c>
      <c r="C86" s="4"/>
      <c r="D86" s="4"/>
      <c r="E86" s="4"/>
      <c r="F86" s="230" t="str">
        <f>IF('תנאי סף'!AO86&lt;&gt;1,"",'תנאי סף'!F86)</f>
        <v/>
      </c>
      <c r="G86" s="7" t="str">
        <f>IF($F86="","",'תנאי סף'!AA86)</f>
        <v/>
      </c>
      <c r="H86" s="7" t="str">
        <f>IF($F86="","",IFERROR('תנאי סף'!O86,$AB$1))</f>
        <v/>
      </c>
      <c r="I86" s="7"/>
      <c r="J86" s="7"/>
      <c r="K86" s="7"/>
      <c r="L86" s="7"/>
      <c r="M86" s="7"/>
      <c r="N86" s="7"/>
      <c r="O86" s="7"/>
      <c r="P86" s="8"/>
      <c r="Q86" s="8"/>
      <c r="R86" s="8"/>
      <c r="S86" s="8"/>
      <c r="T86" s="8"/>
      <c r="U86" s="8" t="str">
        <f t="shared" si="6"/>
        <v/>
      </c>
      <c r="V86" s="8">
        <v>1</v>
      </c>
      <c r="W86" s="8" t="str">
        <f t="shared" si="7"/>
        <v/>
      </c>
      <c r="X86" s="8">
        <v>1</v>
      </c>
      <c r="Y86" s="8" t="str">
        <f t="shared" si="8"/>
        <v/>
      </c>
      <c r="Z86" s="140" t="str">
        <f t="shared" si="9"/>
        <v/>
      </c>
      <c r="AA86" s="193">
        <f t="shared" si="10"/>
        <v>1</v>
      </c>
      <c r="AB86" s="193" t="str">
        <f t="shared" si="13"/>
        <v/>
      </c>
      <c r="AC86" s="193" t="str">
        <f t="shared" si="13"/>
        <v/>
      </c>
      <c r="AE86" s="192"/>
      <c r="AI86" s="192"/>
      <c r="AJ86" s="192"/>
      <c r="AK86" s="192"/>
      <c r="BA86" s="193" t="str">
        <f t="shared" si="14"/>
        <v/>
      </c>
      <c r="BB86" s="193" t="str">
        <f t="shared" si="14"/>
        <v/>
      </c>
    </row>
    <row r="87" spans="2:54" ht="37.5" customHeight="1" x14ac:dyDescent="0.25">
      <c r="B87" s="7">
        <f t="shared" si="5"/>
        <v>57</v>
      </c>
      <c r="C87" s="4"/>
      <c r="D87" s="4"/>
      <c r="E87" s="4"/>
      <c r="F87" s="230" t="str">
        <f>IF('תנאי סף'!AO87&lt;&gt;1,"",'תנאי סף'!F87)</f>
        <v>עמותת מפעל המוזיקה צימבליסטה</v>
      </c>
      <c r="G87" s="7">
        <f>IF($F87="","",'תנאי סף'!AA87)</f>
        <v>139544</v>
      </c>
      <c r="H87" s="7">
        <f>IF($F87="","",IFERROR('תנאי סף'!O87,$AB$1))</f>
        <v>14</v>
      </c>
      <c r="I87" s="7"/>
      <c r="J87" s="7"/>
      <c r="K87" s="7"/>
      <c r="L87" s="7"/>
      <c r="M87" s="7"/>
      <c r="N87" s="7"/>
      <c r="O87" s="7"/>
      <c r="P87" s="8"/>
      <c r="Q87" s="8"/>
      <c r="R87" s="8"/>
      <c r="S87" s="8"/>
      <c r="T87" s="8"/>
      <c r="U87" s="8" t="str">
        <f t="shared" si="6"/>
        <v>גדולה</v>
      </c>
      <c r="V87" s="8">
        <v>1</v>
      </c>
      <c r="W87" s="8" t="str">
        <f t="shared" si="7"/>
        <v>בדוק נתוני הזנה</v>
      </c>
      <c r="X87" s="8">
        <v>1</v>
      </c>
      <c r="Y87" s="8" t="str">
        <f t="shared" si="8"/>
        <v>בדוק נתוני הזנה</v>
      </c>
      <c r="Z87" s="140">
        <f t="shared" si="9"/>
        <v>1</v>
      </c>
      <c r="AA87" s="193">
        <f t="shared" si="10"/>
        <v>1</v>
      </c>
      <c r="AB87" s="193">
        <f t="shared" si="13"/>
        <v>0</v>
      </c>
      <c r="AC87" s="193">
        <f t="shared" si="13"/>
        <v>1</v>
      </c>
      <c r="AE87" s="192"/>
      <c r="AI87" s="192"/>
      <c r="AJ87" s="192"/>
      <c r="AK87" s="192"/>
      <c r="BA87" s="193">
        <f t="shared" si="14"/>
        <v>1</v>
      </c>
      <c r="BB87" s="193">
        <f t="shared" si="14"/>
        <v>2</v>
      </c>
    </row>
    <row r="88" spans="2:54" ht="11.25" customHeight="1" x14ac:dyDescent="0.25">
      <c r="B88" s="7" t="str">
        <f t="shared" si="5"/>
        <v/>
      </c>
      <c r="C88" s="4"/>
      <c r="D88" s="4"/>
      <c r="E88" s="4"/>
      <c r="F88" s="230" t="str">
        <f>IF('תנאי סף'!AO88&lt;&gt;1,"",'תנאי סף'!F88)</f>
        <v/>
      </c>
      <c r="G88" s="7" t="str">
        <f>IF($F88="","",'תנאי סף'!AA88)</f>
        <v/>
      </c>
      <c r="H88" s="7" t="str">
        <f>IF($F88="","",IFERROR('תנאי סף'!O88,$AB$1))</f>
        <v/>
      </c>
      <c r="I88" s="7"/>
      <c r="J88" s="7"/>
      <c r="K88" s="7"/>
      <c r="L88" s="7"/>
      <c r="M88" s="7"/>
      <c r="N88" s="7"/>
      <c r="O88" s="7"/>
      <c r="P88" s="8"/>
      <c r="Q88" s="8"/>
      <c r="R88" s="8"/>
      <c r="S88" s="8"/>
      <c r="T88" s="8"/>
      <c r="U88" s="8" t="str">
        <f t="shared" si="6"/>
        <v/>
      </c>
      <c r="V88" s="8">
        <v>1</v>
      </c>
      <c r="W88" s="8" t="str">
        <f t="shared" si="7"/>
        <v/>
      </c>
      <c r="X88" s="8">
        <v>1</v>
      </c>
      <c r="Y88" s="8" t="str">
        <f t="shared" si="8"/>
        <v/>
      </c>
      <c r="Z88" s="140" t="str">
        <f t="shared" si="9"/>
        <v/>
      </c>
      <c r="AA88" s="193">
        <f t="shared" si="10"/>
        <v>1</v>
      </c>
      <c r="AB88" s="193" t="str">
        <f t="shared" si="13"/>
        <v/>
      </c>
      <c r="AC88" s="193" t="str">
        <f t="shared" si="13"/>
        <v/>
      </c>
      <c r="AE88" s="192"/>
      <c r="AI88" s="192"/>
      <c r="AJ88" s="192"/>
      <c r="AK88" s="192"/>
      <c r="BA88" s="193" t="str">
        <f t="shared" si="14"/>
        <v/>
      </c>
      <c r="BB88" s="193" t="str">
        <f t="shared" si="14"/>
        <v/>
      </c>
    </row>
    <row r="89" spans="2:54" ht="31.5" customHeight="1" x14ac:dyDescent="0.25">
      <c r="B89" s="7">
        <f t="shared" si="5"/>
        <v>59</v>
      </c>
      <c r="C89" s="4"/>
      <c r="D89" s="4"/>
      <c r="E89" s="4"/>
      <c r="F89" s="230" t="str">
        <f>IF('תנאי סף'!AO89&lt;&gt;1,"",'תנאי סף'!F89)</f>
        <v>העמותה לקידום המוסיקה הערבית</v>
      </c>
      <c r="G89" s="7">
        <f>IF($F89="","",'תנאי סף'!AA89)</f>
        <v>176210</v>
      </c>
      <c r="H89" s="7">
        <f>IF($F89="","",IFERROR('תנאי סף'!O89,$AB$1))</f>
        <v>15</v>
      </c>
      <c r="I89" s="7"/>
      <c r="J89" s="7"/>
      <c r="K89" s="7"/>
      <c r="L89" s="7"/>
      <c r="M89" s="7"/>
      <c r="N89" s="7"/>
      <c r="O89" s="7"/>
      <c r="P89" s="8"/>
      <c r="Q89" s="8"/>
      <c r="R89" s="8"/>
      <c r="S89" s="8"/>
      <c r="T89" s="8"/>
      <c r="U89" s="8" t="str">
        <f t="shared" si="6"/>
        <v>גדולה</v>
      </c>
      <c r="V89" s="8">
        <v>1</v>
      </c>
      <c r="W89" s="8" t="str">
        <f t="shared" si="7"/>
        <v>בדוק נתוני הזנה</v>
      </c>
      <c r="X89" s="8">
        <v>1</v>
      </c>
      <c r="Y89" s="8" t="str">
        <f t="shared" si="8"/>
        <v>בדוק נתוני הזנה</v>
      </c>
      <c r="Z89" s="140">
        <f t="shared" si="9"/>
        <v>1</v>
      </c>
      <c r="AA89" s="193">
        <f t="shared" si="10"/>
        <v>1</v>
      </c>
      <c r="AB89" s="193">
        <f t="shared" si="13"/>
        <v>0</v>
      </c>
      <c r="AC89" s="193">
        <f t="shared" si="13"/>
        <v>1</v>
      </c>
      <c r="AE89" s="192"/>
      <c r="AI89" s="192"/>
      <c r="AJ89" s="192"/>
      <c r="AK89" s="192"/>
      <c r="BA89" s="193">
        <f t="shared" si="14"/>
        <v>1</v>
      </c>
      <c r="BB89" s="193">
        <f t="shared" si="14"/>
        <v>2</v>
      </c>
    </row>
    <row r="90" spans="2:54" ht="33.75" customHeight="1" x14ac:dyDescent="0.25">
      <c r="B90" s="7">
        <f t="shared" si="5"/>
        <v>60</v>
      </c>
      <c r="C90" s="4"/>
      <c r="D90" s="4"/>
      <c r="E90" s="4"/>
      <c r="F90" s="230" t="str">
        <f>IF('תנאי סף'!AO90&lt;&gt;1,"",'תנאי סף'!F90)</f>
        <v>תמיכה בתזמורת TLV (הערבית יהודית)</v>
      </c>
      <c r="G90" s="7">
        <f>IF($F90="","",'תנאי סף'!AA90)</f>
        <v>251896</v>
      </c>
      <c r="H90" s="7">
        <f>IF($F90="","",IFERROR('תנאי סף'!O90,$AB$1))</f>
        <v>22</v>
      </c>
      <c r="I90" s="7"/>
      <c r="J90" s="7"/>
      <c r="K90" s="7"/>
      <c r="L90" s="7"/>
      <c r="M90" s="7"/>
      <c r="N90" s="7"/>
      <c r="O90" s="7"/>
      <c r="P90" s="8"/>
      <c r="Q90" s="8"/>
      <c r="R90" s="8"/>
      <c r="S90" s="8"/>
      <c r="T90" s="8"/>
      <c r="U90" s="8" t="str">
        <f t="shared" si="6"/>
        <v>גדולה</v>
      </c>
      <c r="V90" s="8">
        <v>1</v>
      </c>
      <c r="W90" s="8" t="str">
        <f t="shared" si="7"/>
        <v>בדוק נתוני הזנה</v>
      </c>
      <c r="X90" s="8">
        <v>1</v>
      </c>
      <c r="Y90" s="8" t="str">
        <f t="shared" si="8"/>
        <v>בדוק נתוני הזנה</v>
      </c>
      <c r="Z90" s="140">
        <f t="shared" si="9"/>
        <v>1</v>
      </c>
      <c r="AA90" s="193">
        <f t="shared" si="10"/>
        <v>1</v>
      </c>
      <c r="AB90" s="193">
        <f t="shared" si="13"/>
        <v>0</v>
      </c>
      <c r="AC90" s="193">
        <f t="shared" si="13"/>
        <v>1</v>
      </c>
      <c r="AE90" s="192"/>
      <c r="AI90" s="192"/>
      <c r="AJ90" s="192"/>
      <c r="AK90" s="192"/>
      <c r="BA90" s="193">
        <f t="shared" si="14"/>
        <v>1</v>
      </c>
      <c r="BB90" s="193">
        <f t="shared" si="14"/>
        <v>2</v>
      </c>
    </row>
    <row r="91" spans="2:54" ht="23.25" customHeight="1" x14ac:dyDescent="0.25">
      <c r="B91" s="7">
        <f t="shared" si="5"/>
        <v>61</v>
      </c>
      <c r="C91" s="4"/>
      <c r="D91" s="4"/>
      <c r="E91" s="4"/>
      <c r="F91" s="230" t="str">
        <f>IF('תנאי סף'!AO91&lt;&gt;1,"",'תנאי סף'!F91)</f>
        <v>אנסמבל גליל</v>
      </c>
      <c r="G91" s="7">
        <f>IF($F91="","",'תנאי סף'!AA91)</f>
        <v>68771</v>
      </c>
      <c r="H91" s="7">
        <f>IF($F91="","",IFERROR('תנאי סף'!O91,$AB$1))</f>
        <v>9</v>
      </c>
      <c r="I91" s="7"/>
      <c r="J91" s="7"/>
      <c r="K91" s="7"/>
      <c r="L91" s="7"/>
      <c r="M91" s="7"/>
      <c r="N91" s="7"/>
      <c r="O91" s="7"/>
      <c r="P91" s="8"/>
      <c r="Q91" s="8"/>
      <c r="R91" s="8"/>
      <c r="S91" s="8"/>
      <c r="T91" s="8"/>
      <c r="U91" s="8" t="str">
        <f t="shared" si="6"/>
        <v>קטנה</v>
      </c>
      <c r="V91" s="8">
        <v>1</v>
      </c>
      <c r="W91" s="8" t="str">
        <f t="shared" si="7"/>
        <v>בדוק נתוני הזנה</v>
      </c>
      <c r="X91" s="8">
        <v>1</v>
      </c>
      <c r="Y91" s="8" t="str">
        <f t="shared" si="8"/>
        <v>בדוק נתוני הזנה</v>
      </c>
      <c r="Z91" s="140">
        <f t="shared" si="9"/>
        <v>0.5</v>
      </c>
      <c r="AA91" s="193">
        <f t="shared" si="10"/>
        <v>1</v>
      </c>
      <c r="AB91" s="193">
        <f t="shared" si="13"/>
        <v>0</v>
      </c>
      <c r="AC91" s="193">
        <f t="shared" si="13"/>
        <v>1</v>
      </c>
      <c r="AE91" s="192"/>
      <c r="AI91" s="192"/>
      <c r="AJ91" s="192"/>
      <c r="AK91" s="192"/>
      <c r="BA91" s="193">
        <f t="shared" si="14"/>
        <v>1</v>
      </c>
      <c r="BB91" s="193">
        <f t="shared" si="14"/>
        <v>2</v>
      </c>
    </row>
    <row r="92" spans="2:54" ht="19.5" customHeight="1" x14ac:dyDescent="0.25">
      <c r="B92" s="7">
        <f t="shared" si="5"/>
        <v>62</v>
      </c>
      <c r="C92" s="4"/>
      <c r="D92" s="4"/>
      <c r="E92" s="4"/>
      <c r="F92" s="230" t="str">
        <f>IF('תנאי סף'!AO92&lt;&gt;1,"",'תנאי סף'!F92)</f>
        <v>דריה- הרכב אינסטרומנטלי</v>
      </c>
      <c r="G92" s="7">
        <f>IF($F92="","",'תנאי סף'!AA92)</f>
        <v>75173</v>
      </c>
      <c r="H92" s="7">
        <f>IF($F92="","",IFERROR('תנאי סף'!O92,$AB$1))</f>
        <v>3</v>
      </c>
      <c r="I92" s="7"/>
      <c r="J92" s="7"/>
      <c r="K92" s="7"/>
      <c r="L92" s="7"/>
      <c r="M92" s="7"/>
      <c r="N92" s="7"/>
      <c r="O92" s="7"/>
      <c r="P92" s="8"/>
      <c r="Q92" s="8"/>
      <c r="R92" s="8"/>
      <c r="S92" s="8"/>
      <c r="T92" s="8"/>
      <c r="U92" s="8" t="str">
        <f t="shared" si="6"/>
        <v>קטנה</v>
      </c>
      <c r="V92" s="8">
        <v>1</v>
      </c>
      <c r="W92" s="8" t="str">
        <f t="shared" si="7"/>
        <v>בדוק נתוני הזנה</v>
      </c>
      <c r="X92" s="8">
        <v>1</v>
      </c>
      <c r="Y92" s="8" t="str">
        <f t="shared" si="8"/>
        <v>בדוק נתוני הזנה</v>
      </c>
      <c r="Z92" s="140">
        <f t="shared" si="9"/>
        <v>0.5</v>
      </c>
      <c r="AA92" s="193">
        <f t="shared" si="10"/>
        <v>1</v>
      </c>
      <c r="AB92" s="193">
        <f t="shared" si="13"/>
        <v>0</v>
      </c>
      <c r="AC92" s="193">
        <f t="shared" si="13"/>
        <v>1</v>
      </c>
      <c r="AE92" s="192"/>
      <c r="AI92" s="192"/>
      <c r="AJ92" s="192"/>
      <c r="AK92" s="192"/>
      <c r="BA92" s="193">
        <f t="shared" si="14"/>
        <v>1</v>
      </c>
      <c r="BB92" s="193">
        <f t="shared" si="14"/>
        <v>2</v>
      </c>
    </row>
    <row r="93" spans="2:54" ht="12" customHeight="1" x14ac:dyDescent="0.25">
      <c r="B93" s="7">
        <f t="shared" si="5"/>
        <v>63</v>
      </c>
      <c r="C93" s="4"/>
      <c r="D93" s="4"/>
      <c r="E93" s="4"/>
      <c r="F93" s="230" t="str">
        <f>IF('תנאי סף'!AO93&lt;&gt;1,"",'תנאי סף'!F93)</f>
        <v>להקת שלוש</v>
      </c>
      <c r="G93" s="7">
        <f>IF($F93="","",'תנאי סף'!AA93)</f>
        <v>140893</v>
      </c>
      <c r="H93" s="7">
        <f>IF($F93="","",IFERROR('תנאי סף'!O93,$AB$1))</f>
        <v>3</v>
      </c>
      <c r="I93" s="7"/>
      <c r="J93" s="7"/>
      <c r="K93" s="7"/>
      <c r="L93" s="7"/>
      <c r="M93" s="7"/>
      <c r="N93" s="7"/>
      <c r="O93" s="7"/>
      <c r="P93" s="8"/>
      <c r="Q93" s="8"/>
      <c r="R93" s="8"/>
      <c r="S93" s="8"/>
      <c r="T93" s="8"/>
      <c r="U93" s="8" t="str">
        <f t="shared" si="6"/>
        <v>קטנה</v>
      </c>
      <c r="V93" s="8">
        <v>1</v>
      </c>
      <c r="W93" s="8" t="str">
        <f t="shared" si="7"/>
        <v>בדוק נתוני הזנה</v>
      </c>
      <c r="X93" s="8">
        <v>1</v>
      </c>
      <c r="Y93" s="8" t="str">
        <f t="shared" si="8"/>
        <v>בדוק נתוני הזנה</v>
      </c>
      <c r="Z93" s="140">
        <f t="shared" si="9"/>
        <v>0.5</v>
      </c>
      <c r="AA93" s="193">
        <f t="shared" si="10"/>
        <v>1</v>
      </c>
      <c r="AB93" s="193">
        <f t="shared" si="13"/>
        <v>0</v>
      </c>
      <c r="AC93" s="193">
        <f t="shared" si="13"/>
        <v>1</v>
      </c>
      <c r="AE93" s="192"/>
      <c r="AI93" s="192"/>
      <c r="AJ93" s="192"/>
      <c r="AK93" s="192"/>
      <c r="BA93" s="193">
        <f t="shared" si="14"/>
        <v>1</v>
      </c>
      <c r="BB93" s="193">
        <f t="shared" si="14"/>
        <v>2</v>
      </c>
    </row>
    <row r="94" spans="2:54" ht="26.25" customHeight="1" x14ac:dyDescent="0.25">
      <c r="B94" s="7">
        <f t="shared" si="5"/>
        <v>64</v>
      </c>
      <c r="C94" s="4"/>
      <c r="D94" s="4"/>
      <c r="E94" s="4"/>
      <c r="F94" s="230" t="str">
        <f>IF('תנאי סף'!AO94&lt;&gt;1,"",'תנאי סף'!F94)</f>
        <v>רביעיית טוסקאניני</v>
      </c>
      <c r="G94" s="7">
        <f>IF($F94="","",'תנאי סף'!AA94)</f>
        <v>64829</v>
      </c>
      <c r="H94" s="7">
        <f>IF($F94="","",IFERROR('תנאי סף'!O94,$AB$1))</f>
        <v>7</v>
      </c>
      <c r="I94" s="7"/>
      <c r="J94" s="7"/>
      <c r="K94" s="7"/>
      <c r="L94" s="7"/>
      <c r="M94" s="7"/>
      <c r="N94" s="7"/>
      <c r="O94" s="7"/>
      <c r="P94" s="8"/>
      <c r="Q94" s="8"/>
      <c r="R94" s="8"/>
      <c r="S94" s="8"/>
      <c r="T94" s="8"/>
      <c r="U94" s="8" t="str">
        <f t="shared" si="6"/>
        <v>קטנה</v>
      </c>
      <c r="V94" s="8">
        <v>1</v>
      </c>
      <c r="W94" s="8" t="str">
        <f t="shared" si="7"/>
        <v>בדוק נתוני הזנה</v>
      </c>
      <c r="X94" s="8">
        <v>1</v>
      </c>
      <c r="Y94" s="8" t="str">
        <f t="shared" si="8"/>
        <v>בדוק נתוני הזנה</v>
      </c>
      <c r="Z94" s="140">
        <f t="shared" si="9"/>
        <v>0.5</v>
      </c>
      <c r="AA94" s="193">
        <f t="shared" si="10"/>
        <v>1</v>
      </c>
      <c r="AB94" s="193">
        <f t="shared" si="13"/>
        <v>0</v>
      </c>
      <c r="AC94" s="193">
        <f t="shared" si="13"/>
        <v>1</v>
      </c>
      <c r="AE94" s="192"/>
      <c r="AI94" s="192"/>
      <c r="AJ94" s="192"/>
      <c r="AK94" s="192"/>
      <c r="BA94" s="193">
        <f t="shared" si="14"/>
        <v>1</v>
      </c>
      <c r="BB94" s="193">
        <f t="shared" si="14"/>
        <v>2</v>
      </c>
    </row>
    <row r="95" spans="2:54" ht="30" customHeight="1" x14ac:dyDescent="0.25">
      <c r="B95" s="7">
        <f t="shared" si="5"/>
        <v>65</v>
      </c>
      <c r="C95" s="4"/>
      <c r="D95" s="4"/>
      <c r="E95" s="4"/>
      <c r="F95" s="230" t="str">
        <f>IF('תנאי סף'!AO95&lt;&gt;1,"",'תנאי סף'!F95)</f>
        <v>תקוע-קבוצה מוזיקלית - 'דאפה' 2024</v>
      </c>
      <c r="G95" s="7">
        <f>IF($F95="","",'תנאי סף'!AA95)</f>
        <v>176210</v>
      </c>
      <c r="H95" s="7">
        <f>IF($F95="","",IFERROR('תנאי סף'!O95,$AB$1))</f>
        <v>10</v>
      </c>
      <c r="I95" s="7"/>
      <c r="J95" s="7"/>
      <c r="K95" s="7"/>
      <c r="L95" s="7"/>
      <c r="M95" s="7"/>
      <c r="N95" s="7"/>
      <c r="O95" s="7"/>
      <c r="P95" s="8"/>
      <c r="Q95" s="8"/>
      <c r="R95" s="8"/>
      <c r="S95" s="8"/>
      <c r="T95" s="8"/>
      <c r="U95" s="8" t="str">
        <f t="shared" si="6"/>
        <v>גדולה</v>
      </c>
      <c r="V95" s="8">
        <v>1</v>
      </c>
      <c r="W95" s="8" t="str">
        <f t="shared" si="7"/>
        <v>בדוק נתוני הזנה</v>
      </c>
      <c r="X95" s="8">
        <v>1</v>
      </c>
      <c r="Y95" s="8" t="str">
        <f t="shared" si="8"/>
        <v>בדוק נתוני הזנה</v>
      </c>
      <c r="Z95" s="140">
        <f t="shared" si="9"/>
        <v>1</v>
      </c>
      <c r="AA95" s="193">
        <f t="shared" si="10"/>
        <v>1</v>
      </c>
      <c r="AB95" s="193">
        <f t="shared" si="13"/>
        <v>0</v>
      </c>
      <c r="AC95" s="193">
        <f t="shared" si="13"/>
        <v>1</v>
      </c>
      <c r="AE95" s="192"/>
      <c r="AI95" s="192"/>
      <c r="AJ95" s="192"/>
      <c r="AK95" s="192"/>
      <c r="BA95" s="193">
        <f t="shared" si="14"/>
        <v>1</v>
      </c>
      <c r="BB95" s="193">
        <f t="shared" si="14"/>
        <v>2</v>
      </c>
    </row>
    <row r="96" spans="2:54" ht="41.25" customHeight="1" x14ac:dyDescent="0.25">
      <c r="B96" s="7">
        <f t="shared" ref="B96:B130" si="15">IF(F96="","",ROW()-30)</f>
        <v>66</v>
      </c>
      <c r="C96" s="4"/>
      <c r="D96" s="4"/>
      <c r="E96" s="4"/>
      <c r="F96" s="230" t="str">
        <f>IF('תנאי סף'!AO96&lt;&gt;1,"",'תנאי סף'!F96)</f>
        <v>טריו בן חיים</v>
      </c>
      <c r="G96" s="7">
        <f>IF($F96="","",'תנאי סף'!AA96)</f>
        <v>51000</v>
      </c>
      <c r="H96" s="7">
        <f>IF($F96="","",IFERROR('תנאי סף'!O96,$AB$1))</f>
        <v>3</v>
      </c>
      <c r="I96" s="7"/>
      <c r="J96" s="7"/>
      <c r="K96" s="7"/>
      <c r="L96" s="7"/>
      <c r="M96" s="7"/>
      <c r="N96" s="7"/>
      <c r="O96" s="7"/>
      <c r="P96" s="8"/>
      <c r="Q96" s="8"/>
      <c r="R96" s="8"/>
      <c r="S96" s="8"/>
      <c r="T96" s="8"/>
      <c r="U96" s="8" t="str">
        <f t="shared" ref="U96:U130" si="16">IF(F96="","",IF(AA96&lt;&gt;1,$AB$1,
IF(AND(G96&gt;$G$9,H96&gt;=$H$9),$F$9,
IF(AND(G96&gt;$G$8,H96&gt;=$H$8),$F$8,
$F$7))))</f>
        <v>קטנה</v>
      </c>
      <c r="V96" s="8">
        <v>1</v>
      </c>
      <c r="W96" s="8" t="str">
        <f t="shared" ref="W96:W130" si="17">IF($F96="","",IF($AA96&lt;&gt;1,$AB$1,IFERROR(U96*V96,$AB$1)))</f>
        <v>בדוק נתוני הזנה</v>
      </c>
      <c r="X96" s="8">
        <v>1</v>
      </c>
      <c r="Y96" s="8" t="str">
        <f t="shared" ref="Y96:Y130" si="18">IF($F96="","",IF($A96&lt;&gt;1,$AB$1,IFERROR(W96*X96,$AB$1)))</f>
        <v>בדוק נתוני הזנה</v>
      </c>
      <c r="Z96" s="140">
        <f t="shared" ref="Z96:Z130" si="19">IF($F96="","",IFERROR(INDEX($U$7:$U$9,MATCH(U96,$F$7:$F$9,0)),$AB$1))</f>
        <v>0.5</v>
      </c>
      <c r="AA96" s="193">
        <f t="shared" ref="AA96:AA130" si="20">IF(SUM(AD96:AV96)=COUNT(AD96:AV96),1,0)</f>
        <v>1</v>
      </c>
      <c r="AB96" s="193">
        <f t="shared" si="13"/>
        <v>0</v>
      </c>
      <c r="AC96" s="193">
        <f t="shared" si="13"/>
        <v>1</v>
      </c>
      <c r="AE96" s="192"/>
      <c r="AI96" s="192"/>
      <c r="AJ96" s="192"/>
      <c r="AK96" s="192"/>
      <c r="BA96" s="193">
        <f t="shared" si="14"/>
        <v>1</v>
      </c>
      <c r="BB96" s="193">
        <f t="shared" si="14"/>
        <v>2</v>
      </c>
    </row>
    <row r="97" spans="2:54" ht="13.5" customHeight="1" x14ac:dyDescent="0.25">
      <c r="B97" s="7" t="str">
        <f t="shared" si="15"/>
        <v/>
      </c>
      <c r="C97" s="4"/>
      <c r="D97" s="4"/>
      <c r="E97" s="4"/>
      <c r="F97" s="230" t="str">
        <f>IF('תנאי סף'!AO97&lt;&gt;1,"",'תנאי סף'!F97)</f>
        <v/>
      </c>
      <c r="G97" s="7" t="str">
        <f>IF($F97="","",'תנאי סף'!AA97)</f>
        <v/>
      </c>
      <c r="H97" s="7" t="str">
        <f>IF($F97="","",IFERROR('תנאי סף'!O97,$AB$1))</f>
        <v/>
      </c>
      <c r="I97" s="7"/>
      <c r="J97" s="7"/>
      <c r="K97" s="7"/>
      <c r="L97" s="7"/>
      <c r="M97" s="7"/>
      <c r="N97" s="7"/>
      <c r="O97" s="7"/>
      <c r="P97" s="8"/>
      <c r="Q97" s="8"/>
      <c r="R97" s="8"/>
      <c r="S97" s="8"/>
      <c r="T97" s="8"/>
      <c r="U97" s="8" t="str">
        <f t="shared" si="16"/>
        <v/>
      </c>
      <c r="V97" s="8">
        <v>1</v>
      </c>
      <c r="W97" s="8" t="str">
        <f t="shared" si="17"/>
        <v/>
      </c>
      <c r="X97" s="8">
        <v>1</v>
      </c>
      <c r="Y97" s="8" t="str">
        <f t="shared" si="18"/>
        <v/>
      </c>
      <c r="Z97" s="140" t="str">
        <f t="shared" si="19"/>
        <v/>
      </c>
      <c r="AA97" s="193">
        <f t="shared" si="20"/>
        <v>1</v>
      </c>
      <c r="AB97" s="193" t="str">
        <f t="shared" si="13"/>
        <v/>
      </c>
      <c r="AC97" s="193" t="str">
        <f t="shared" si="13"/>
        <v/>
      </c>
      <c r="AE97" s="192"/>
      <c r="AI97" s="192"/>
      <c r="AJ97" s="192"/>
      <c r="AK97" s="192"/>
      <c r="BA97" s="193" t="str">
        <f t="shared" si="14"/>
        <v/>
      </c>
      <c r="BB97" s="193" t="str">
        <f t="shared" si="14"/>
        <v/>
      </c>
    </row>
    <row r="98" spans="2:54" ht="33.75" customHeight="1" x14ac:dyDescent="0.25">
      <c r="B98" s="7">
        <f t="shared" si="15"/>
        <v>68</v>
      </c>
      <c r="C98" s="4"/>
      <c r="D98" s="4"/>
      <c r="E98" s="4"/>
      <c r="F98" s="230" t="str">
        <f>IF('תנאי סף'!AO98&lt;&gt;1,"",'תנאי סף'!F98)</f>
        <v>אמיתי אריכא והפרויקט D1</v>
      </c>
      <c r="G98" s="7">
        <f>IF($F98="","",'תנאי סף'!AA98)</f>
        <v>87586</v>
      </c>
      <c r="H98" s="7">
        <f>IF($F98="","",IFERROR('תנאי סף'!O98,$AB$1))</f>
        <v>5</v>
      </c>
      <c r="I98" s="7"/>
      <c r="J98" s="7"/>
      <c r="K98" s="7"/>
      <c r="L98" s="7"/>
      <c r="M98" s="7"/>
      <c r="N98" s="7"/>
      <c r="O98" s="7"/>
      <c r="P98" s="8"/>
      <c r="Q98" s="8"/>
      <c r="R98" s="8"/>
      <c r="S98" s="8"/>
      <c r="T98" s="8"/>
      <c r="U98" s="8" t="str">
        <f t="shared" si="16"/>
        <v>קטנה</v>
      </c>
      <c r="V98" s="8">
        <v>1</v>
      </c>
      <c r="W98" s="8" t="str">
        <f t="shared" si="17"/>
        <v>בדוק נתוני הזנה</v>
      </c>
      <c r="X98" s="8">
        <v>1</v>
      </c>
      <c r="Y98" s="8" t="str">
        <f t="shared" si="18"/>
        <v>בדוק נתוני הזנה</v>
      </c>
      <c r="Z98" s="140">
        <f t="shared" si="19"/>
        <v>0.5</v>
      </c>
      <c r="AA98" s="193">
        <f t="shared" si="20"/>
        <v>1</v>
      </c>
      <c r="AB98" s="193">
        <f t="shared" si="13"/>
        <v>0</v>
      </c>
      <c r="AC98" s="193">
        <f t="shared" si="13"/>
        <v>1</v>
      </c>
      <c r="AE98" s="192"/>
      <c r="AI98" s="192"/>
      <c r="AJ98" s="192"/>
      <c r="AK98" s="192"/>
      <c r="BA98" s="193">
        <f t="shared" si="14"/>
        <v>1</v>
      </c>
      <c r="BB98" s="193">
        <f t="shared" si="14"/>
        <v>2</v>
      </c>
    </row>
    <row r="99" spans="2:54" ht="10.5" customHeight="1" x14ac:dyDescent="0.25">
      <c r="B99" s="7" t="str">
        <f t="shared" si="15"/>
        <v/>
      </c>
      <c r="C99" s="4"/>
      <c r="D99" s="4"/>
      <c r="E99" s="4"/>
      <c r="F99" s="230" t="str">
        <f>IF('תנאי סף'!AO99&lt;&gt;1,"",'תנאי סף'!F99)</f>
        <v/>
      </c>
      <c r="G99" s="7" t="str">
        <f>IF($F99="","",'תנאי סף'!AA99)</f>
        <v/>
      </c>
      <c r="H99" s="7" t="str">
        <f>IF($F99="","",IFERROR('תנאי סף'!O99,$AB$1))</f>
        <v/>
      </c>
      <c r="I99" s="7"/>
      <c r="J99" s="7"/>
      <c r="K99" s="7"/>
      <c r="L99" s="7"/>
      <c r="M99" s="7"/>
      <c r="N99" s="7"/>
      <c r="O99" s="7"/>
      <c r="P99" s="8"/>
      <c r="Q99" s="8"/>
      <c r="R99" s="8"/>
      <c r="S99" s="8"/>
      <c r="T99" s="8"/>
      <c r="U99" s="8" t="str">
        <f t="shared" si="16"/>
        <v/>
      </c>
      <c r="V99" s="8">
        <v>1</v>
      </c>
      <c r="W99" s="8" t="str">
        <f t="shared" si="17"/>
        <v/>
      </c>
      <c r="X99" s="8">
        <v>1</v>
      </c>
      <c r="Y99" s="8" t="str">
        <f t="shared" si="18"/>
        <v/>
      </c>
      <c r="Z99" s="140" t="str">
        <f t="shared" si="19"/>
        <v/>
      </c>
      <c r="AA99" s="193">
        <f t="shared" si="20"/>
        <v>1</v>
      </c>
      <c r="AB99" s="193" t="str">
        <f t="shared" si="13"/>
        <v/>
      </c>
      <c r="AC99" s="193" t="str">
        <f t="shared" si="13"/>
        <v/>
      </c>
      <c r="AE99" s="192"/>
      <c r="AI99" s="192"/>
      <c r="AJ99" s="192"/>
      <c r="AK99" s="192"/>
      <c r="BA99" s="193" t="str">
        <f t="shared" si="14"/>
        <v/>
      </c>
      <c r="BB99" s="193" t="str">
        <f t="shared" si="14"/>
        <v/>
      </c>
    </row>
    <row r="100" spans="2:54" ht="10.5" customHeight="1" x14ac:dyDescent="0.25">
      <c r="B100" s="7" t="str">
        <f t="shared" si="15"/>
        <v/>
      </c>
      <c r="C100" s="4"/>
      <c r="D100" s="4"/>
      <c r="E100" s="4"/>
      <c r="F100" s="230" t="str">
        <f>IF('תנאי סף'!AO100&lt;&gt;1,"",'תנאי סף'!F100)</f>
        <v/>
      </c>
      <c r="G100" s="7" t="str">
        <f>IF($F100="","",'תנאי סף'!AA100)</f>
        <v/>
      </c>
      <c r="H100" s="7" t="str">
        <f>IF($F100="","",IFERROR('תנאי סף'!O100,$AB$1))</f>
        <v/>
      </c>
      <c r="I100" s="7"/>
      <c r="J100" s="7"/>
      <c r="K100" s="7"/>
      <c r="L100" s="7"/>
      <c r="M100" s="7"/>
      <c r="N100" s="7"/>
      <c r="O100" s="7"/>
      <c r="P100" s="8"/>
      <c r="Q100" s="8"/>
      <c r="R100" s="8"/>
      <c r="S100" s="8"/>
      <c r="T100" s="8"/>
      <c r="U100" s="8" t="str">
        <f t="shared" si="16"/>
        <v/>
      </c>
      <c r="V100" s="8">
        <v>1</v>
      </c>
      <c r="W100" s="8" t="str">
        <f t="shared" si="17"/>
        <v/>
      </c>
      <c r="X100" s="8">
        <v>1</v>
      </c>
      <c r="Y100" s="8" t="str">
        <f t="shared" si="18"/>
        <v/>
      </c>
      <c r="Z100" s="140" t="str">
        <f t="shared" si="19"/>
        <v/>
      </c>
      <c r="AA100" s="193">
        <f t="shared" si="20"/>
        <v>1</v>
      </c>
      <c r="AB100" s="193" t="str">
        <f t="shared" si="13"/>
        <v/>
      </c>
      <c r="AC100" s="193" t="str">
        <f t="shared" si="13"/>
        <v/>
      </c>
      <c r="AE100" s="192"/>
      <c r="AI100" s="192"/>
      <c r="AJ100" s="192"/>
      <c r="AK100" s="192"/>
      <c r="BA100" s="193" t="str">
        <f t="shared" si="14"/>
        <v/>
      </c>
      <c r="BB100" s="193" t="str">
        <f t="shared" si="14"/>
        <v/>
      </c>
    </row>
    <row r="101" spans="2:54" ht="10.5" customHeight="1" x14ac:dyDescent="0.25">
      <c r="B101" s="7" t="str">
        <f t="shared" si="15"/>
        <v/>
      </c>
      <c r="C101" s="4"/>
      <c r="D101" s="4"/>
      <c r="E101" s="4"/>
      <c r="F101" s="230" t="str">
        <f>IF('תנאי סף'!AO101&lt;&gt;1,"",'תנאי סף'!F101)</f>
        <v/>
      </c>
      <c r="G101" s="7" t="str">
        <f>IF($F101="","",'תנאי סף'!AA101)</f>
        <v/>
      </c>
      <c r="H101" s="7" t="str">
        <f>IF($F101="","",IFERROR('תנאי סף'!O101,$AB$1))</f>
        <v/>
      </c>
      <c r="I101" s="7"/>
      <c r="J101" s="7"/>
      <c r="K101" s="7"/>
      <c r="L101" s="7"/>
      <c r="M101" s="7"/>
      <c r="N101" s="7"/>
      <c r="O101" s="7"/>
      <c r="P101" s="8"/>
      <c r="Q101" s="8"/>
      <c r="R101" s="8"/>
      <c r="S101" s="8"/>
      <c r="T101" s="8"/>
      <c r="U101" s="8" t="str">
        <f t="shared" si="16"/>
        <v/>
      </c>
      <c r="V101" s="8">
        <v>1</v>
      </c>
      <c r="W101" s="8" t="str">
        <f t="shared" si="17"/>
        <v/>
      </c>
      <c r="X101" s="8">
        <v>1</v>
      </c>
      <c r="Y101" s="8" t="str">
        <f t="shared" si="18"/>
        <v/>
      </c>
      <c r="Z101" s="140" t="str">
        <f t="shared" si="19"/>
        <v/>
      </c>
      <c r="AA101" s="193">
        <f t="shared" si="20"/>
        <v>1</v>
      </c>
      <c r="AB101" s="193" t="str">
        <f t="shared" si="13"/>
        <v/>
      </c>
      <c r="AC101" s="193" t="str">
        <f t="shared" si="13"/>
        <v/>
      </c>
      <c r="AE101" s="192"/>
      <c r="AI101" s="192"/>
      <c r="AJ101" s="192"/>
      <c r="AK101" s="192"/>
      <c r="BA101" s="193" t="str">
        <f t="shared" si="14"/>
        <v/>
      </c>
      <c r="BB101" s="193" t="str">
        <f t="shared" si="14"/>
        <v/>
      </c>
    </row>
    <row r="102" spans="2:54" ht="10.5" customHeight="1" x14ac:dyDescent="0.25">
      <c r="B102" s="7" t="str">
        <f t="shared" si="15"/>
        <v/>
      </c>
      <c r="C102" s="4"/>
      <c r="D102" s="4"/>
      <c r="E102" s="4"/>
      <c r="F102" s="230" t="str">
        <f>IF('תנאי סף'!AO102&lt;&gt;1,"",'תנאי סף'!F102)</f>
        <v/>
      </c>
      <c r="G102" s="7" t="str">
        <f>IF($F102="","",'תנאי סף'!AA102)</f>
        <v/>
      </c>
      <c r="H102" s="7" t="str">
        <f>IF($F102="","",IFERROR('תנאי סף'!O102,$AB$1))</f>
        <v/>
      </c>
      <c r="I102" s="7"/>
      <c r="J102" s="7"/>
      <c r="K102" s="7"/>
      <c r="L102" s="7"/>
      <c r="M102" s="7"/>
      <c r="N102" s="7"/>
      <c r="O102" s="7"/>
      <c r="P102" s="8"/>
      <c r="Q102" s="8"/>
      <c r="R102" s="8"/>
      <c r="S102" s="8"/>
      <c r="T102" s="8"/>
      <c r="U102" s="8" t="str">
        <f t="shared" si="16"/>
        <v/>
      </c>
      <c r="V102" s="8">
        <v>1</v>
      </c>
      <c r="W102" s="8" t="str">
        <f t="shared" si="17"/>
        <v/>
      </c>
      <c r="X102" s="8">
        <v>1</v>
      </c>
      <c r="Y102" s="8" t="str">
        <f t="shared" si="18"/>
        <v/>
      </c>
      <c r="Z102" s="140" t="str">
        <f t="shared" si="19"/>
        <v/>
      </c>
      <c r="AA102" s="193">
        <f t="shared" si="20"/>
        <v>1</v>
      </c>
      <c r="AB102" s="193" t="str">
        <f t="shared" si="13"/>
        <v/>
      </c>
      <c r="AC102" s="193" t="str">
        <f t="shared" si="13"/>
        <v/>
      </c>
      <c r="AE102" s="192"/>
      <c r="AI102" s="192"/>
      <c r="AJ102" s="192"/>
      <c r="AK102" s="192"/>
      <c r="BA102" s="193" t="str">
        <f t="shared" si="14"/>
        <v/>
      </c>
      <c r="BB102" s="193" t="str">
        <f t="shared" si="14"/>
        <v/>
      </c>
    </row>
    <row r="103" spans="2:54" ht="10.5" customHeight="1" x14ac:dyDescent="0.25">
      <c r="B103" s="7" t="str">
        <f t="shared" si="15"/>
        <v/>
      </c>
      <c r="C103" s="4"/>
      <c r="D103" s="4"/>
      <c r="E103" s="4"/>
      <c r="F103" s="230" t="str">
        <f>IF('תנאי סף'!AO103&lt;&gt;1,"",'תנאי סף'!F103)</f>
        <v/>
      </c>
      <c r="G103" s="7" t="str">
        <f>IF($F103="","",'תנאי סף'!AA103)</f>
        <v/>
      </c>
      <c r="H103" s="7" t="str">
        <f>IF($F103="","",IFERROR('תנאי סף'!O103,$AB$1))</f>
        <v/>
      </c>
      <c r="I103" s="7"/>
      <c r="J103" s="7"/>
      <c r="K103" s="7"/>
      <c r="L103" s="7"/>
      <c r="M103" s="7"/>
      <c r="N103" s="7"/>
      <c r="O103" s="7"/>
      <c r="P103" s="8"/>
      <c r="Q103" s="8"/>
      <c r="R103" s="8"/>
      <c r="S103" s="8"/>
      <c r="T103" s="8"/>
      <c r="U103" s="8" t="str">
        <f t="shared" si="16"/>
        <v/>
      </c>
      <c r="V103" s="8">
        <v>1</v>
      </c>
      <c r="W103" s="8" t="str">
        <f t="shared" si="17"/>
        <v/>
      </c>
      <c r="X103" s="8">
        <v>1</v>
      </c>
      <c r="Y103" s="8" t="str">
        <f t="shared" si="18"/>
        <v/>
      </c>
      <c r="Z103" s="140" t="str">
        <f t="shared" si="19"/>
        <v/>
      </c>
      <c r="AA103" s="193">
        <f t="shared" si="20"/>
        <v>1</v>
      </c>
      <c r="AB103" s="193" t="str">
        <f t="shared" si="13"/>
        <v/>
      </c>
      <c r="AC103" s="193" t="str">
        <f t="shared" si="13"/>
        <v/>
      </c>
      <c r="AE103" s="192"/>
      <c r="AI103" s="192"/>
      <c r="AJ103" s="192"/>
      <c r="AK103" s="192"/>
      <c r="BA103" s="193" t="str">
        <f t="shared" si="14"/>
        <v/>
      </c>
      <c r="BB103" s="193" t="str">
        <f t="shared" si="14"/>
        <v/>
      </c>
    </row>
    <row r="104" spans="2:54" ht="10.5" customHeight="1" x14ac:dyDescent="0.25">
      <c r="B104" s="7" t="str">
        <f t="shared" si="15"/>
        <v/>
      </c>
      <c r="C104" s="4"/>
      <c r="D104" s="4"/>
      <c r="E104" s="4"/>
      <c r="F104" s="230" t="str">
        <f>IF('תנאי סף'!AO104&lt;&gt;1,"",'תנאי סף'!F104)</f>
        <v/>
      </c>
      <c r="G104" s="7" t="str">
        <f>IF($F104="","",'תנאי סף'!AA104)</f>
        <v/>
      </c>
      <c r="H104" s="7" t="str">
        <f>IF($F104="","",IFERROR('תנאי סף'!O104,$AB$1))</f>
        <v/>
      </c>
      <c r="I104" s="7"/>
      <c r="J104" s="7"/>
      <c r="K104" s="7"/>
      <c r="L104" s="7"/>
      <c r="M104" s="7"/>
      <c r="N104" s="7"/>
      <c r="O104" s="7"/>
      <c r="P104" s="8"/>
      <c r="Q104" s="8"/>
      <c r="R104" s="8"/>
      <c r="S104" s="8"/>
      <c r="T104" s="8"/>
      <c r="U104" s="8" t="str">
        <f t="shared" si="16"/>
        <v/>
      </c>
      <c r="V104" s="8">
        <v>1</v>
      </c>
      <c r="W104" s="8" t="str">
        <f t="shared" si="17"/>
        <v/>
      </c>
      <c r="X104" s="8">
        <v>1</v>
      </c>
      <c r="Y104" s="8" t="str">
        <f t="shared" si="18"/>
        <v/>
      </c>
      <c r="Z104" s="140" t="str">
        <f t="shared" si="19"/>
        <v/>
      </c>
      <c r="AA104" s="193">
        <f t="shared" si="20"/>
        <v>1</v>
      </c>
      <c r="AB104" s="193" t="str">
        <f t="shared" si="13"/>
        <v/>
      </c>
      <c r="AC104" s="193" t="str">
        <f t="shared" si="13"/>
        <v/>
      </c>
      <c r="AE104" s="192"/>
      <c r="AI104" s="192"/>
      <c r="AJ104" s="192"/>
      <c r="AK104" s="192"/>
      <c r="BA104" s="193" t="str">
        <f t="shared" si="14"/>
        <v/>
      </c>
      <c r="BB104" s="193" t="str">
        <f t="shared" si="14"/>
        <v/>
      </c>
    </row>
    <row r="105" spans="2:54" s="508" customFormat="1" ht="38.25" customHeight="1" x14ac:dyDescent="0.25">
      <c r="B105" s="7">
        <f t="shared" si="15"/>
        <v>75</v>
      </c>
      <c r="C105" s="4"/>
      <c r="D105" s="4"/>
      <c r="E105" s="4"/>
      <c r="F105" s="230" t="str">
        <f>IF('תנאי סף'!AO105&lt;&gt;1,"",'תנאי סף'!F105)</f>
        <v>לבונטין 7</v>
      </c>
      <c r="G105" s="7">
        <f>IF($F105="","",'תנאי סף'!AA105)</f>
        <v>68976</v>
      </c>
      <c r="H105" s="7">
        <f>IF($F105="","",IFERROR('תנאי סף'!O105,$AB$1))</f>
        <v>21</v>
      </c>
      <c r="I105" s="7"/>
      <c r="J105" s="7"/>
      <c r="K105" s="7"/>
      <c r="L105" s="7"/>
      <c r="M105" s="7"/>
      <c r="N105" s="7"/>
      <c r="O105" s="7"/>
      <c r="P105" s="8"/>
      <c r="Q105" s="8"/>
      <c r="R105" s="8"/>
      <c r="S105" s="8"/>
      <c r="T105" s="8"/>
      <c r="U105" s="8" t="str">
        <f t="shared" si="16"/>
        <v>קטנה</v>
      </c>
      <c r="V105" s="8">
        <v>1</v>
      </c>
      <c r="W105" s="8" t="str">
        <f t="shared" si="17"/>
        <v>בדוק נתוני הזנה</v>
      </c>
      <c r="X105" s="8">
        <v>1</v>
      </c>
      <c r="Y105" s="8" t="str">
        <f t="shared" si="18"/>
        <v>בדוק נתוני הזנה</v>
      </c>
      <c r="Z105" s="140">
        <f t="shared" si="19"/>
        <v>0.5</v>
      </c>
      <c r="AA105" s="508">
        <f t="shared" si="20"/>
        <v>1</v>
      </c>
      <c r="AB105" s="508">
        <f t="shared" si="13"/>
        <v>0</v>
      </c>
      <c r="AC105" s="508">
        <f t="shared" si="13"/>
        <v>1</v>
      </c>
      <c r="AE105" s="509"/>
      <c r="AI105" s="509"/>
      <c r="AJ105" s="509"/>
      <c r="AK105" s="509"/>
      <c r="BA105" s="508">
        <f t="shared" si="14"/>
        <v>1</v>
      </c>
      <c r="BB105" s="508">
        <f t="shared" si="14"/>
        <v>2</v>
      </c>
    </row>
    <row r="106" spans="2:54" s="508" customFormat="1" ht="34.5" customHeight="1" x14ac:dyDescent="0.25">
      <c r="B106" s="503">
        <f t="shared" si="15"/>
        <v>76</v>
      </c>
      <c r="C106" s="504"/>
      <c r="D106" s="504"/>
      <c r="E106" s="504"/>
      <c r="F106" s="505" t="str">
        <f>IF('תנאי סף'!AO106&lt;&gt;1,"",'תנאי סף'!F106)</f>
        <v>מולטי פיאנו- פליציה בלומנטל</v>
      </c>
      <c r="G106" s="7">
        <f>IF($F106="","",'תנאי סף'!AA106)</f>
        <v>92479</v>
      </c>
      <c r="H106" s="503">
        <f>IF($F106="","",IFERROR('תנאי סף'!O106,$AB$1))</f>
        <v>5</v>
      </c>
      <c r="I106" s="503"/>
      <c r="J106" s="503"/>
      <c r="K106" s="503"/>
      <c r="L106" s="503"/>
      <c r="M106" s="503"/>
      <c r="N106" s="503"/>
      <c r="O106" s="503"/>
      <c r="P106" s="506"/>
      <c r="Q106" s="506"/>
      <c r="R106" s="506"/>
      <c r="S106" s="506"/>
      <c r="T106" s="506"/>
      <c r="U106" s="506" t="str">
        <f t="shared" si="16"/>
        <v>קטנה</v>
      </c>
      <c r="V106" s="506">
        <v>1</v>
      </c>
      <c r="W106" s="506" t="str">
        <f t="shared" si="17"/>
        <v>בדוק נתוני הזנה</v>
      </c>
      <c r="X106" s="506">
        <v>1</v>
      </c>
      <c r="Y106" s="506" t="str">
        <f t="shared" si="18"/>
        <v>בדוק נתוני הזנה</v>
      </c>
      <c r="Z106" s="507">
        <f t="shared" si="19"/>
        <v>0.5</v>
      </c>
      <c r="AA106" s="508">
        <f t="shared" si="20"/>
        <v>1</v>
      </c>
      <c r="AB106" s="508">
        <f t="shared" si="13"/>
        <v>0</v>
      </c>
      <c r="AC106" s="508">
        <f t="shared" si="13"/>
        <v>1</v>
      </c>
      <c r="AE106" s="509"/>
      <c r="AI106" s="509"/>
      <c r="AJ106" s="509"/>
      <c r="AK106" s="509"/>
      <c r="BA106" s="508">
        <f t="shared" si="14"/>
        <v>1</v>
      </c>
      <c r="BB106" s="508">
        <f t="shared" si="14"/>
        <v>2</v>
      </c>
    </row>
    <row r="107" spans="2:54" ht="35.25" customHeight="1" x14ac:dyDescent="0.25">
      <c r="B107" s="7">
        <f t="shared" si="15"/>
        <v>77</v>
      </c>
      <c r="C107" s="4"/>
      <c r="D107" s="4"/>
      <c r="E107" s="4"/>
      <c r="F107" s="230" t="str">
        <f>IF('תנאי סף'!AO107&lt;&gt;1,"",'תנאי סף'!F107)</f>
        <v>ארמון בזמן - העמותה לתרבות רב תחומית</v>
      </c>
      <c r="G107" s="7">
        <f>IF($F107="","",'תנאי סף'!AA107)</f>
        <v>154302</v>
      </c>
      <c r="H107" s="7">
        <f>IF($F107="","",IFERROR('תנאי סף'!O107,$AB$1))</f>
        <v>25</v>
      </c>
      <c r="I107" s="7"/>
      <c r="J107" s="7"/>
      <c r="K107" s="7"/>
      <c r="L107" s="7"/>
      <c r="M107" s="7"/>
      <c r="N107" s="7"/>
      <c r="O107" s="7"/>
      <c r="P107" s="8"/>
      <c r="Q107" s="8"/>
      <c r="R107" s="8"/>
      <c r="S107" s="8"/>
      <c r="T107" s="8"/>
      <c r="U107" s="8" t="str">
        <f t="shared" si="16"/>
        <v>גדולה</v>
      </c>
      <c r="V107" s="8">
        <v>1</v>
      </c>
      <c r="W107" s="8" t="str">
        <f t="shared" si="17"/>
        <v>בדוק נתוני הזנה</v>
      </c>
      <c r="X107" s="8">
        <v>1</v>
      </c>
      <c r="Y107" s="8" t="str">
        <f t="shared" si="18"/>
        <v>בדוק נתוני הזנה</v>
      </c>
      <c r="Z107" s="140">
        <f t="shared" si="19"/>
        <v>1</v>
      </c>
      <c r="AA107" s="193">
        <f t="shared" si="20"/>
        <v>1</v>
      </c>
      <c r="AB107" s="193">
        <f t="shared" si="13"/>
        <v>0</v>
      </c>
      <c r="AC107" s="193">
        <f t="shared" si="13"/>
        <v>1</v>
      </c>
      <c r="AE107" s="192"/>
      <c r="AI107" s="192"/>
      <c r="AJ107" s="192"/>
      <c r="AK107" s="192"/>
      <c r="BA107" s="193">
        <f t="shared" si="14"/>
        <v>1</v>
      </c>
      <c r="BB107" s="193">
        <f t="shared" si="14"/>
        <v>2</v>
      </c>
    </row>
    <row r="108" spans="2:54" x14ac:dyDescent="0.25">
      <c r="B108" s="7" t="str">
        <f t="shared" si="15"/>
        <v/>
      </c>
      <c r="C108" s="4"/>
      <c r="D108" s="4"/>
      <c r="E108" s="4"/>
      <c r="F108" s="230" t="str">
        <f>IF('תנאי סף'!AO108&lt;&gt;1,"",'תנאי סף'!F108)</f>
        <v/>
      </c>
      <c r="G108" s="7" t="str">
        <f>IF($F108="","",'תנאי סף'!AA108)</f>
        <v/>
      </c>
      <c r="H108" s="7" t="str">
        <f>IF($F108="","",IFERROR('תנאי סף'!O108,$AB$1))</f>
        <v/>
      </c>
      <c r="I108" s="7"/>
      <c r="J108" s="7"/>
      <c r="K108" s="7"/>
      <c r="L108" s="7"/>
      <c r="M108" s="7"/>
      <c r="N108" s="7"/>
      <c r="O108" s="7"/>
      <c r="P108" s="8"/>
      <c r="Q108" s="8"/>
      <c r="R108" s="8"/>
      <c r="S108" s="8"/>
      <c r="T108" s="8"/>
      <c r="U108" s="8" t="str">
        <f t="shared" si="16"/>
        <v/>
      </c>
      <c r="V108" s="8">
        <v>1</v>
      </c>
      <c r="W108" s="8" t="str">
        <f t="shared" si="17"/>
        <v/>
      </c>
      <c r="X108" s="8">
        <v>1</v>
      </c>
      <c r="Y108" s="8" t="str">
        <f t="shared" si="18"/>
        <v/>
      </c>
      <c r="Z108" s="140" t="str">
        <f t="shared" si="19"/>
        <v/>
      </c>
      <c r="AA108" s="193">
        <f t="shared" si="20"/>
        <v>1</v>
      </c>
      <c r="AB108" s="193" t="str">
        <f t="shared" si="13"/>
        <v/>
      </c>
      <c r="AC108" s="193" t="str">
        <f t="shared" si="13"/>
        <v/>
      </c>
      <c r="AE108" s="192"/>
      <c r="AI108" s="192"/>
      <c r="AJ108" s="192"/>
      <c r="AK108" s="192"/>
      <c r="BA108" s="193" t="str">
        <f t="shared" si="14"/>
        <v/>
      </c>
      <c r="BB108" s="193" t="str">
        <f t="shared" si="14"/>
        <v/>
      </c>
    </row>
    <row r="109" spans="2:54" x14ac:dyDescent="0.25">
      <c r="B109" s="7" t="str">
        <f t="shared" si="15"/>
        <v/>
      </c>
      <c r="C109" s="4"/>
      <c r="D109" s="4"/>
      <c r="E109" s="4"/>
      <c r="F109" s="230" t="str">
        <f>IF('תנאי סף'!AO109&lt;&gt;1,"",'תנאי סף'!F109)</f>
        <v/>
      </c>
      <c r="G109" s="7" t="str">
        <f>IF($F109="","",'תנאי סף'!AA109)</f>
        <v/>
      </c>
      <c r="H109" s="7" t="str">
        <f>IF($F109="","",IFERROR('תנאי סף'!O109,$AB$1))</f>
        <v/>
      </c>
      <c r="I109" s="7"/>
      <c r="J109" s="7"/>
      <c r="K109" s="7"/>
      <c r="L109" s="7"/>
      <c r="M109" s="7"/>
      <c r="N109" s="7"/>
      <c r="O109" s="7"/>
      <c r="P109" s="8"/>
      <c r="Q109" s="8"/>
      <c r="R109" s="8"/>
      <c r="S109" s="8"/>
      <c r="T109" s="8"/>
      <c r="U109" s="8" t="str">
        <f t="shared" si="16"/>
        <v/>
      </c>
      <c r="V109" s="8">
        <v>1</v>
      </c>
      <c r="W109" s="8" t="str">
        <f t="shared" si="17"/>
        <v/>
      </c>
      <c r="X109" s="8">
        <v>1</v>
      </c>
      <c r="Y109" s="8" t="str">
        <f t="shared" si="18"/>
        <v/>
      </c>
      <c r="Z109" s="140" t="str">
        <f t="shared" si="19"/>
        <v/>
      </c>
      <c r="AA109" s="193">
        <f t="shared" si="20"/>
        <v>1</v>
      </c>
      <c r="AB109" s="193" t="str">
        <f t="shared" si="13"/>
        <v/>
      </c>
      <c r="AC109" s="193" t="str">
        <f t="shared" si="13"/>
        <v/>
      </c>
      <c r="AE109" s="192"/>
      <c r="AI109" s="192"/>
      <c r="AJ109" s="192"/>
      <c r="AK109" s="192"/>
      <c r="BA109" s="193" t="str">
        <f t="shared" si="14"/>
        <v/>
      </c>
      <c r="BB109" s="193" t="str">
        <f t="shared" si="14"/>
        <v/>
      </c>
    </row>
    <row r="110" spans="2:54" x14ac:dyDescent="0.25">
      <c r="B110" s="7" t="str">
        <f t="shared" si="15"/>
        <v/>
      </c>
      <c r="C110" s="4"/>
      <c r="D110" s="4"/>
      <c r="E110" s="4"/>
      <c r="F110" s="230" t="str">
        <f>IF('תנאי סף'!AO110&lt;&gt;1,"",'תנאי סף'!F110)</f>
        <v/>
      </c>
      <c r="G110" s="7" t="str">
        <f>IF($F110="","",'תנאי סף'!AA110)</f>
        <v/>
      </c>
      <c r="H110" s="7" t="str">
        <f>IF($F110="","",IFERROR('תנאי סף'!O110,$AB$1))</f>
        <v/>
      </c>
      <c r="I110" s="7"/>
      <c r="J110" s="7"/>
      <c r="K110" s="7"/>
      <c r="L110" s="7"/>
      <c r="M110" s="7"/>
      <c r="N110" s="7"/>
      <c r="O110" s="7"/>
      <c r="P110" s="8"/>
      <c r="Q110" s="8"/>
      <c r="R110" s="8"/>
      <c r="S110" s="8"/>
      <c r="T110" s="8"/>
      <c r="U110" s="8" t="str">
        <f t="shared" si="16"/>
        <v/>
      </c>
      <c r="V110" s="8">
        <v>1</v>
      </c>
      <c r="W110" s="8" t="str">
        <f t="shared" si="17"/>
        <v/>
      </c>
      <c r="X110" s="8">
        <v>1</v>
      </c>
      <c r="Y110" s="8" t="str">
        <f t="shared" si="18"/>
        <v/>
      </c>
      <c r="Z110" s="140" t="str">
        <f t="shared" si="19"/>
        <v/>
      </c>
      <c r="AA110" s="193">
        <f t="shared" si="20"/>
        <v>1</v>
      </c>
      <c r="AB110" s="193" t="str">
        <f t="shared" si="13"/>
        <v/>
      </c>
      <c r="AC110" s="193" t="str">
        <f t="shared" si="13"/>
        <v/>
      </c>
      <c r="AE110" s="192"/>
      <c r="AI110" s="192"/>
      <c r="AJ110" s="192"/>
      <c r="AK110" s="192"/>
      <c r="BA110" s="193" t="str">
        <f t="shared" si="14"/>
        <v/>
      </c>
      <c r="BB110" s="193" t="str">
        <f t="shared" si="14"/>
        <v/>
      </c>
    </row>
    <row r="111" spans="2:54" x14ac:dyDescent="0.25">
      <c r="B111" s="7" t="str">
        <f t="shared" si="15"/>
        <v/>
      </c>
      <c r="C111" s="4"/>
      <c r="D111" s="4"/>
      <c r="E111" s="4"/>
      <c r="F111" s="230" t="str">
        <f>IF('תנאי סף'!AO111&lt;&gt;1,"",'תנאי סף'!F111)</f>
        <v/>
      </c>
      <c r="G111" s="7" t="str">
        <f>IF($F111="","",'תנאי סף'!AA111)</f>
        <v/>
      </c>
      <c r="H111" s="7" t="str">
        <f>IF($F111="","",IFERROR('תנאי סף'!O111,$AB$1))</f>
        <v/>
      </c>
      <c r="I111" s="7"/>
      <c r="J111" s="7"/>
      <c r="K111" s="7"/>
      <c r="L111" s="7"/>
      <c r="M111" s="7"/>
      <c r="N111" s="7"/>
      <c r="O111" s="7"/>
      <c r="P111" s="8"/>
      <c r="Q111" s="8"/>
      <c r="R111" s="8"/>
      <c r="S111" s="8"/>
      <c r="T111" s="8"/>
      <c r="U111" s="8" t="str">
        <f t="shared" si="16"/>
        <v/>
      </c>
      <c r="V111" s="8">
        <v>1</v>
      </c>
      <c r="W111" s="8" t="str">
        <f t="shared" si="17"/>
        <v/>
      </c>
      <c r="X111" s="8">
        <v>1</v>
      </c>
      <c r="Y111" s="8" t="str">
        <f t="shared" si="18"/>
        <v/>
      </c>
      <c r="Z111" s="140" t="str">
        <f t="shared" si="19"/>
        <v/>
      </c>
      <c r="AA111" s="193">
        <f t="shared" si="20"/>
        <v>1</v>
      </c>
      <c r="AB111" s="193" t="str">
        <f t="shared" si="13"/>
        <v/>
      </c>
      <c r="AC111" s="193" t="str">
        <f t="shared" si="13"/>
        <v/>
      </c>
      <c r="AE111" s="192"/>
      <c r="AI111" s="192"/>
      <c r="AJ111" s="192"/>
      <c r="AK111" s="192"/>
      <c r="BA111" s="193" t="str">
        <f t="shared" si="14"/>
        <v/>
      </c>
      <c r="BB111" s="193" t="str">
        <f t="shared" si="14"/>
        <v/>
      </c>
    </row>
    <row r="112" spans="2:54" x14ac:dyDescent="0.25">
      <c r="B112" s="7" t="str">
        <f t="shared" si="15"/>
        <v/>
      </c>
      <c r="C112" s="4"/>
      <c r="D112" s="4"/>
      <c r="E112" s="4"/>
      <c r="F112" s="230" t="str">
        <f>IF('תנאי סף'!AO112&lt;&gt;1,"",'תנאי סף'!F112)</f>
        <v/>
      </c>
      <c r="G112" s="7" t="str">
        <f>IF($F112="","",'תנאי סף'!AA112)</f>
        <v/>
      </c>
      <c r="H112" s="7" t="str">
        <f>IF($F112="","",IFERROR('תנאי סף'!O112,$AB$1))</f>
        <v/>
      </c>
      <c r="I112" s="7"/>
      <c r="J112" s="7"/>
      <c r="K112" s="7"/>
      <c r="L112" s="7"/>
      <c r="M112" s="7"/>
      <c r="N112" s="7"/>
      <c r="O112" s="7"/>
      <c r="P112" s="8"/>
      <c r="Q112" s="8"/>
      <c r="R112" s="8"/>
      <c r="S112" s="8"/>
      <c r="T112" s="8"/>
      <c r="U112" s="8" t="str">
        <f t="shared" si="16"/>
        <v/>
      </c>
      <c r="V112" s="8">
        <v>1</v>
      </c>
      <c r="W112" s="8" t="str">
        <f t="shared" si="17"/>
        <v/>
      </c>
      <c r="X112" s="8">
        <v>1</v>
      </c>
      <c r="Y112" s="8" t="str">
        <f t="shared" si="18"/>
        <v/>
      </c>
      <c r="Z112" s="140" t="str">
        <f t="shared" si="19"/>
        <v/>
      </c>
      <c r="AA112" s="193">
        <f t="shared" si="20"/>
        <v>1</v>
      </c>
      <c r="AB112" s="193" t="str">
        <f t="shared" si="13"/>
        <v/>
      </c>
      <c r="AC112" s="193" t="str">
        <f t="shared" si="13"/>
        <v/>
      </c>
      <c r="AE112" s="192"/>
      <c r="AI112" s="192"/>
      <c r="AJ112" s="192"/>
      <c r="AK112" s="192"/>
      <c r="BA112" s="193" t="str">
        <f t="shared" si="14"/>
        <v/>
      </c>
      <c r="BB112" s="193" t="str">
        <f t="shared" si="14"/>
        <v/>
      </c>
    </row>
    <row r="113" spans="2:54" x14ac:dyDescent="0.25">
      <c r="B113" s="7" t="str">
        <f t="shared" si="15"/>
        <v/>
      </c>
      <c r="C113" s="4"/>
      <c r="D113" s="4"/>
      <c r="E113" s="4"/>
      <c r="F113" s="230" t="str">
        <f>IF('תנאי סף'!AO113&lt;&gt;1,"",'תנאי סף'!F113)</f>
        <v/>
      </c>
      <c r="G113" s="7" t="str">
        <f>IF($F113="","",'תנאי סף'!AA113)</f>
        <v/>
      </c>
      <c r="H113" s="7" t="str">
        <f>IF($F113="","",IFERROR('תנאי סף'!O113,$AB$1))</f>
        <v/>
      </c>
      <c r="I113" s="7"/>
      <c r="J113" s="7"/>
      <c r="K113" s="7"/>
      <c r="L113" s="7"/>
      <c r="M113" s="7"/>
      <c r="N113" s="7"/>
      <c r="O113" s="7"/>
      <c r="P113" s="8"/>
      <c r="Q113" s="8"/>
      <c r="R113" s="8"/>
      <c r="S113" s="8"/>
      <c r="T113" s="8"/>
      <c r="U113" s="8" t="str">
        <f t="shared" si="16"/>
        <v/>
      </c>
      <c r="V113" s="8">
        <v>1</v>
      </c>
      <c r="W113" s="8" t="str">
        <f t="shared" si="17"/>
        <v/>
      </c>
      <c r="X113" s="8">
        <v>1</v>
      </c>
      <c r="Y113" s="8" t="str">
        <f t="shared" si="18"/>
        <v/>
      </c>
      <c r="Z113" s="140" t="str">
        <f t="shared" si="19"/>
        <v/>
      </c>
      <c r="AA113" s="193">
        <f t="shared" si="20"/>
        <v>1</v>
      </c>
      <c r="AB113" s="193" t="str">
        <f t="shared" si="13"/>
        <v/>
      </c>
      <c r="AC113" s="193" t="str">
        <f t="shared" si="13"/>
        <v/>
      </c>
      <c r="AE113" s="192"/>
      <c r="AI113" s="192"/>
      <c r="AJ113" s="192"/>
      <c r="AK113" s="192"/>
      <c r="BA113" s="193" t="str">
        <f t="shared" si="14"/>
        <v/>
      </c>
      <c r="BB113" s="193" t="str">
        <f t="shared" si="14"/>
        <v/>
      </c>
    </row>
    <row r="114" spans="2:54" x14ac:dyDescent="0.25">
      <c r="B114" s="7" t="str">
        <f t="shared" si="15"/>
        <v/>
      </c>
      <c r="C114" s="4"/>
      <c r="D114" s="4"/>
      <c r="E114" s="4"/>
      <c r="F114" s="230" t="str">
        <f>IF('תנאי סף'!AO114&lt;&gt;1,"",'תנאי סף'!F114)</f>
        <v/>
      </c>
      <c r="G114" s="7" t="str">
        <f>IF($F114="","",'תנאי סף'!AA114)</f>
        <v/>
      </c>
      <c r="H114" s="7" t="str">
        <f>IF($F114="","",IFERROR('תנאי סף'!O114,$AB$1))</f>
        <v/>
      </c>
      <c r="I114" s="7"/>
      <c r="J114" s="7"/>
      <c r="K114" s="7"/>
      <c r="L114" s="7"/>
      <c r="M114" s="7"/>
      <c r="N114" s="7"/>
      <c r="O114" s="7"/>
      <c r="P114" s="8"/>
      <c r="Q114" s="8"/>
      <c r="R114" s="8"/>
      <c r="S114" s="8"/>
      <c r="T114" s="8"/>
      <c r="U114" s="8" t="str">
        <f t="shared" si="16"/>
        <v/>
      </c>
      <c r="V114" s="8">
        <v>1</v>
      </c>
      <c r="W114" s="8" t="str">
        <f t="shared" si="17"/>
        <v/>
      </c>
      <c r="X114" s="8">
        <v>1</v>
      </c>
      <c r="Y114" s="8" t="str">
        <f t="shared" si="18"/>
        <v/>
      </c>
      <c r="Z114" s="140" t="str">
        <f t="shared" si="19"/>
        <v/>
      </c>
      <c r="AA114" s="193">
        <f t="shared" si="20"/>
        <v>1</v>
      </c>
      <c r="AB114" s="193" t="str">
        <f t="shared" si="13"/>
        <v/>
      </c>
      <c r="AC114" s="193" t="str">
        <f t="shared" si="13"/>
        <v/>
      </c>
      <c r="AE114" s="192"/>
      <c r="AI114" s="192"/>
      <c r="AJ114" s="192"/>
      <c r="AK114" s="192"/>
      <c r="BA114" s="193" t="str">
        <f t="shared" si="14"/>
        <v/>
      </c>
      <c r="BB114" s="193" t="str">
        <f t="shared" si="14"/>
        <v/>
      </c>
    </row>
    <row r="115" spans="2:54" x14ac:dyDescent="0.25">
      <c r="B115" s="7" t="str">
        <f t="shared" si="15"/>
        <v/>
      </c>
      <c r="C115" s="4"/>
      <c r="D115" s="4"/>
      <c r="E115" s="4"/>
      <c r="F115" s="230" t="str">
        <f>IF('תנאי סף'!AO115&lt;&gt;1,"",'תנאי סף'!F115)</f>
        <v/>
      </c>
      <c r="G115" s="7" t="str">
        <f>IF($F115="","",'תנאי סף'!AA115)</f>
        <v/>
      </c>
      <c r="H115" s="7" t="str">
        <f>IF($F115="","",IFERROR('תנאי סף'!O115,$AB$1))</f>
        <v/>
      </c>
      <c r="I115" s="7"/>
      <c r="J115" s="7"/>
      <c r="K115" s="7"/>
      <c r="L115" s="7"/>
      <c r="M115" s="7"/>
      <c r="N115" s="7"/>
      <c r="O115" s="7"/>
      <c r="P115" s="8"/>
      <c r="Q115" s="8"/>
      <c r="R115" s="8"/>
      <c r="S115" s="8"/>
      <c r="T115" s="8"/>
      <c r="U115" s="8" t="str">
        <f t="shared" si="16"/>
        <v/>
      </c>
      <c r="V115" s="8">
        <v>1</v>
      </c>
      <c r="W115" s="8" t="str">
        <f t="shared" si="17"/>
        <v/>
      </c>
      <c r="X115" s="8">
        <v>1</v>
      </c>
      <c r="Y115" s="8" t="str">
        <f t="shared" si="18"/>
        <v/>
      </c>
      <c r="Z115" s="140" t="str">
        <f t="shared" si="19"/>
        <v/>
      </c>
      <c r="AA115" s="193">
        <f t="shared" si="20"/>
        <v>1</v>
      </c>
      <c r="AB115" s="193" t="str">
        <f t="shared" si="13"/>
        <v/>
      </c>
      <c r="AC115" s="193" t="str">
        <f t="shared" si="13"/>
        <v/>
      </c>
      <c r="AE115" s="192"/>
      <c r="AI115" s="192"/>
      <c r="AJ115" s="192"/>
      <c r="AK115" s="192"/>
      <c r="BA115" s="193" t="str">
        <f t="shared" si="14"/>
        <v/>
      </c>
      <c r="BB115" s="193" t="str">
        <f t="shared" si="14"/>
        <v/>
      </c>
    </row>
    <row r="116" spans="2:54" x14ac:dyDescent="0.25">
      <c r="B116" s="7" t="str">
        <f t="shared" si="15"/>
        <v/>
      </c>
      <c r="C116" s="4"/>
      <c r="D116" s="4"/>
      <c r="E116" s="4"/>
      <c r="F116" s="230" t="str">
        <f>IF('תנאי סף'!AO116&lt;&gt;1,"",'תנאי סף'!F116)</f>
        <v/>
      </c>
      <c r="G116" s="7" t="str">
        <f>IF($F116="","",'תנאי סף'!AA116)</f>
        <v/>
      </c>
      <c r="H116" s="7" t="str">
        <f>IF($F116="","",IFERROR('תנאי סף'!O116,$AB$1))</f>
        <v/>
      </c>
      <c r="I116" s="7"/>
      <c r="J116" s="7"/>
      <c r="K116" s="7"/>
      <c r="L116" s="7"/>
      <c r="M116" s="7"/>
      <c r="N116" s="7"/>
      <c r="O116" s="7"/>
      <c r="P116" s="8"/>
      <c r="Q116" s="8"/>
      <c r="R116" s="8"/>
      <c r="S116" s="8"/>
      <c r="T116" s="8"/>
      <c r="U116" s="8" t="str">
        <f t="shared" si="16"/>
        <v/>
      </c>
      <c r="V116" s="8">
        <v>1</v>
      </c>
      <c r="W116" s="8" t="str">
        <f t="shared" si="17"/>
        <v/>
      </c>
      <c r="X116" s="8">
        <v>1</v>
      </c>
      <c r="Y116" s="8" t="str">
        <f t="shared" si="18"/>
        <v/>
      </c>
      <c r="Z116" s="140" t="str">
        <f t="shared" si="19"/>
        <v/>
      </c>
      <c r="AA116" s="193">
        <f t="shared" si="20"/>
        <v>1</v>
      </c>
      <c r="AB116" s="193" t="str">
        <f t="shared" si="13"/>
        <v/>
      </c>
      <c r="AC116" s="193" t="str">
        <f t="shared" si="13"/>
        <v/>
      </c>
      <c r="AE116" s="192"/>
      <c r="AI116" s="192"/>
      <c r="AJ116" s="192"/>
      <c r="AK116" s="192"/>
      <c r="BA116" s="193" t="str">
        <f t="shared" si="14"/>
        <v/>
      </c>
      <c r="BB116" s="193" t="str">
        <f t="shared" si="14"/>
        <v/>
      </c>
    </row>
    <row r="117" spans="2:54" x14ac:dyDescent="0.25">
      <c r="B117" s="7" t="str">
        <f t="shared" si="15"/>
        <v/>
      </c>
      <c r="C117" s="4"/>
      <c r="D117" s="4"/>
      <c r="E117" s="4"/>
      <c r="F117" s="230" t="str">
        <f>IF('תנאי סף'!AO117&lt;&gt;1,"",'תנאי סף'!F117)</f>
        <v/>
      </c>
      <c r="G117" s="7" t="str">
        <f>IF($F117="","",'תנאי סף'!AA117)</f>
        <v/>
      </c>
      <c r="H117" s="7" t="str">
        <f>IF($F117="","",IFERROR('תנאי סף'!O117,$AB$1))</f>
        <v/>
      </c>
      <c r="I117" s="7"/>
      <c r="J117" s="7"/>
      <c r="K117" s="7"/>
      <c r="L117" s="7"/>
      <c r="M117" s="7"/>
      <c r="N117" s="7"/>
      <c r="O117" s="7"/>
      <c r="P117" s="8"/>
      <c r="Q117" s="8"/>
      <c r="R117" s="8"/>
      <c r="S117" s="8"/>
      <c r="T117" s="8"/>
      <c r="U117" s="8" t="str">
        <f t="shared" si="16"/>
        <v/>
      </c>
      <c r="V117" s="8">
        <v>1</v>
      </c>
      <c r="W117" s="8" t="str">
        <f t="shared" si="17"/>
        <v/>
      </c>
      <c r="X117" s="8">
        <v>1</v>
      </c>
      <c r="Y117" s="8" t="str">
        <f t="shared" si="18"/>
        <v/>
      </c>
      <c r="Z117" s="140" t="str">
        <f t="shared" si="19"/>
        <v/>
      </c>
      <c r="AA117" s="193">
        <f t="shared" si="20"/>
        <v>1</v>
      </c>
      <c r="AB117" s="193" t="str">
        <f t="shared" si="13"/>
        <v/>
      </c>
      <c r="AC117" s="193" t="str">
        <f t="shared" si="13"/>
        <v/>
      </c>
      <c r="AE117" s="192"/>
      <c r="AI117" s="192"/>
      <c r="AJ117" s="192"/>
      <c r="AK117" s="192"/>
      <c r="BA117" s="193" t="str">
        <f t="shared" si="14"/>
        <v/>
      </c>
      <c r="BB117" s="193" t="str">
        <f t="shared" si="14"/>
        <v/>
      </c>
    </row>
    <row r="118" spans="2:54" x14ac:dyDescent="0.25">
      <c r="B118" s="7" t="str">
        <f t="shared" si="15"/>
        <v/>
      </c>
      <c r="C118" s="4"/>
      <c r="D118" s="4"/>
      <c r="E118" s="4"/>
      <c r="F118" s="230" t="str">
        <f>IF('תנאי סף'!AO118&lt;&gt;1,"",'תנאי סף'!F118)</f>
        <v/>
      </c>
      <c r="G118" s="7" t="str">
        <f>IF($F118="","",'תנאי סף'!AA118)</f>
        <v/>
      </c>
      <c r="H118" s="7" t="str">
        <f>IF($F118="","",IFERROR('תנאי סף'!O118,$AB$1))</f>
        <v/>
      </c>
      <c r="I118" s="7"/>
      <c r="J118" s="7"/>
      <c r="K118" s="7"/>
      <c r="L118" s="7"/>
      <c r="M118" s="7"/>
      <c r="N118" s="7"/>
      <c r="O118" s="7"/>
      <c r="P118" s="8"/>
      <c r="Q118" s="8"/>
      <c r="R118" s="8"/>
      <c r="S118" s="8"/>
      <c r="T118" s="8"/>
      <c r="U118" s="8" t="str">
        <f t="shared" si="16"/>
        <v/>
      </c>
      <c r="V118" s="8">
        <v>1</v>
      </c>
      <c r="W118" s="8" t="str">
        <f t="shared" si="17"/>
        <v/>
      </c>
      <c r="X118" s="8">
        <v>1</v>
      </c>
      <c r="Y118" s="8" t="str">
        <f t="shared" si="18"/>
        <v/>
      </c>
      <c r="Z118" s="140" t="str">
        <f t="shared" si="19"/>
        <v/>
      </c>
      <c r="AA118" s="193">
        <f t="shared" si="20"/>
        <v>1</v>
      </c>
      <c r="AB118" s="193" t="str">
        <f t="shared" si="13"/>
        <v/>
      </c>
      <c r="AC118" s="193" t="str">
        <f t="shared" si="13"/>
        <v/>
      </c>
      <c r="AE118" s="192"/>
      <c r="AI118" s="192"/>
      <c r="AJ118" s="192"/>
      <c r="AK118" s="192"/>
      <c r="BA118" s="193" t="str">
        <f t="shared" si="14"/>
        <v/>
      </c>
      <c r="BB118" s="193" t="str">
        <f t="shared" si="14"/>
        <v/>
      </c>
    </row>
    <row r="119" spans="2:54" x14ac:dyDescent="0.25">
      <c r="B119" s="7" t="str">
        <f t="shared" si="15"/>
        <v/>
      </c>
      <c r="C119" s="4"/>
      <c r="D119" s="4"/>
      <c r="E119" s="4"/>
      <c r="F119" s="230" t="str">
        <f>IF('תנאי סף'!AO119&lt;&gt;1,"",'תנאי סף'!F119)</f>
        <v/>
      </c>
      <c r="G119" s="7" t="str">
        <f>IF($F119="","",'תנאי סף'!AA119)</f>
        <v/>
      </c>
      <c r="H119" s="7" t="str">
        <f>IF($F119="","",IFERROR('תנאי סף'!O119,$AB$1))</f>
        <v/>
      </c>
      <c r="I119" s="7"/>
      <c r="J119" s="7"/>
      <c r="K119" s="7"/>
      <c r="L119" s="7"/>
      <c r="M119" s="7"/>
      <c r="N119" s="7"/>
      <c r="O119" s="7"/>
      <c r="P119" s="8"/>
      <c r="Q119" s="8"/>
      <c r="R119" s="8"/>
      <c r="S119" s="8"/>
      <c r="T119" s="8"/>
      <c r="U119" s="8" t="str">
        <f t="shared" si="16"/>
        <v/>
      </c>
      <c r="V119" s="8">
        <v>1</v>
      </c>
      <c r="W119" s="8" t="str">
        <f t="shared" si="17"/>
        <v/>
      </c>
      <c r="X119" s="8">
        <v>1</v>
      </c>
      <c r="Y119" s="8" t="str">
        <f t="shared" si="18"/>
        <v/>
      </c>
      <c r="Z119" s="140" t="str">
        <f t="shared" si="19"/>
        <v/>
      </c>
      <c r="AA119" s="193">
        <f t="shared" si="20"/>
        <v>1</v>
      </c>
      <c r="AB119" s="193" t="str">
        <f t="shared" si="13"/>
        <v/>
      </c>
      <c r="AC119" s="193" t="str">
        <f t="shared" si="13"/>
        <v/>
      </c>
      <c r="AE119" s="192"/>
      <c r="AI119" s="192"/>
      <c r="AJ119" s="192"/>
      <c r="AK119" s="192"/>
      <c r="BA119" s="193" t="str">
        <f t="shared" si="14"/>
        <v/>
      </c>
      <c r="BB119" s="193" t="str">
        <f t="shared" si="14"/>
        <v/>
      </c>
    </row>
    <row r="120" spans="2:54" x14ac:dyDescent="0.25">
      <c r="B120" s="7" t="str">
        <f t="shared" si="15"/>
        <v/>
      </c>
      <c r="C120" s="4"/>
      <c r="D120" s="4"/>
      <c r="E120" s="4"/>
      <c r="F120" s="230" t="str">
        <f>IF('תנאי סף'!AO120&lt;&gt;1,"",'תנאי סף'!F120)</f>
        <v/>
      </c>
      <c r="G120" s="7" t="str">
        <f>IF($F120="","",'תנאי סף'!AA120)</f>
        <v/>
      </c>
      <c r="H120" s="7" t="str">
        <f>IF($F120="","",IFERROR('תנאי סף'!O120,$AB$1))</f>
        <v/>
      </c>
      <c r="I120" s="7"/>
      <c r="J120" s="7"/>
      <c r="K120" s="7"/>
      <c r="L120" s="7"/>
      <c r="M120" s="7"/>
      <c r="N120" s="7"/>
      <c r="O120" s="7"/>
      <c r="P120" s="8"/>
      <c r="Q120" s="8"/>
      <c r="R120" s="8"/>
      <c r="S120" s="8"/>
      <c r="T120" s="8"/>
      <c r="U120" s="8" t="str">
        <f t="shared" si="16"/>
        <v/>
      </c>
      <c r="V120" s="8">
        <v>1</v>
      </c>
      <c r="W120" s="8" t="str">
        <f t="shared" si="17"/>
        <v/>
      </c>
      <c r="X120" s="8">
        <v>1</v>
      </c>
      <c r="Y120" s="8" t="str">
        <f t="shared" si="18"/>
        <v/>
      </c>
      <c r="Z120" s="140" t="str">
        <f t="shared" si="19"/>
        <v/>
      </c>
      <c r="AA120" s="193">
        <f t="shared" si="20"/>
        <v>1</v>
      </c>
      <c r="AB120" s="193" t="str">
        <f t="shared" si="13"/>
        <v/>
      </c>
      <c r="AC120" s="193" t="str">
        <f t="shared" si="13"/>
        <v/>
      </c>
      <c r="AE120" s="192"/>
      <c r="AI120" s="192"/>
      <c r="AJ120" s="192"/>
      <c r="AK120" s="192"/>
      <c r="BA120" s="193" t="str">
        <f t="shared" si="14"/>
        <v/>
      </c>
      <c r="BB120" s="193" t="str">
        <f t="shared" si="14"/>
        <v/>
      </c>
    </row>
    <row r="121" spans="2:54" x14ac:dyDescent="0.25">
      <c r="B121" s="7" t="str">
        <f t="shared" si="15"/>
        <v/>
      </c>
      <c r="C121" s="4"/>
      <c r="D121" s="4"/>
      <c r="E121" s="4"/>
      <c r="F121" s="230" t="str">
        <f>IF('תנאי סף'!AO121&lt;&gt;1,"",'תנאי סף'!F121)</f>
        <v/>
      </c>
      <c r="G121" s="7" t="str">
        <f>IF($F121="","",'תנאי סף'!AA121)</f>
        <v/>
      </c>
      <c r="H121" s="7" t="str">
        <f>IF($F121="","",IFERROR('תנאי סף'!O121,$AB$1))</f>
        <v/>
      </c>
      <c r="I121" s="7"/>
      <c r="J121" s="7"/>
      <c r="K121" s="7"/>
      <c r="L121" s="7"/>
      <c r="M121" s="7"/>
      <c r="N121" s="7"/>
      <c r="O121" s="7"/>
      <c r="P121" s="8"/>
      <c r="Q121" s="8"/>
      <c r="R121" s="8"/>
      <c r="S121" s="8"/>
      <c r="T121" s="8"/>
      <c r="U121" s="8" t="str">
        <f t="shared" si="16"/>
        <v/>
      </c>
      <c r="V121" s="8">
        <v>1</v>
      </c>
      <c r="W121" s="8" t="str">
        <f t="shared" si="17"/>
        <v/>
      </c>
      <c r="X121" s="8">
        <v>1</v>
      </c>
      <c r="Y121" s="8" t="str">
        <f t="shared" si="18"/>
        <v/>
      </c>
      <c r="Z121" s="140" t="str">
        <f t="shared" si="19"/>
        <v/>
      </c>
      <c r="AA121" s="193">
        <f t="shared" si="20"/>
        <v>1</v>
      </c>
      <c r="AB121" s="193" t="str">
        <f t="shared" si="13"/>
        <v/>
      </c>
      <c r="AC121" s="193" t="str">
        <f t="shared" si="13"/>
        <v/>
      </c>
      <c r="AE121" s="192"/>
      <c r="AI121" s="192"/>
      <c r="AJ121" s="192"/>
      <c r="AK121" s="192"/>
      <c r="BA121" s="193" t="str">
        <f t="shared" si="14"/>
        <v/>
      </c>
      <c r="BB121" s="193" t="str">
        <f t="shared" si="14"/>
        <v/>
      </c>
    </row>
    <row r="122" spans="2:54" x14ac:dyDescent="0.25">
      <c r="B122" s="7" t="str">
        <f t="shared" si="15"/>
        <v/>
      </c>
      <c r="C122" s="4"/>
      <c r="D122" s="4"/>
      <c r="E122" s="4"/>
      <c r="F122" s="230" t="str">
        <f>IF('תנאי סף'!AO122&lt;&gt;1,"",'תנאי סף'!F122)</f>
        <v/>
      </c>
      <c r="G122" s="7" t="str">
        <f>IF($F122="","",'תנאי סף'!AA122)</f>
        <v/>
      </c>
      <c r="H122" s="7" t="str">
        <f>IF($F122="","",IFERROR('תנאי סף'!O122,$AB$1))</f>
        <v/>
      </c>
      <c r="I122" s="7"/>
      <c r="J122" s="7"/>
      <c r="K122" s="7"/>
      <c r="L122" s="7"/>
      <c r="M122" s="7"/>
      <c r="N122" s="7"/>
      <c r="O122" s="7"/>
      <c r="P122" s="8"/>
      <c r="Q122" s="8"/>
      <c r="R122" s="8"/>
      <c r="S122" s="8"/>
      <c r="T122" s="8"/>
      <c r="U122" s="8" t="str">
        <f t="shared" si="16"/>
        <v/>
      </c>
      <c r="V122" s="8">
        <v>1</v>
      </c>
      <c r="W122" s="8" t="str">
        <f t="shared" si="17"/>
        <v/>
      </c>
      <c r="X122" s="8">
        <v>1</v>
      </c>
      <c r="Y122" s="8" t="str">
        <f t="shared" si="18"/>
        <v/>
      </c>
      <c r="Z122" s="140" t="str">
        <f t="shared" si="19"/>
        <v/>
      </c>
      <c r="AA122" s="193">
        <f t="shared" si="20"/>
        <v>1</v>
      </c>
      <c r="AB122" s="193" t="str">
        <f t="shared" si="13"/>
        <v/>
      </c>
      <c r="AC122" s="193" t="str">
        <f t="shared" si="13"/>
        <v/>
      </c>
      <c r="AE122" s="192"/>
      <c r="AI122" s="192"/>
      <c r="AJ122" s="192"/>
      <c r="AK122" s="192"/>
      <c r="BA122" s="193" t="str">
        <f t="shared" si="14"/>
        <v/>
      </c>
      <c r="BB122" s="193" t="str">
        <f t="shared" si="14"/>
        <v/>
      </c>
    </row>
    <row r="123" spans="2:54" x14ac:dyDescent="0.25">
      <c r="B123" s="7" t="str">
        <f t="shared" si="15"/>
        <v/>
      </c>
      <c r="C123" s="4"/>
      <c r="D123" s="4"/>
      <c r="E123" s="4"/>
      <c r="F123" s="230" t="str">
        <f>IF('תנאי סף'!AO123&lt;&gt;1,"",'תנאי סף'!F123)</f>
        <v/>
      </c>
      <c r="G123" s="7" t="str">
        <f>IF($F123="","",'תנאי סף'!AA123)</f>
        <v/>
      </c>
      <c r="H123" s="7" t="str">
        <f>IF($F123="","",IFERROR('תנאי סף'!O123,$AB$1))</f>
        <v/>
      </c>
      <c r="I123" s="7"/>
      <c r="J123" s="7"/>
      <c r="K123" s="7"/>
      <c r="L123" s="7"/>
      <c r="M123" s="7"/>
      <c r="N123" s="7"/>
      <c r="O123" s="7"/>
      <c r="P123" s="8"/>
      <c r="Q123" s="8"/>
      <c r="R123" s="8"/>
      <c r="S123" s="8"/>
      <c r="T123" s="8"/>
      <c r="U123" s="8" t="str">
        <f t="shared" si="16"/>
        <v/>
      </c>
      <c r="V123" s="8">
        <v>1</v>
      </c>
      <c r="W123" s="8" t="str">
        <f t="shared" si="17"/>
        <v/>
      </c>
      <c r="X123" s="8">
        <v>1</v>
      </c>
      <c r="Y123" s="8" t="str">
        <f t="shared" si="18"/>
        <v/>
      </c>
      <c r="Z123" s="140" t="str">
        <f t="shared" si="19"/>
        <v/>
      </c>
      <c r="AA123" s="193">
        <f t="shared" si="20"/>
        <v>1</v>
      </c>
      <c r="AB123" s="193" t="str">
        <f t="shared" si="13"/>
        <v/>
      </c>
      <c r="AC123" s="193" t="str">
        <f t="shared" si="13"/>
        <v/>
      </c>
      <c r="AE123" s="192"/>
      <c r="AI123" s="192"/>
      <c r="AJ123" s="192"/>
      <c r="AK123" s="192"/>
      <c r="BA123" s="193" t="str">
        <f t="shared" si="14"/>
        <v/>
      </c>
      <c r="BB123" s="193" t="str">
        <f t="shared" si="14"/>
        <v/>
      </c>
    </row>
    <row r="124" spans="2:54" x14ac:dyDescent="0.25">
      <c r="B124" s="7" t="str">
        <f t="shared" si="15"/>
        <v/>
      </c>
      <c r="C124" s="4"/>
      <c r="D124" s="4"/>
      <c r="E124" s="4"/>
      <c r="F124" s="230" t="str">
        <f>IF('תנאי סף'!AO124&lt;&gt;1,"",'תנאי סף'!F124)</f>
        <v/>
      </c>
      <c r="G124" s="7" t="str">
        <f>IF($F124="","",'תנאי סף'!AA124)</f>
        <v/>
      </c>
      <c r="H124" s="7" t="str">
        <f>IF($F124="","",IFERROR('תנאי סף'!O124,$AB$1))</f>
        <v/>
      </c>
      <c r="I124" s="7"/>
      <c r="J124" s="7"/>
      <c r="K124" s="7"/>
      <c r="L124" s="7"/>
      <c r="M124" s="7"/>
      <c r="N124" s="7"/>
      <c r="O124" s="7"/>
      <c r="P124" s="8"/>
      <c r="Q124" s="8"/>
      <c r="R124" s="8"/>
      <c r="S124" s="8"/>
      <c r="T124" s="8"/>
      <c r="U124" s="8" t="str">
        <f t="shared" si="16"/>
        <v/>
      </c>
      <c r="V124" s="8">
        <v>1</v>
      </c>
      <c r="W124" s="8" t="str">
        <f t="shared" si="17"/>
        <v/>
      </c>
      <c r="X124" s="8">
        <v>1</v>
      </c>
      <c r="Y124" s="8" t="str">
        <f t="shared" si="18"/>
        <v/>
      </c>
      <c r="Z124" s="140" t="str">
        <f t="shared" si="19"/>
        <v/>
      </c>
      <c r="AA124" s="193">
        <f t="shared" si="20"/>
        <v>1</v>
      </c>
      <c r="AB124" s="193" t="str">
        <f t="shared" si="13"/>
        <v/>
      </c>
      <c r="AC124" s="193" t="str">
        <f t="shared" si="13"/>
        <v/>
      </c>
      <c r="AE124" s="192"/>
      <c r="AI124" s="192"/>
      <c r="AJ124" s="192"/>
      <c r="AK124" s="192"/>
      <c r="BA124" s="193" t="str">
        <f t="shared" si="14"/>
        <v/>
      </c>
      <c r="BB124" s="193" t="str">
        <f t="shared" si="14"/>
        <v/>
      </c>
    </row>
    <row r="125" spans="2:54" x14ac:dyDescent="0.25">
      <c r="B125" s="7" t="str">
        <f t="shared" si="15"/>
        <v/>
      </c>
      <c r="C125" s="4"/>
      <c r="D125" s="4"/>
      <c r="E125" s="4"/>
      <c r="F125" s="230" t="str">
        <f>IF('תנאי סף'!AO125&lt;&gt;1,"",'תנאי סף'!F125)</f>
        <v/>
      </c>
      <c r="G125" s="7" t="str">
        <f>IF($F125="","",'תנאי סף'!AA125)</f>
        <v/>
      </c>
      <c r="H125" s="7" t="str">
        <f>IF($F125="","",IFERROR('תנאי סף'!O125,$AB$1))</f>
        <v/>
      </c>
      <c r="I125" s="7"/>
      <c r="J125" s="7"/>
      <c r="K125" s="7"/>
      <c r="L125" s="7"/>
      <c r="M125" s="7"/>
      <c r="N125" s="7"/>
      <c r="O125" s="7"/>
      <c r="P125" s="8"/>
      <c r="Q125" s="8"/>
      <c r="R125" s="8"/>
      <c r="S125" s="8"/>
      <c r="T125" s="8"/>
      <c r="U125" s="8" t="str">
        <f t="shared" si="16"/>
        <v/>
      </c>
      <c r="V125" s="8">
        <v>1</v>
      </c>
      <c r="W125" s="8" t="str">
        <f t="shared" si="17"/>
        <v/>
      </c>
      <c r="X125" s="8">
        <v>1</v>
      </c>
      <c r="Y125" s="8" t="str">
        <f t="shared" si="18"/>
        <v/>
      </c>
      <c r="Z125" s="140" t="str">
        <f t="shared" si="19"/>
        <v/>
      </c>
      <c r="AA125" s="193">
        <f t="shared" si="20"/>
        <v>1</v>
      </c>
      <c r="AB125" s="193" t="str">
        <f t="shared" si="13"/>
        <v/>
      </c>
      <c r="AC125" s="193" t="str">
        <f t="shared" si="13"/>
        <v/>
      </c>
      <c r="AE125" s="192"/>
      <c r="AI125" s="192"/>
      <c r="AJ125" s="192"/>
      <c r="AK125" s="192"/>
      <c r="BA125" s="193" t="str">
        <f t="shared" si="14"/>
        <v/>
      </c>
      <c r="BB125" s="193" t="str">
        <f t="shared" si="14"/>
        <v/>
      </c>
    </row>
    <row r="126" spans="2:54" x14ac:dyDescent="0.25">
      <c r="B126" s="7" t="str">
        <f t="shared" si="15"/>
        <v/>
      </c>
      <c r="C126" s="4"/>
      <c r="D126" s="4"/>
      <c r="E126" s="4"/>
      <c r="F126" s="230" t="str">
        <f>IF('תנאי סף'!AO126&lt;&gt;1,"",'תנאי סף'!F126)</f>
        <v/>
      </c>
      <c r="G126" s="7" t="str">
        <f>IF($F126="","",'תנאי סף'!AA126)</f>
        <v/>
      </c>
      <c r="H126" s="7" t="str">
        <f>IF($F126="","",IFERROR('תנאי סף'!O126,$AB$1))</f>
        <v/>
      </c>
      <c r="I126" s="7"/>
      <c r="J126" s="7"/>
      <c r="K126" s="7"/>
      <c r="L126" s="7"/>
      <c r="M126" s="7"/>
      <c r="N126" s="7"/>
      <c r="O126" s="7"/>
      <c r="P126" s="8"/>
      <c r="Q126" s="8"/>
      <c r="R126" s="8"/>
      <c r="S126" s="8"/>
      <c r="T126" s="8"/>
      <c r="U126" s="8" t="str">
        <f t="shared" si="16"/>
        <v/>
      </c>
      <c r="V126" s="8">
        <v>1</v>
      </c>
      <c r="W126" s="8" t="str">
        <f t="shared" si="17"/>
        <v/>
      </c>
      <c r="X126" s="8">
        <v>1</v>
      </c>
      <c r="Y126" s="8" t="str">
        <f t="shared" si="18"/>
        <v/>
      </c>
      <c r="Z126" s="140" t="str">
        <f t="shared" si="19"/>
        <v/>
      </c>
      <c r="AA126" s="193">
        <f t="shared" si="20"/>
        <v>1</v>
      </c>
      <c r="AB126" s="193" t="str">
        <f t="shared" si="13"/>
        <v/>
      </c>
      <c r="AC126" s="193" t="str">
        <f t="shared" si="13"/>
        <v/>
      </c>
      <c r="AE126" s="192"/>
      <c r="AI126" s="192"/>
      <c r="AJ126" s="192"/>
      <c r="AK126" s="192"/>
      <c r="BA126" s="193" t="str">
        <f t="shared" si="14"/>
        <v/>
      </c>
      <c r="BB126" s="193" t="str">
        <f t="shared" si="14"/>
        <v/>
      </c>
    </row>
    <row r="127" spans="2:54" x14ac:dyDescent="0.25">
      <c r="B127" s="7" t="str">
        <f t="shared" si="15"/>
        <v/>
      </c>
      <c r="C127" s="4"/>
      <c r="D127" s="4"/>
      <c r="E127" s="4"/>
      <c r="F127" s="230" t="str">
        <f>IF('תנאי סף'!AO127&lt;&gt;1,"",'תנאי סף'!F127)</f>
        <v/>
      </c>
      <c r="G127" s="7" t="str">
        <f>IF($F127="","",'תנאי סף'!AA127)</f>
        <v/>
      </c>
      <c r="H127" s="7" t="str">
        <f>IF($F127="","",IFERROR('תנאי סף'!O127,$AB$1))</f>
        <v/>
      </c>
      <c r="I127" s="7"/>
      <c r="J127" s="7"/>
      <c r="K127" s="7"/>
      <c r="L127" s="7"/>
      <c r="M127" s="7"/>
      <c r="N127" s="7"/>
      <c r="O127" s="7"/>
      <c r="P127" s="8"/>
      <c r="Q127" s="8"/>
      <c r="R127" s="8"/>
      <c r="S127" s="8"/>
      <c r="T127" s="8"/>
      <c r="U127" s="8" t="str">
        <f t="shared" si="16"/>
        <v/>
      </c>
      <c r="V127" s="8">
        <v>1</v>
      </c>
      <c r="W127" s="8" t="str">
        <f t="shared" si="17"/>
        <v/>
      </c>
      <c r="X127" s="8">
        <v>1</v>
      </c>
      <c r="Y127" s="8" t="str">
        <f t="shared" si="18"/>
        <v/>
      </c>
      <c r="Z127" s="140" t="str">
        <f t="shared" si="19"/>
        <v/>
      </c>
      <c r="AA127" s="193">
        <f t="shared" si="20"/>
        <v>1</v>
      </c>
      <c r="AB127" s="193" t="str">
        <f t="shared" si="13"/>
        <v/>
      </c>
      <c r="AC127" s="193" t="str">
        <f t="shared" si="13"/>
        <v/>
      </c>
      <c r="AE127" s="192"/>
      <c r="AI127" s="192"/>
      <c r="AJ127" s="192"/>
      <c r="AK127" s="192"/>
      <c r="BA127" s="193" t="str">
        <f t="shared" si="14"/>
        <v/>
      </c>
      <c r="BB127" s="193" t="str">
        <f t="shared" si="14"/>
        <v/>
      </c>
    </row>
    <row r="128" spans="2:54" x14ac:dyDescent="0.25">
      <c r="B128" s="7" t="str">
        <f t="shared" si="15"/>
        <v/>
      </c>
      <c r="C128" s="4"/>
      <c r="D128" s="4"/>
      <c r="E128" s="4"/>
      <c r="F128" s="230" t="str">
        <f>IF('תנאי סף'!AO128&lt;&gt;1,"",'תנאי סף'!F128)</f>
        <v/>
      </c>
      <c r="G128" s="7" t="str">
        <f>IF($F128="","",'תנאי סף'!AA128)</f>
        <v/>
      </c>
      <c r="H128" s="7" t="str">
        <f>IF($F128="","",IFERROR('תנאי סף'!O128,$AB$1))</f>
        <v/>
      </c>
      <c r="I128" s="7"/>
      <c r="J128" s="7"/>
      <c r="K128" s="7"/>
      <c r="L128" s="7"/>
      <c r="M128" s="7"/>
      <c r="N128" s="7"/>
      <c r="O128" s="7"/>
      <c r="P128" s="8"/>
      <c r="Q128" s="8"/>
      <c r="R128" s="8"/>
      <c r="S128" s="8"/>
      <c r="T128" s="8"/>
      <c r="U128" s="8" t="str">
        <f t="shared" si="16"/>
        <v/>
      </c>
      <c r="V128" s="8">
        <v>1</v>
      </c>
      <c r="W128" s="8" t="str">
        <f t="shared" si="17"/>
        <v/>
      </c>
      <c r="X128" s="8">
        <v>1</v>
      </c>
      <c r="Y128" s="8" t="str">
        <f t="shared" si="18"/>
        <v/>
      </c>
      <c r="Z128" s="140" t="str">
        <f t="shared" si="19"/>
        <v/>
      </c>
      <c r="AA128" s="193">
        <f t="shared" si="20"/>
        <v>1</v>
      </c>
      <c r="AB128" s="193" t="str">
        <f t="shared" si="13"/>
        <v/>
      </c>
      <c r="AC128" s="193" t="str">
        <f t="shared" si="13"/>
        <v/>
      </c>
      <c r="AE128" s="192"/>
      <c r="AI128" s="192"/>
      <c r="AJ128" s="192"/>
      <c r="AK128" s="192"/>
      <c r="BA128" s="193" t="str">
        <f t="shared" si="14"/>
        <v/>
      </c>
      <c r="BB128" s="193" t="str">
        <f t="shared" si="14"/>
        <v/>
      </c>
    </row>
    <row r="129" spans="2:54" x14ac:dyDescent="0.25">
      <c r="B129" s="7" t="str">
        <f t="shared" si="15"/>
        <v/>
      </c>
      <c r="C129" s="4"/>
      <c r="D129" s="4"/>
      <c r="E129" s="4"/>
      <c r="F129" s="230" t="str">
        <f>IF('תנאי סף'!AO129&lt;&gt;1,"",'תנאי סף'!F129)</f>
        <v/>
      </c>
      <c r="G129" s="7" t="str">
        <f>IF($F129="","",'תנאי סף'!AA129)</f>
        <v/>
      </c>
      <c r="H129" s="7" t="str">
        <f>IF($F129="","",IFERROR('תנאי סף'!O129,$AB$1))</f>
        <v/>
      </c>
      <c r="I129" s="7"/>
      <c r="J129" s="7"/>
      <c r="K129" s="7"/>
      <c r="L129" s="7"/>
      <c r="M129" s="7"/>
      <c r="N129" s="7"/>
      <c r="O129" s="7"/>
      <c r="P129" s="8"/>
      <c r="Q129" s="8"/>
      <c r="R129" s="8"/>
      <c r="S129" s="8"/>
      <c r="T129" s="8"/>
      <c r="U129" s="8" t="str">
        <f t="shared" si="16"/>
        <v/>
      </c>
      <c r="V129" s="8">
        <v>1</v>
      </c>
      <c r="W129" s="8" t="str">
        <f t="shared" si="17"/>
        <v/>
      </c>
      <c r="X129" s="8">
        <v>1</v>
      </c>
      <c r="Y129" s="8" t="str">
        <f t="shared" si="18"/>
        <v/>
      </c>
      <c r="Z129" s="140" t="str">
        <f t="shared" si="19"/>
        <v/>
      </c>
      <c r="AA129" s="193">
        <f t="shared" si="20"/>
        <v>1</v>
      </c>
      <c r="AB129" s="193" t="str">
        <f t="shared" si="13"/>
        <v/>
      </c>
      <c r="AC129" s="193" t="str">
        <f t="shared" si="13"/>
        <v/>
      </c>
      <c r="AE129" s="192"/>
      <c r="AI129" s="192"/>
      <c r="AJ129" s="192"/>
      <c r="AK129" s="192"/>
      <c r="BA129" s="193" t="str">
        <f t="shared" si="14"/>
        <v/>
      </c>
      <c r="BB129" s="193" t="str">
        <f t="shared" si="14"/>
        <v/>
      </c>
    </row>
    <row r="130" spans="2:54" ht="16.5" thickBot="1" x14ac:dyDescent="0.3">
      <c r="B130" s="7" t="str">
        <f t="shared" si="15"/>
        <v/>
      </c>
      <c r="C130" s="4"/>
      <c r="D130" s="4"/>
      <c r="E130" s="4"/>
      <c r="F130" s="230" t="str">
        <f>IF('תנאי סף'!AO130&lt;&gt;1,"",'תנאי סף'!F130)</f>
        <v/>
      </c>
      <c r="G130" s="7" t="str">
        <f>IF($F130="","",'תנאי סף'!AA130)</f>
        <v/>
      </c>
      <c r="H130" s="7" t="str">
        <f>IF($F130="","",IFERROR('תנאי סף'!O130,$AB$1))</f>
        <v/>
      </c>
      <c r="I130" s="7"/>
      <c r="J130" s="7"/>
      <c r="K130" s="7"/>
      <c r="L130" s="7"/>
      <c r="M130" s="7"/>
      <c r="N130" s="7"/>
      <c r="O130" s="7"/>
      <c r="P130" s="8"/>
      <c r="Q130" s="8"/>
      <c r="R130" s="8"/>
      <c r="S130" s="8"/>
      <c r="T130" s="8"/>
      <c r="U130" s="8" t="str">
        <f t="shared" si="16"/>
        <v/>
      </c>
      <c r="V130" s="8">
        <v>1</v>
      </c>
      <c r="W130" s="8" t="str">
        <f t="shared" si="17"/>
        <v/>
      </c>
      <c r="X130" s="8">
        <v>1</v>
      </c>
      <c r="Y130" s="8" t="str">
        <f t="shared" si="18"/>
        <v/>
      </c>
      <c r="Z130" s="140" t="str">
        <f t="shared" si="19"/>
        <v/>
      </c>
      <c r="AA130" s="193">
        <f t="shared" si="20"/>
        <v>1</v>
      </c>
      <c r="AB130" s="193" t="str">
        <f t="shared" si="13"/>
        <v/>
      </c>
      <c r="AC130" s="193" t="str">
        <f t="shared" si="13"/>
        <v/>
      </c>
      <c r="AE130" s="192"/>
      <c r="AI130" s="192"/>
      <c r="AJ130" s="192"/>
      <c r="AK130" s="192"/>
      <c r="BA130" s="193" t="str">
        <f t="shared" si="14"/>
        <v/>
      </c>
      <c r="BB130" s="193" t="str">
        <f t="shared" si="14"/>
        <v/>
      </c>
    </row>
    <row r="131" spans="2:54" ht="19.5" thickBot="1" x14ac:dyDescent="0.35">
      <c r="B131" s="555" t="s">
        <v>77</v>
      </c>
      <c r="C131" s="556"/>
      <c r="D131" s="556"/>
      <c r="E131" s="556"/>
      <c r="F131" s="557"/>
      <c r="G131" s="9">
        <f t="shared" ref="G131:Y131" si="21">SUM(G31:G130)</f>
        <v>6737017</v>
      </c>
      <c r="H131" s="9">
        <f t="shared" si="21"/>
        <v>508</v>
      </c>
      <c r="I131" s="9">
        <f t="shared" si="21"/>
        <v>0</v>
      </c>
      <c r="J131" s="9">
        <f t="shared" si="21"/>
        <v>0</v>
      </c>
      <c r="K131" s="9">
        <f t="shared" si="21"/>
        <v>0</v>
      </c>
      <c r="L131" s="9">
        <f t="shared" si="21"/>
        <v>0</v>
      </c>
      <c r="M131" s="9">
        <f t="shared" si="21"/>
        <v>0</v>
      </c>
      <c r="N131" s="9">
        <f t="shared" si="21"/>
        <v>0</v>
      </c>
      <c r="O131" s="9">
        <f t="shared" si="21"/>
        <v>0</v>
      </c>
      <c r="P131" s="9">
        <f t="shared" si="21"/>
        <v>0</v>
      </c>
      <c r="Q131" s="9">
        <f t="shared" si="21"/>
        <v>0</v>
      </c>
      <c r="R131" s="9">
        <f t="shared" si="21"/>
        <v>0</v>
      </c>
      <c r="S131" s="9">
        <f t="shared" si="21"/>
        <v>0</v>
      </c>
      <c r="T131" s="9">
        <f t="shared" si="21"/>
        <v>0</v>
      </c>
      <c r="U131" s="9">
        <f t="shared" si="21"/>
        <v>0</v>
      </c>
      <c r="V131" s="9">
        <f t="shared" si="21"/>
        <v>100</v>
      </c>
      <c r="W131" s="9">
        <f t="shared" si="21"/>
        <v>0</v>
      </c>
      <c r="X131" s="9">
        <f t="shared" si="21"/>
        <v>100</v>
      </c>
      <c r="Y131" s="9">
        <f t="shared" si="21"/>
        <v>0</v>
      </c>
      <c r="Z131" s="124"/>
    </row>
  </sheetData>
  <sheetProtection algorithmName="SHA-512" hashValue="WW8hLzK5ivHQzFI/BCjxedpeyeC+JCX6jPkQQEda5QLRHHe1N3NuwT1eZbI0VrotPurtQhkmK7Lww2kv/9+iLQ==" saltValue="x+Anm6tKdKV2iwl8fEqB8A==" spinCount="100000" sheet="1" scenarios="1" formatCells="0" formatColumns="0" formatRows="0" autoFilter="0"/>
  <mergeCells count="23">
    <mergeCell ref="B131:F131"/>
    <mergeCell ref="J29:J30"/>
    <mergeCell ref="K29:K30"/>
    <mergeCell ref="O29:O30"/>
    <mergeCell ref="U29:U30"/>
    <mergeCell ref="H29:H30"/>
    <mergeCell ref="L29:L30"/>
    <mergeCell ref="M29:M30"/>
    <mergeCell ref="N29:N30"/>
    <mergeCell ref="B1:Z1"/>
    <mergeCell ref="F5:L5"/>
    <mergeCell ref="U5:U6"/>
    <mergeCell ref="B29:B30"/>
    <mergeCell ref="C29:C30"/>
    <mergeCell ref="D29:D30"/>
    <mergeCell ref="E29:E30"/>
    <mergeCell ref="F29:F30"/>
    <mergeCell ref="I29:I30"/>
    <mergeCell ref="X29:X30"/>
    <mergeCell ref="Y29:Y30"/>
    <mergeCell ref="Z29:Z30"/>
    <mergeCell ref="V29:V30"/>
    <mergeCell ref="W29:W30"/>
  </mergeCells>
  <conditionalFormatting sqref="B31:F34">
    <cfRule type="expression" dxfId="214" priority="235">
      <formula>B$30&lt;&gt;""</formula>
    </cfRule>
    <cfRule type="expression" dxfId="213" priority="233" stopIfTrue="1">
      <formula>AND($F31="",B31&lt;&gt;"")</formula>
    </cfRule>
    <cfRule type="expression" dxfId="212" priority="234">
      <formula>$F31=""</formula>
    </cfRule>
  </conditionalFormatting>
  <conditionalFormatting sqref="B36:F38">
    <cfRule type="expression" dxfId="211" priority="218" stopIfTrue="1">
      <formula>AND($F36="",B36&lt;&gt;"")</formula>
    </cfRule>
    <cfRule type="expression" dxfId="210" priority="220">
      <formula>B$30&lt;&gt;""</formula>
    </cfRule>
    <cfRule type="expression" dxfId="209" priority="219">
      <formula>$F36=""</formula>
    </cfRule>
  </conditionalFormatting>
  <conditionalFormatting sqref="B40:F42">
    <cfRule type="expression" dxfId="208" priority="204">
      <formula>$F40=""</formula>
    </cfRule>
    <cfRule type="expression" dxfId="207" priority="203" stopIfTrue="1">
      <formula>AND($F40="",B40&lt;&gt;"")</formula>
    </cfRule>
    <cfRule type="expression" dxfId="206" priority="205">
      <formula>B$30&lt;&gt;""</formula>
    </cfRule>
  </conditionalFormatting>
  <conditionalFormatting sqref="B45:F47">
    <cfRule type="expression" dxfId="205" priority="34" stopIfTrue="1">
      <formula>AND($F45="",B45&lt;&gt;"")</formula>
    </cfRule>
    <cfRule type="expression" dxfId="204" priority="36">
      <formula>B$30&lt;&gt;""</formula>
    </cfRule>
    <cfRule type="expression" dxfId="203" priority="35">
      <formula>$F45=""</formula>
    </cfRule>
  </conditionalFormatting>
  <conditionalFormatting sqref="B51:F54">
    <cfRule type="expression" dxfId="202" priority="173" stopIfTrue="1">
      <formula>AND($F51="",B51&lt;&gt;"")</formula>
    </cfRule>
    <cfRule type="expression" dxfId="201" priority="174">
      <formula>$F51=""</formula>
    </cfRule>
    <cfRule type="expression" dxfId="200" priority="175">
      <formula>B$30&lt;&gt;""</formula>
    </cfRule>
  </conditionalFormatting>
  <conditionalFormatting sqref="B56:F58">
    <cfRule type="expression" dxfId="199" priority="159">
      <formula>$F56=""</formula>
    </cfRule>
    <cfRule type="expression" dxfId="198" priority="160">
      <formula>B$30&lt;&gt;""</formula>
    </cfRule>
    <cfRule type="expression" dxfId="197" priority="158" stopIfTrue="1">
      <formula>AND($F56="",B56&lt;&gt;"")</formula>
    </cfRule>
  </conditionalFormatting>
  <conditionalFormatting sqref="B65:F67">
    <cfRule type="expression" dxfId="196" priority="144">
      <formula>$F65=""</formula>
    </cfRule>
    <cfRule type="expression" dxfId="195" priority="145">
      <formula>B$30&lt;&gt;""</formula>
    </cfRule>
    <cfRule type="expression" dxfId="194" priority="143" stopIfTrue="1">
      <formula>AND($F65="",B65&lt;&gt;"")</formula>
    </cfRule>
  </conditionalFormatting>
  <conditionalFormatting sqref="B69:F70">
    <cfRule type="expression" dxfId="193" priority="135">
      <formula>B$30&lt;&gt;""</formula>
    </cfRule>
    <cfRule type="expression" dxfId="192" priority="134">
      <formula>$F69=""</formula>
    </cfRule>
    <cfRule type="expression" dxfId="191" priority="133" stopIfTrue="1">
      <formula>AND($F69="",B69&lt;&gt;"")</formula>
    </cfRule>
  </conditionalFormatting>
  <conditionalFormatting sqref="B73:F73">
    <cfRule type="expression" dxfId="190" priority="128" stopIfTrue="1">
      <formula>AND($F73="",B73&lt;&gt;"")</formula>
    </cfRule>
    <cfRule type="expression" dxfId="189" priority="130">
      <formula>B$30&lt;&gt;""</formula>
    </cfRule>
    <cfRule type="expression" dxfId="188" priority="129">
      <formula>$F73=""</formula>
    </cfRule>
  </conditionalFormatting>
  <conditionalFormatting sqref="B75:F75">
    <cfRule type="expression" dxfId="187" priority="43" stopIfTrue="1">
      <formula>AND($F75="",B75&lt;&gt;"")</formula>
    </cfRule>
    <cfRule type="expression" dxfId="186" priority="44">
      <formula>$F75=""</formula>
    </cfRule>
    <cfRule type="expression" dxfId="185" priority="45">
      <formula>B$30&lt;&gt;""</formula>
    </cfRule>
  </conditionalFormatting>
  <conditionalFormatting sqref="B78:F78">
    <cfRule type="expression" dxfId="184" priority="115">
      <formula>B$30&lt;&gt;""</formula>
    </cfRule>
    <cfRule type="expression" dxfId="183" priority="113" stopIfTrue="1">
      <formula>AND($F78="",B78&lt;&gt;"")</formula>
    </cfRule>
    <cfRule type="expression" dxfId="182" priority="114">
      <formula>$F78=""</formula>
    </cfRule>
  </conditionalFormatting>
  <conditionalFormatting sqref="B82:F82">
    <cfRule type="expression" dxfId="181" priority="69">
      <formula>$F82=""</formula>
    </cfRule>
    <cfRule type="expression" dxfId="180" priority="68" stopIfTrue="1">
      <formula>AND($F82="",B82&lt;&gt;"")</formula>
    </cfRule>
    <cfRule type="expression" dxfId="179" priority="70">
      <formula>B$30&lt;&gt;""</formula>
    </cfRule>
  </conditionalFormatting>
  <conditionalFormatting sqref="B85:F87">
    <cfRule type="expression" dxfId="178" priority="50">
      <formula>B$30&lt;&gt;""</formula>
    </cfRule>
    <cfRule type="expression" dxfId="177" priority="48" stopIfTrue="1">
      <formula>AND($F85="",B85&lt;&gt;"")</formula>
    </cfRule>
    <cfRule type="expression" dxfId="176" priority="49">
      <formula>$F85=""</formula>
    </cfRule>
  </conditionalFormatting>
  <conditionalFormatting sqref="B89:F94">
    <cfRule type="expression" dxfId="175" priority="67" stopIfTrue="1">
      <formula>AND($F89="",B89&lt;&gt;"")</formula>
    </cfRule>
  </conditionalFormatting>
  <conditionalFormatting sqref="B95:F103">
    <cfRule type="expression" dxfId="174" priority="29" stopIfTrue="1">
      <formula>AND($F95="",B95&lt;&gt;"")</formula>
    </cfRule>
  </conditionalFormatting>
  <conditionalFormatting sqref="B35:F35 B39:F39 B43:F44 B48:F50 B55:F55 B59:F64 B68:F68 B71:F72 B74:F74 B76:F77 B79:F81 B83:F84 B88:F130 H31:Z130">
    <cfRule type="expression" dxfId="173" priority="296">
      <formula>B$30&lt;&gt;""</formula>
    </cfRule>
  </conditionalFormatting>
  <conditionalFormatting sqref="B35:F35 B39:F39 B43:F44 B48:F50 B55:F55 B59:F64 B68:F68 B71:F72 B74:F74 B76:F77 B79:F81 B83:F84 B88:F130 H31:Z130">
    <cfRule type="expression" dxfId="172" priority="295">
      <formula>$F31=""</formula>
    </cfRule>
  </conditionalFormatting>
  <conditionalFormatting sqref="B35:F35 B39:F39 B43:F44 B48:F50 B55:F55 B59:F64 B68:F68 B71:F72 B74:F74 B76:F77 B79:F81 B83:F84 B88:F88 B104:F130 H31:Z130">
    <cfRule type="expression" dxfId="171" priority="294" stopIfTrue="1">
      <formula>AND($F31="",B31&lt;&gt;"")</formula>
    </cfRule>
  </conditionalFormatting>
  <printOptions horizontalCentered="1"/>
  <pageMargins left="0.41" right="0.17" top="0.52" bottom="0.51" header="0.31496062992125984" footer="0.17"/>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253" operator="containsText" id="{4919849B-5172-4552-8892-D6EFF4C37EA9}">
            <xm:f>NOT(ISERROR(SEARCH($AB$1,H31)))</xm:f>
            <xm:f>$AB$1</xm:f>
            <x14:dxf>
              <fill>
                <patternFill>
                  <bgColor rgb="FFFF0000"/>
                </patternFill>
              </fill>
            </x14:dxf>
          </x14:cfRule>
          <xm:sqref>H31:O130</xm:sqref>
        </x14:conditionalFormatting>
        <x14:conditionalFormatting xmlns:xm="http://schemas.microsoft.com/office/excel/2006/main">
          <x14:cfRule type="containsText" priority="297" operator="containsText" id="{B843D2AB-9CEB-473D-AEEB-DE41674C1065}">
            <xm:f>NOT(ISERROR(SEARCH($AB$1,B31)))</xm:f>
            <xm:f>$AB$1</xm:f>
            <x14:dxf>
              <fill>
                <patternFill>
                  <bgColor rgb="FFFF0000"/>
                </patternFill>
              </fill>
            </x14:dxf>
          </x14:cfRule>
          <xm:sqref>L31 B31:F130 P31:Z130 L32:M130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orksheet______4">
    <tabColor theme="4" tint="-0.249977111117893"/>
    <pageSetUpPr fitToPage="1"/>
  </sheetPr>
  <dimension ref="A1:BJ180"/>
  <sheetViews>
    <sheetView rightToLeft="1" view="pageBreakPreview" topLeftCell="B1" zoomScale="115" zoomScaleNormal="100" zoomScaleSheetLayoutView="115"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2" style="193" customWidth="1"/>
    <col min="7" max="7" width="14.140625" style="193" customWidth="1"/>
    <col min="8" max="8" width="21.42578125" style="214" customWidth="1"/>
    <col min="9" max="9" width="21.42578125" style="193" hidden="1" customWidth="1"/>
    <col min="10" max="10" width="17.42578125" style="193" hidden="1" customWidth="1"/>
    <col min="11" max="18" width="21.42578125" style="193" hidden="1" customWidth="1"/>
    <col min="19" max="19" width="21.42578125" style="193" customWidth="1"/>
    <col min="20" max="20" width="17.5703125" style="193" customWidth="1"/>
    <col min="21" max="21" width="14" style="193" customWidth="1"/>
    <col min="22" max="23" width="21.42578125" style="193" customWidth="1"/>
    <col min="24" max="25" width="21.42578125" style="193" hidden="1" customWidth="1"/>
    <col min="26" max="26" width="16" style="193" bestFit="1"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5.5" customHeight="1" thickBot="1" x14ac:dyDescent="0.3">
      <c r="B1" s="534" t="str">
        <f ca="1">MID(CELL("filename",AC2),FIND("]",CELL("filename",AC2),1)+1,99)</f>
        <v>מספר הרצות</v>
      </c>
      <c r="C1" s="536"/>
      <c r="D1" s="536"/>
      <c r="E1" s="536"/>
      <c r="F1" s="536"/>
      <c r="G1" s="536"/>
      <c r="H1" s="536"/>
      <c r="I1" s="536"/>
      <c r="J1" s="536"/>
      <c r="K1" s="536"/>
      <c r="L1" s="536"/>
      <c r="M1" s="536"/>
      <c r="N1" s="536"/>
      <c r="O1" s="536"/>
      <c r="P1" s="536"/>
      <c r="Q1" s="536"/>
      <c r="R1" s="536"/>
      <c r="S1" s="536"/>
      <c r="T1" s="536"/>
      <c r="U1" s="536"/>
      <c r="V1" s="536"/>
      <c r="W1" s="536"/>
      <c r="X1" s="536"/>
      <c r="Y1" s="536"/>
      <c r="Z1" s="535"/>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W2" s="198" t="str">
        <f>'פרמטרים לקריטריונים'!$B$4</f>
        <v>שנת תקציב</v>
      </c>
      <c r="X2" s="237"/>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0</v>
      </c>
    </row>
    <row r="3" spans="2:52" ht="19.5" thickBot="1" x14ac:dyDescent="0.3">
      <c r="W3" s="199" t="str">
        <f>'פרמטרים לקריטריונים'!$B$5</f>
        <v>תקציב התמיכה</v>
      </c>
      <c r="X3" s="238"/>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לקריטריונים'!B61</f>
        <v>סעיף</v>
      </c>
      <c r="G4" s="406" t="str">
        <f>'פרמטרים לקריטריונים'!C61</f>
        <v>ניקוד</v>
      </c>
      <c r="AD4" s="192" t="s">
        <v>128</v>
      </c>
      <c r="AE4" s="234">
        <v>1</v>
      </c>
      <c r="AF4" s="235">
        <v>2</v>
      </c>
      <c r="AG4" s="235">
        <v>3</v>
      </c>
      <c r="AH4" s="235">
        <v>4</v>
      </c>
      <c r="AI4" s="235">
        <v>5</v>
      </c>
      <c r="AJ4" s="235">
        <v>6</v>
      </c>
      <c r="AK4" s="235">
        <v>7</v>
      </c>
      <c r="AL4" s="235">
        <v>8</v>
      </c>
      <c r="AM4" s="235">
        <v>9</v>
      </c>
      <c r="AN4" s="236">
        <v>10</v>
      </c>
    </row>
    <row r="5" spans="2:52" x14ac:dyDescent="0.25">
      <c r="F5" s="407" t="str">
        <f>'פרמטרים לקריטריונים'!B62</f>
        <v>בעד כל הרצה</v>
      </c>
      <c r="G5" s="408">
        <f>'פרמטרים לקריטריונים'!C62</f>
        <v>1</v>
      </c>
    </row>
    <row r="6" spans="2:52" ht="31.5" x14ac:dyDescent="0.25">
      <c r="F6" s="407" t="str">
        <f>'פרמטרים לקריטריונים'!B63</f>
        <v>שיעור מקס' ניקוד הרצות חו"ל מתוך הרצות בישראל</v>
      </c>
      <c r="G6" s="409">
        <f>'פרמטרים לקריטריונים'!C63</f>
        <v>0.15</v>
      </c>
    </row>
    <row r="7" spans="2:52" x14ac:dyDescent="0.25">
      <c r="T7" s="336"/>
    </row>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idden="1" x14ac:dyDescent="0.25"/>
    <row r="22" spans="1:62" hidden="1" x14ac:dyDescent="0.25"/>
    <row r="23" spans="1:62" x14ac:dyDescent="0.25">
      <c r="F23" s="410" t="str">
        <f>'פרמטרים לקריטריונים'!$D$31</f>
        <v>החלת מקדם תלוי משתנה</v>
      </c>
      <c r="G23" s="411">
        <f ca="1">VLOOKUP(B1,'פרמטרים לקריטריונים'!$B$32:$D$46,3,0)</f>
        <v>1</v>
      </c>
    </row>
    <row r="24" spans="1:62" hidden="1" x14ac:dyDescent="0.25"/>
    <row r="25" spans="1:62" hidden="1" x14ac:dyDescent="0.25"/>
    <row r="26" spans="1:62" hidden="1" x14ac:dyDescent="0.25">
      <c r="F26" s="3"/>
      <c r="G26" s="3"/>
      <c r="H26" s="386"/>
      <c r="I26" s="3"/>
      <c r="J26" s="3"/>
      <c r="K26" s="3"/>
      <c r="L26" s="3"/>
      <c r="M26" s="3"/>
      <c r="N26" s="3"/>
      <c r="O26" s="3"/>
      <c r="P26" s="3"/>
      <c r="Q26" s="3"/>
      <c r="R26" s="3"/>
      <c r="S26" s="3"/>
      <c r="T26" s="3"/>
      <c r="U26" s="3"/>
      <c r="V26" s="3"/>
      <c r="W26" s="3"/>
      <c r="X26" s="3"/>
      <c r="Y26" s="3"/>
    </row>
    <row r="27" spans="1:62" hidden="1" x14ac:dyDescent="0.25">
      <c r="B27" s="214"/>
      <c r="C27" s="214"/>
      <c r="D27" s="214"/>
      <c r="E27" s="214"/>
      <c r="F27" s="214"/>
      <c r="G27" s="3"/>
      <c r="H27" s="386"/>
      <c r="I27" s="3"/>
      <c r="J27" s="3"/>
      <c r="K27" s="3"/>
      <c r="L27" s="3"/>
      <c r="M27" s="3"/>
      <c r="N27" s="3"/>
      <c r="O27" s="3"/>
      <c r="P27" s="3"/>
      <c r="Q27" s="3"/>
      <c r="R27" s="3"/>
      <c r="S27" s="3"/>
      <c r="T27" s="3"/>
      <c r="U27" s="3"/>
      <c r="V27" s="3"/>
      <c r="W27" s="3"/>
      <c r="X27" s="3"/>
      <c r="Y27" s="3"/>
      <c r="Z27" s="3"/>
    </row>
    <row r="28" spans="1:62" ht="16.5" thickBot="1" x14ac:dyDescent="0.3">
      <c r="B28" s="214"/>
      <c r="C28" s="214"/>
      <c r="D28" s="214"/>
      <c r="E28" s="214"/>
      <c r="F28" s="214"/>
      <c r="G28" s="3"/>
      <c r="H28" s="386"/>
      <c r="I28" s="3"/>
      <c r="J28" s="3"/>
      <c r="K28" s="3"/>
      <c r="L28" s="3"/>
      <c r="M28" s="3"/>
      <c r="N28" s="3"/>
      <c r="O28" s="3"/>
      <c r="P28" s="3"/>
      <c r="Q28" s="3"/>
      <c r="R28" s="3"/>
      <c r="S28" s="3"/>
      <c r="T28" s="3"/>
      <c r="U28" s="3"/>
      <c r="V28" s="3"/>
      <c r="W28" s="3"/>
      <c r="X28" s="3"/>
      <c r="Y28" s="3"/>
      <c r="AA28" s="167"/>
      <c r="AD28" s="192" t="e">
        <f>MATCH(G$30,$AE$1:$AM$1,0)</f>
        <v>#N/A</v>
      </c>
      <c r="AE28" s="192">
        <f t="shared" ref="AE28:AV28" si="0">MATCH(H$30,$AE$1:$AM$1,0)</f>
        <v>5</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30.75" customHeight="1" thickBot="1" x14ac:dyDescent="0.3">
      <c r="A29" s="221">
        <v>100</v>
      </c>
      <c r="B29" s="544" t="s">
        <v>132</v>
      </c>
      <c r="C29" s="546">
        <f>COLUMN()</f>
        <v>3</v>
      </c>
      <c r="D29" s="546">
        <f>COLUMN()</f>
        <v>4</v>
      </c>
      <c r="E29" s="546">
        <f>COLUMN()</f>
        <v>5</v>
      </c>
      <c r="F29" s="542" t="s">
        <v>133</v>
      </c>
      <c r="G29" s="542" t="str">
        <f>'תנאי סף'!Z29</f>
        <v>מספר הרצות בישראל</v>
      </c>
      <c r="H29" s="239" t="s">
        <v>194</v>
      </c>
      <c r="I29" s="232" t="s">
        <v>119</v>
      </c>
      <c r="J29" s="232" t="s">
        <v>120</v>
      </c>
      <c r="K29" s="232" t="s">
        <v>121</v>
      </c>
      <c r="L29" s="232" t="s">
        <v>122</v>
      </c>
      <c r="M29" s="232" t="s">
        <v>123</v>
      </c>
      <c r="N29" s="232" t="s">
        <v>124</v>
      </c>
      <c r="O29" s="232" t="s">
        <v>125</v>
      </c>
      <c r="P29" s="232" t="s">
        <v>117</v>
      </c>
      <c r="Q29" s="546">
        <f>COLUMN()</f>
        <v>17</v>
      </c>
      <c r="R29" s="546">
        <f>COLUMN()</f>
        <v>18</v>
      </c>
      <c r="S29" s="542" t="s">
        <v>195</v>
      </c>
      <c r="T29" s="542" t="s">
        <v>196</v>
      </c>
      <c r="U29" s="542" t="s">
        <v>197</v>
      </c>
      <c r="V29" s="542" t="s">
        <v>193</v>
      </c>
      <c r="W29" s="542" t="s">
        <v>198</v>
      </c>
      <c r="X29" s="546" t="s">
        <v>190</v>
      </c>
      <c r="Y29" s="546" t="s">
        <v>192</v>
      </c>
      <c r="Z29" s="553" t="s">
        <v>199</v>
      </c>
      <c r="AA29" s="224" t="s">
        <v>159</v>
      </c>
      <c r="AD29" s="192" t="str">
        <f>"בקרת "&amp;G29</f>
        <v>בקרת מספר הרצות בישראל</v>
      </c>
      <c r="AE29" s="192" t="str">
        <f t="shared" ref="AE29:AV29" si="1">"בקרת "&amp;H29</f>
        <v>בקרת מספר הרצות מחוץ לישראל</v>
      </c>
      <c r="AF29" s="192" t="str">
        <f t="shared" si="1"/>
        <v>בקרת מספר שלם</v>
      </c>
      <c r="AG29" s="192" t="str">
        <f t="shared" si="1"/>
        <v>בקרת מספר שאינו שלילי</v>
      </c>
      <c r="AH29" s="192" t="str">
        <f t="shared" si="1"/>
        <v>בקרת מספר שלם שאינו שלילי</v>
      </c>
      <c r="AI29" s="192" t="str">
        <f t="shared" si="1"/>
        <v>בקרת מספר חיובי</v>
      </c>
      <c r="AJ29" s="192" t="str">
        <f t="shared" si="1"/>
        <v>בקרת מספר שלם חיובי</v>
      </c>
      <c r="AK29" s="192" t="str">
        <f t="shared" si="1"/>
        <v>בקרת טקסט</v>
      </c>
      <c r="AL29" s="192" t="str">
        <f t="shared" si="1"/>
        <v>בקרת טקסט מרשימה סגורה</v>
      </c>
      <c r="AM29" s="192" t="str">
        <f t="shared" si="1"/>
        <v>בקרת 0/1</v>
      </c>
      <c r="AN29" s="192" t="str">
        <f t="shared" si="1"/>
        <v>בקרת 17</v>
      </c>
      <c r="AO29" s="192" t="str">
        <f t="shared" si="1"/>
        <v>בקרת 18</v>
      </c>
      <c r="AP29" s="192" t="str">
        <f t="shared" si="1"/>
        <v>בקרת ניקוד הרצות בישראל</v>
      </c>
      <c r="AQ29" s="192" t="str">
        <f t="shared" si="1"/>
        <v>בקרת ניקוד הרצות בחו"ל</v>
      </c>
      <c r="AR29" s="192" t="str">
        <f t="shared" si="1"/>
        <v>בקרת סה"כ ניקוד</v>
      </c>
      <c r="AS29" s="192" t="str">
        <f t="shared" si="1"/>
        <v>בקרת מקדם גודל</v>
      </c>
      <c r="AT29" s="192" t="str">
        <f t="shared" si="1"/>
        <v>בקרת ניקוד לאחר מקדם גודל</v>
      </c>
      <c r="AU29" s="192" t="str">
        <f t="shared" si="1"/>
        <v>בקרת נתון למכפיל1</v>
      </c>
      <c r="AV29" s="192" t="str">
        <f t="shared" si="1"/>
        <v>בקרת ניקוד לאחר מכפיל2</v>
      </c>
      <c r="BA29" s="192" t="s">
        <v>128</v>
      </c>
    </row>
    <row r="30" spans="1:62" ht="23.25" customHeight="1" thickBot="1" x14ac:dyDescent="0.3">
      <c r="A30" s="225"/>
      <c r="B30" s="545"/>
      <c r="C30" s="547"/>
      <c r="D30" s="547"/>
      <c r="E30" s="547"/>
      <c r="F30" s="543"/>
      <c r="G30" s="550"/>
      <c r="H30" s="240" t="s">
        <v>121</v>
      </c>
      <c r="I30" s="233"/>
      <c r="J30" s="233"/>
      <c r="K30" s="233"/>
      <c r="L30" s="233"/>
      <c r="M30" s="233"/>
      <c r="N30" s="233"/>
      <c r="O30" s="233"/>
      <c r="P30" s="233"/>
      <c r="Q30" s="547"/>
      <c r="R30" s="547"/>
      <c r="S30" s="550"/>
      <c r="T30" s="550"/>
      <c r="U30" s="543"/>
      <c r="V30" s="543"/>
      <c r="W30" s="543"/>
      <c r="X30" s="547"/>
      <c r="Y30" s="547"/>
      <c r="Z30" s="554"/>
      <c r="AB30" s="192">
        <v>0</v>
      </c>
      <c r="AC30" s="192">
        <v>1</v>
      </c>
      <c r="AD30" s="192">
        <f>G30</f>
        <v>0</v>
      </c>
      <c r="AE30" s="192" t="str">
        <f t="shared" ref="AE30:AV30" si="2">H30</f>
        <v>מספר שלם שאינו שלילי</v>
      </c>
      <c r="AF30" s="192">
        <f t="shared" si="2"/>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20.25" customHeight="1" x14ac:dyDescent="0.25">
      <c r="B31" s="160">
        <f>IF(F31="","",ROW()-30)</f>
        <v>1</v>
      </c>
      <c r="C31" s="157"/>
      <c r="D31" s="157"/>
      <c r="E31" s="157"/>
      <c r="F31" s="349" t="str">
        <f>IF('תנאי סף'!AO31&lt;&gt;1,"",'תנאי סף'!F31)</f>
        <v>אנסמבל פרץ אליהו</v>
      </c>
      <c r="G31" s="159">
        <f>IF($F31="","",'תנאי סף'!Z31)</f>
        <v>16</v>
      </c>
      <c r="H31" s="6">
        <v>0</v>
      </c>
      <c r="I31" s="158"/>
      <c r="J31" s="176"/>
      <c r="K31" s="158"/>
      <c r="L31" s="176"/>
      <c r="M31" s="158"/>
      <c r="N31" s="158"/>
      <c r="O31" s="158"/>
      <c r="P31" s="177"/>
      <c r="Q31" s="159"/>
      <c r="R31" s="159"/>
      <c r="S31" s="159">
        <f>IF($F31="","",IF($AA31&lt;&gt;1,$AB$1,G31*$G$5))</f>
        <v>16</v>
      </c>
      <c r="T31" s="159">
        <f>IF($F31="","",IF($AA31&lt;&gt;1,$AB$1,MIN($G$6*S31,H31*$G$5)))</f>
        <v>0</v>
      </c>
      <c r="U31" s="159">
        <f>IF($F31="","",IF($AA31&lt;&gt;1,$AB$1,SUM(S31:T31)))</f>
        <v>16</v>
      </c>
      <c r="V31" s="159">
        <f>סיווג!Z31</f>
        <v>1</v>
      </c>
      <c r="W31" s="159">
        <f>IF($F31="","",IF($AA31&lt;&gt;1,$AB$1,IFERROR(U31*V31,$AB$1)))</f>
        <v>16</v>
      </c>
      <c r="X31" s="159">
        <v>1</v>
      </c>
      <c r="Y31" s="159">
        <f>IF($F31="","",IF($AA31&lt;&gt;1,$AB$1,IFERROR(W31*X31,$AB$1)))</f>
        <v>16</v>
      </c>
      <c r="Z31" s="343">
        <f>IF($F31="","",IF(OR($AA31&lt;&gt;1,Y31=$AB$1),$AB$1,IFERROR(Y31/SUM($Y$31:$Y$130),0)))</f>
        <v>2.8922893373945893E-2</v>
      </c>
      <c r="AA31" s="192">
        <f>IF(SUM(AD31:AV31)=COUNT(AD31:AV31),1,0)</f>
        <v>1</v>
      </c>
      <c r="AB31" s="192">
        <f>IF($F31="","",AB$30)</f>
        <v>0</v>
      </c>
      <c r="AC31" s="192">
        <f>IF($F31="","",AC$30)</f>
        <v>1</v>
      </c>
      <c r="AE31" s="192">
        <f t="shared" ref="AE31:AE45" si="4">IF(H$30="",1,IF(H31="",0,IFERROR(CHOOSE(AE$28,IF(ISNA(MATCH(H31,$AB$30:$AC$30,0)),0,1),IF(ISNUMBER(H31),1,0),IF(H31=TRUNC(H31),1,0),IF(AND(H31*1=H31,H31&gt;=0),1,0),IF(AND(H31=TRUNC(H31),H31&gt;=0),1,0),IF(AND(H31*1=H31,H31&gt;0),1,0),IF(AND(H31=TRUNC(H31),H31&gt;0),1,0),1,IF(ISNA(HLOOKUP(H31,$AE$4:$AN$4,1,0)),0,1)),0)))</f>
        <v>1</v>
      </c>
      <c r="BA31" s="192">
        <f>IF($F31="","",BA$30)</f>
        <v>1</v>
      </c>
      <c r="BB31" s="192">
        <f t="shared" ref="BB31:BJ31" si="5">IF($F31="","",BB$30)</f>
        <v>2</v>
      </c>
      <c r="BC31" s="192">
        <f t="shared" si="5"/>
        <v>3</v>
      </c>
      <c r="BD31" s="192">
        <f t="shared" si="5"/>
        <v>4</v>
      </c>
      <c r="BE31" s="192">
        <f t="shared" si="5"/>
        <v>5</v>
      </c>
      <c r="BF31" s="192">
        <f t="shared" si="5"/>
        <v>6</v>
      </c>
      <c r="BG31" s="192">
        <f t="shared" si="5"/>
        <v>7</v>
      </c>
      <c r="BH31" s="192">
        <f t="shared" si="5"/>
        <v>8</v>
      </c>
      <c r="BI31" s="192">
        <f t="shared" si="5"/>
        <v>9</v>
      </c>
      <c r="BJ31" s="192">
        <f t="shared" si="5"/>
        <v>10</v>
      </c>
    </row>
    <row r="32" spans="1:62" ht="26.25" hidden="1" customHeight="1" x14ac:dyDescent="0.25">
      <c r="B32" s="242" t="str">
        <f t="shared" ref="B32:B95" si="6">IF(F32="","",ROW()-30)</f>
        <v/>
      </c>
      <c r="C32" s="4"/>
      <c r="D32" s="4"/>
      <c r="E32" s="4"/>
      <c r="F32" s="350" t="str">
        <f>IF('תנאי סף'!AO32&lt;&gt;1,"",'תנאי סף'!F32)</f>
        <v/>
      </c>
      <c r="G32" s="159" t="str">
        <f>IF($F32="","",'תנאי סף'!Z32)</f>
        <v/>
      </c>
      <c r="H32" s="6"/>
      <c r="I32" s="6"/>
      <c r="J32" s="5"/>
      <c r="K32" s="6"/>
      <c r="L32" s="5"/>
      <c r="M32" s="6"/>
      <c r="N32" s="6"/>
      <c r="O32" s="158"/>
      <c r="P32" s="177"/>
      <c r="Q32" s="8"/>
      <c r="R32" s="8"/>
      <c r="S32" s="159" t="str">
        <f t="shared" ref="S32:S95" si="7">IF($F32="","",IF($AA32&lt;&gt;1,$AB$1,G32*$G$5))</f>
        <v/>
      </c>
      <c r="T32" s="159" t="str">
        <f t="shared" ref="T32:T95" si="8">IF($F32="","",IF($AA32&lt;&gt;1,$AB$1,MIN($G$6*S32,H32*$G$5)))</f>
        <v/>
      </c>
      <c r="U32" s="159" t="str">
        <f t="shared" ref="U32:U95" si="9">IF($F32="","",IF($AA32&lt;&gt;1,$AB$1,SUM(S32:T32)))</f>
        <v/>
      </c>
      <c r="V32" s="159" t="str">
        <f>סיווג!Z32</f>
        <v/>
      </c>
      <c r="W32" s="8" t="str">
        <f t="shared" ref="W32:W95" si="10">IF($F32="","",IF($AA32&lt;&gt;1,$AB$1,IFERROR(U32*V32,$AB$1)))</f>
        <v/>
      </c>
      <c r="X32" s="8">
        <v>1</v>
      </c>
      <c r="Y32" s="8" t="str">
        <f t="shared" ref="Y32:Y95" si="11">IF($F32="","",IF($AA32&lt;&gt;1,$AB$1,IFERROR(W32*X32,$AB$1)))</f>
        <v/>
      </c>
      <c r="Z32" s="351" t="str">
        <f t="shared" ref="Z32:Z95" si="12">IF($F32="","",IF(OR($AA32&lt;&gt;1,Y32=$AB$1),$AB$1,IFERROR(Y32/SUM($Y$31:$Y$130),0)))</f>
        <v/>
      </c>
      <c r="AA32" s="192">
        <f t="shared" ref="AA32:AA95" si="13">IF(SUM(AD32:AV32)=COUNT(AD32:AV32),1,0)</f>
        <v>0</v>
      </c>
      <c r="AB32" s="192" t="str">
        <f t="shared" ref="AB32:AC63" si="14">IF($F32="","",AB$30)</f>
        <v/>
      </c>
      <c r="AC32" s="192" t="str">
        <f t="shared" si="14"/>
        <v/>
      </c>
      <c r="AE32" s="192">
        <f t="shared" si="4"/>
        <v>0</v>
      </c>
    </row>
    <row r="33" spans="2:31" ht="27" customHeight="1" x14ac:dyDescent="0.25">
      <c r="B33" s="242" t="str">
        <f t="shared" si="6"/>
        <v/>
      </c>
      <c r="C33" s="4"/>
      <c r="D33" s="4"/>
      <c r="E33" s="4"/>
      <c r="F33" s="350" t="str">
        <f>IF('תנאי סף'!AO33&lt;&gt;1,"",'תנאי סף'!F33)</f>
        <v/>
      </c>
      <c r="G33" s="159" t="str">
        <f>IF($F33="","",'תנאי סף'!Z33)</f>
        <v/>
      </c>
      <c r="H33" s="6"/>
      <c r="I33" s="6"/>
      <c r="J33" s="5"/>
      <c r="K33" s="6"/>
      <c r="L33" s="5"/>
      <c r="M33" s="6"/>
      <c r="N33" s="6"/>
      <c r="O33" s="158"/>
      <c r="P33" s="177"/>
      <c r="Q33" s="8"/>
      <c r="R33" s="8"/>
      <c r="S33" s="159" t="str">
        <f t="shared" si="7"/>
        <v/>
      </c>
      <c r="T33" s="159" t="str">
        <f t="shared" si="8"/>
        <v/>
      </c>
      <c r="U33" s="159" t="str">
        <f t="shared" si="9"/>
        <v/>
      </c>
      <c r="V33" s="159" t="str">
        <f>סיווג!Z33</f>
        <v/>
      </c>
      <c r="W33" s="8" t="str">
        <f t="shared" si="10"/>
        <v/>
      </c>
      <c r="X33" s="8">
        <v>1</v>
      </c>
      <c r="Y33" s="8" t="str">
        <f t="shared" si="11"/>
        <v/>
      </c>
      <c r="Z33" s="351" t="str">
        <f t="shared" si="12"/>
        <v/>
      </c>
      <c r="AA33" s="192">
        <f t="shared" si="13"/>
        <v>0</v>
      </c>
      <c r="AB33" s="192" t="str">
        <f t="shared" si="14"/>
        <v/>
      </c>
      <c r="AC33" s="192" t="str">
        <f t="shared" si="14"/>
        <v/>
      </c>
      <c r="AE33" s="192">
        <f t="shared" si="4"/>
        <v>0</v>
      </c>
    </row>
    <row r="34" spans="2:31" ht="29.25" customHeight="1" x14ac:dyDescent="0.25">
      <c r="B34" s="242">
        <f t="shared" si="6"/>
        <v>4</v>
      </c>
      <c r="C34" s="4"/>
      <c r="D34" s="4"/>
      <c r="E34" s="4"/>
      <c r="F34" s="350" t="str">
        <f>IF('תנאי סף'!AO34&lt;&gt;1,"",'תנאי סף'!F34)</f>
        <v>יניב ד'אור - אנסמבל נאיה</v>
      </c>
      <c r="G34" s="159">
        <f>IF($F34="","",'תנאי סף'!Z34)</f>
        <v>8</v>
      </c>
      <c r="H34" s="6">
        <v>7</v>
      </c>
      <c r="I34" s="6"/>
      <c r="J34" s="5"/>
      <c r="K34" s="6"/>
      <c r="L34" s="5"/>
      <c r="M34" s="6"/>
      <c r="N34" s="6"/>
      <c r="O34" s="158"/>
      <c r="P34" s="177"/>
      <c r="Q34" s="8"/>
      <c r="R34" s="8"/>
      <c r="S34" s="159">
        <f t="shared" si="7"/>
        <v>8</v>
      </c>
      <c r="T34" s="159">
        <f t="shared" si="8"/>
        <v>1.2</v>
      </c>
      <c r="U34" s="159">
        <f t="shared" si="9"/>
        <v>9.1999999999999993</v>
      </c>
      <c r="V34" s="159">
        <f>סיווג!Z34</f>
        <v>0.8</v>
      </c>
      <c r="W34" s="8">
        <f t="shared" si="10"/>
        <v>7.3599999999999994</v>
      </c>
      <c r="X34" s="8">
        <v>1</v>
      </c>
      <c r="Y34" s="8">
        <f t="shared" si="11"/>
        <v>7.3599999999999994</v>
      </c>
      <c r="Z34" s="351">
        <f t="shared" si="12"/>
        <v>1.3304530952015109E-2</v>
      </c>
      <c r="AA34" s="192">
        <f t="shared" si="13"/>
        <v>1</v>
      </c>
      <c r="AB34" s="192">
        <f t="shared" si="14"/>
        <v>0</v>
      </c>
      <c r="AC34" s="192">
        <f t="shared" si="14"/>
        <v>1</v>
      </c>
      <c r="AE34" s="192">
        <f t="shared" si="4"/>
        <v>1</v>
      </c>
    </row>
    <row r="35" spans="2:31" hidden="1" x14ac:dyDescent="0.25">
      <c r="B35" s="242" t="str">
        <f t="shared" si="6"/>
        <v/>
      </c>
      <c r="C35" s="4"/>
      <c r="D35" s="4"/>
      <c r="E35" s="4"/>
      <c r="F35" s="350" t="str">
        <f>IF('תנאי סף'!AO35&lt;&gt;1,"",'תנאי סף'!F35)</f>
        <v/>
      </c>
      <c r="G35" s="159" t="str">
        <f>IF($F35="","",'תנאי סף'!Z35)</f>
        <v/>
      </c>
      <c r="H35" s="6"/>
      <c r="I35" s="6"/>
      <c r="J35" s="5"/>
      <c r="K35" s="6"/>
      <c r="L35" s="5"/>
      <c r="M35" s="6"/>
      <c r="N35" s="6"/>
      <c r="O35" s="158"/>
      <c r="P35" s="177"/>
      <c r="Q35" s="8"/>
      <c r="R35" s="8"/>
      <c r="S35" s="159" t="str">
        <f t="shared" si="7"/>
        <v/>
      </c>
      <c r="T35" s="159" t="str">
        <f t="shared" si="8"/>
        <v/>
      </c>
      <c r="U35" s="159" t="str">
        <f t="shared" si="9"/>
        <v/>
      </c>
      <c r="V35" s="159" t="str">
        <f>סיווג!Z35</f>
        <v/>
      </c>
      <c r="W35" s="8" t="str">
        <f t="shared" si="10"/>
        <v/>
      </c>
      <c r="X35" s="8">
        <v>1</v>
      </c>
      <c r="Y35" s="8" t="str">
        <f t="shared" si="11"/>
        <v/>
      </c>
      <c r="Z35" s="351" t="str">
        <f t="shared" si="12"/>
        <v/>
      </c>
      <c r="AA35" s="192">
        <f t="shared" si="13"/>
        <v>0</v>
      </c>
      <c r="AB35" s="192" t="str">
        <f t="shared" si="14"/>
        <v/>
      </c>
      <c r="AC35" s="192" t="str">
        <f t="shared" si="14"/>
        <v/>
      </c>
      <c r="AE35" s="192">
        <f t="shared" si="4"/>
        <v>0</v>
      </c>
    </row>
    <row r="36" spans="2:31" ht="21.75" customHeight="1" x14ac:dyDescent="0.25">
      <c r="B36" s="242">
        <f t="shared" si="6"/>
        <v>6</v>
      </c>
      <c r="C36" s="4"/>
      <c r="D36" s="4"/>
      <c r="E36" s="4"/>
      <c r="F36" s="350" t="str">
        <f>IF('תנאי סף'!AO36&lt;&gt;1,"",'תנאי סף'!F36)</f>
        <v>הפרויקט הקאמרי הישראלי</v>
      </c>
      <c r="G36" s="159">
        <f>IF($F36="","",'תנאי סף'!Z36)</f>
        <v>8</v>
      </c>
      <c r="H36" s="6">
        <v>11</v>
      </c>
      <c r="I36" s="6"/>
      <c r="J36" s="5"/>
      <c r="K36" s="6"/>
      <c r="L36" s="5"/>
      <c r="M36" s="6"/>
      <c r="N36" s="6"/>
      <c r="O36" s="158"/>
      <c r="P36" s="177"/>
      <c r="Q36" s="8"/>
      <c r="R36" s="8"/>
      <c r="S36" s="159">
        <f t="shared" si="7"/>
        <v>8</v>
      </c>
      <c r="T36" s="159">
        <f t="shared" si="8"/>
        <v>1.2</v>
      </c>
      <c r="U36" s="159">
        <f t="shared" si="9"/>
        <v>9.1999999999999993</v>
      </c>
      <c r="V36" s="159">
        <f>סיווג!Z36</f>
        <v>1</v>
      </c>
      <c r="W36" s="8">
        <f t="shared" si="10"/>
        <v>9.1999999999999993</v>
      </c>
      <c r="X36" s="8">
        <v>1</v>
      </c>
      <c r="Y36" s="8">
        <f t="shared" si="11"/>
        <v>9.1999999999999993</v>
      </c>
      <c r="Z36" s="351">
        <f t="shared" si="12"/>
        <v>1.6630663690018886E-2</v>
      </c>
      <c r="AA36" s="192">
        <f t="shared" si="13"/>
        <v>1</v>
      </c>
      <c r="AB36" s="192">
        <f t="shared" si="14"/>
        <v>0</v>
      </c>
      <c r="AC36" s="192">
        <f t="shared" si="14"/>
        <v>1</v>
      </c>
      <c r="AE36" s="192">
        <f t="shared" si="4"/>
        <v>1</v>
      </c>
    </row>
    <row r="37" spans="2:31" ht="23.25" customHeight="1" x14ac:dyDescent="0.25">
      <c r="B37" s="242">
        <f t="shared" si="6"/>
        <v>7</v>
      </c>
      <c r="C37" s="4"/>
      <c r="D37" s="4"/>
      <c r="E37" s="4"/>
      <c r="F37" s="350" t="str">
        <f>IF('תנאי סף'!AO37&lt;&gt;1,"",'תנאי סף'!F37)</f>
        <v>מארש דונדורמה</v>
      </c>
      <c r="G37" s="159">
        <f>IF($F37="","",'תנאי סף'!Z37)</f>
        <v>29</v>
      </c>
      <c r="H37" s="6">
        <v>0</v>
      </c>
      <c r="I37" s="6"/>
      <c r="J37" s="5"/>
      <c r="K37" s="6"/>
      <c r="L37" s="5"/>
      <c r="M37" s="6"/>
      <c r="N37" s="6"/>
      <c r="O37" s="158"/>
      <c r="P37" s="177"/>
      <c r="Q37" s="8"/>
      <c r="R37" s="8"/>
      <c r="S37" s="159">
        <f t="shared" si="7"/>
        <v>29</v>
      </c>
      <c r="T37" s="159">
        <f t="shared" si="8"/>
        <v>0</v>
      </c>
      <c r="U37" s="159">
        <f t="shared" si="9"/>
        <v>29</v>
      </c>
      <c r="V37" s="159">
        <f>סיווג!Z37</f>
        <v>1</v>
      </c>
      <c r="W37" s="8">
        <f t="shared" si="10"/>
        <v>29</v>
      </c>
      <c r="X37" s="8">
        <v>1</v>
      </c>
      <c r="Y37" s="8">
        <f t="shared" si="11"/>
        <v>29</v>
      </c>
      <c r="Z37" s="351">
        <f t="shared" si="12"/>
        <v>5.2422744240276931E-2</v>
      </c>
      <c r="AA37" s="192">
        <f t="shared" si="13"/>
        <v>1</v>
      </c>
      <c r="AB37" s="192">
        <f t="shared" si="14"/>
        <v>0</v>
      </c>
      <c r="AC37" s="192">
        <f t="shared" si="14"/>
        <v>1</v>
      </c>
      <c r="AE37" s="192">
        <f t="shared" si="4"/>
        <v>1</v>
      </c>
    </row>
    <row r="38" spans="2:31" ht="25.5" customHeight="1" x14ac:dyDescent="0.25">
      <c r="B38" s="242">
        <f t="shared" si="6"/>
        <v>8</v>
      </c>
      <c r="C38" s="4"/>
      <c r="D38" s="4"/>
      <c r="E38" s="4"/>
      <c r="F38" s="350" t="str">
        <f>IF('תנאי סף'!AO38&lt;&gt;1,"",'תנאי סף'!F38)</f>
        <v>להקת מורין נהדר</v>
      </c>
      <c r="G38" s="159">
        <f>IF($F38="","",'תנאי סף'!Z38)</f>
        <v>13</v>
      </c>
      <c r="H38" s="6">
        <v>0</v>
      </c>
      <c r="I38" s="6"/>
      <c r="J38" s="5"/>
      <c r="K38" s="6"/>
      <c r="L38" s="5"/>
      <c r="M38" s="6"/>
      <c r="N38" s="6"/>
      <c r="O38" s="158"/>
      <c r="P38" s="177"/>
      <c r="Q38" s="8"/>
      <c r="R38" s="8"/>
      <c r="S38" s="159">
        <f t="shared" si="7"/>
        <v>13</v>
      </c>
      <c r="T38" s="159">
        <f t="shared" si="8"/>
        <v>0</v>
      </c>
      <c r="U38" s="159">
        <f t="shared" si="9"/>
        <v>13</v>
      </c>
      <c r="V38" s="159">
        <f>סיווג!Z38</f>
        <v>0.5</v>
      </c>
      <c r="W38" s="8">
        <f t="shared" si="10"/>
        <v>6.5</v>
      </c>
      <c r="X38" s="8">
        <v>1</v>
      </c>
      <c r="Y38" s="8">
        <f t="shared" si="11"/>
        <v>6.5</v>
      </c>
      <c r="Z38" s="351">
        <f t="shared" si="12"/>
        <v>1.1749925433165519E-2</v>
      </c>
      <c r="AA38" s="192">
        <f t="shared" si="13"/>
        <v>1</v>
      </c>
      <c r="AB38" s="192">
        <f t="shared" si="14"/>
        <v>0</v>
      </c>
      <c r="AC38" s="192">
        <f t="shared" si="14"/>
        <v>1</v>
      </c>
      <c r="AE38" s="192">
        <f t="shared" si="4"/>
        <v>1</v>
      </c>
    </row>
    <row r="39" spans="2:31" hidden="1" x14ac:dyDescent="0.25">
      <c r="B39" s="242" t="str">
        <f t="shared" si="6"/>
        <v/>
      </c>
      <c r="C39" s="4"/>
      <c r="D39" s="4"/>
      <c r="E39" s="4"/>
      <c r="F39" s="350" t="str">
        <f>IF('תנאי סף'!AO39&lt;&gt;1,"",'תנאי סף'!F39)</f>
        <v/>
      </c>
      <c r="G39" s="159" t="str">
        <f>IF($F39="","",'תנאי סף'!Z39)</f>
        <v/>
      </c>
      <c r="H39" s="6"/>
      <c r="I39" s="6"/>
      <c r="J39" s="5"/>
      <c r="K39" s="6"/>
      <c r="L39" s="5"/>
      <c r="M39" s="6"/>
      <c r="N39" s="6"/>
      <c r="O39" s="158"/>
      <c r="P39" s="177"/>
      <c r="Q39" s="8"/>
      <c r="R39" s="8"/>
      <c r="S39" s="159" t="str">
        <f t="shared" si="7"/>
        <v/>
      </c>
      <c r="T39" s="159" t="str">
        <f t="shared" si="8"/>
        <v/>
      </c>
      <c r="U39" s="159" t="str">
        <f t="shared" si="9"/>
        <v/>
      </c>
      <c r="V39" s="159" t="str">
        <f>סיווג!Z39</f>
        <v/>
      </c>
      <c r="W39" s="8" t="str">
        <f t="shared" si="10"/>
        <v/>
      </c>
      <c r="X39" s="8">
        <v>1</v>
      </c>
      <c r="Y39" s="8" t="str">
        <f t="shared" si="11"/>
        <v/>
      </c>
      <c r="Z39" s="351" t="str">
        <f t="shared" si="12"/>
        <v/>
      </c>
      <c r="AA39" s="192">
        <f t="shared" si="13"/>
        <v>0</v>
      </c>
      <c r="AB39" s="192" t="str">
        <f t="shared" si="14"/>
        <v/>
      </c>
      <c r="AC39" s="192" t="str">
        <f t="shared" si="14"/>
        <v/>
      </c>
      <c r="AE39" s="192">
        <f t="shared" si="4"/>
        <v>0</v>
      </c>
    </row>
    <row r="40" spans="2:31" ht="19.5" customHeight="1" x14ac:dyDescent="0.25">
      <c r="B40" s="243">
        <f t="shared" si="6"/>
        <v>10</v>
      </c>
      <c r="C40" s="365"/>
      <c r="D40" s="365"/>
      <c r="E40" s="365"/>
      <c r="F40" s="366" t="str">
        <f>IF('תנאי סף'!AO40&lt;&gt;1,"",'תנאי סף'!F40)</f>
        <v>אנסמבל גלעד אפרת</v>
      </c>
      <c r="G40" s="159">
        <f>IF($F40="","",'תנאי סף'!Z40)</f>
        <v>7</v>
      </c>
      <c r="H40" s="6">
        <v>1</v>
      </c>
      <c r="I40" s="367"/>
      <c r="J40" s="368"/>
      <c r="K40" s="367"/>
      <c r="L40" s="368"/>
      <c r="M40" s="367"/>
      <c r="N40" s="367"/>
      <c r="O40" s="412"/>
      <c r="P40" s="413"/>
      <c r="Q40" s="369"/>
      <c r="R40" s="369"/>
      <c r="S40" s="159">
        <f t="shared" si="7"/>
        <v>7</v>
      </c>
      <c r="T40" s="159">
        <f t="shared" si="8"/>
        <v>1</v>
      </c>
      <c r="U40" s="159">
        <f t="shared" si="9"/>
        <v>8</v>
      </c>
      <c r="V40" s="159">
        <f>סיווג!Z40</f>
        <v>1</v>
      </c>
      <c r="W40" s="369">
        <f t="shared" si="10"/>
        <v>8</v>
      </c>
      <c r="X40" s="369">
        <v>1</v>
      </c>
      <c r="Y40" s="369">
        <f t="shared" si="11"/>
        <v>8</v>
      </c>
      <c r="Z40" s="370">
        <f t="shared" si="12"/>
        <v>1.4461446686972947E-2</v>
      </c>
      <c r="AA40" s="192">
        <f t="shared" si="13"/>
        <v>1</v>
      </c>
      <c r="AB40" s="192">
        <f t="shared" si="14"/>
        <v>0</v>
      </c>
      <c r="AC40" s="192">
        <f t="shared" si="14"/>
        <v>1</v>
      </c>
      <c r="AE40" s="192">
        <f t="shared" si="4"/>
        <v>1</v>
      </c>
    </row>
    <row r="41" spans="2:31" ht="21" customHeight="1" x14ac:dyDescent="0.25">
      <c r="B41" s="7">
        <f t="shared" si="6"/>
        <v>11</v>
      </c>
      <c r="C41" s="4"/>
      <c r="D41" s="4"/>
      <c r="E41" s="4"/>
      <c r="F41" s="350" t="str">
        <f>IF('תנאי סף'!AO41&lt;&gt;1,"",'תנאי סף'!F41)</f>
        <v>רביעיית כרמל</v>
      </c>
      <c r="G41" s="159">
        <f>IF($F41="","",'תנאי סף'!Z41)</f>
        <v>43</v>
      </c>
      <c r="H41" s="6">
        <v>0</v>
      </c>
      <c r="I41" s="6"/>
      <c r="J41" s="5"/>
      <c r="K41" s="6"/>
      <c r="L41" s="5"/>
      <c r="M41" s="6"/>
      <c r="N41" s="6"/>
      <c r="O41" s="158"/>
      <c r="P41" s="177"/>
      <c r="Q41" s="8"/>
      <c r="R41" s="8"/>
      <c r="S41" s="159">
        <f t="shared" si="7"/>
        <v>43</v>
      </c>
      <c r="T41" s="159">
        <f t="shared" si="8"/>
        <v>0</v>
      </c>
      <c r="U41" s="159">
        <f t="shared" si="9"/>
        <v>43</v>
      </c>
      <c r="V41" s="159">
        <f>סיווג!Z41</f>
        <v>1</v>
      </c>
      <c r="W41" s="8">
        <f t="shared" si="10"/>
        <v>43</v>
      </c>
      <c r="X41" s="8">
        <v>1</v>
      </c>
      <c r="Y41" s="8">
        <f t="shared" si="11"/>
        <v>43</v>
      </c>
      <c r="Z41" s="352">
        <f t="shared" si="12"/>
        <v>7.7730275942479582E-2</v>
      </c>
      <c r="AA41" s="192">
        <f t="shared" si="13"/>
        <v>1</v>
      </c>
      <c r="AB41" s="192">
        <f t="shared" si="14"/>
        <v>0</v>
      </c>
      <c r="AC41" s="192">
        <f t="shared" si="14"/>
        <v>1</v>
      </c>
      <c r="AE41" s="192">
        <f t="shared" si="4"/>
        <v>1</v>
      </c>
    </row>
    <row r="42" spans="2:31" ht="22.5" customHeight="1" x14ac:dyDescent="0.25">
      <c r="B42" s="7">
        <f t="shared" si="6"/>
        <v>12</v>
      </c>
      <c r="C42" s="4"/>
      <c r="D42" s="4"/>
      <c r="E42" s="4"/>
      <c r="F42" s="350" t="str">
        <f>IF('תנאי סף'!AO42&lt;&gt;1,"",'תנאי סף'!F42)</f>
        <v>שורולה</v>
      </c>
      <c r="G42" s="159">
        <f>IF($F42="","",'תנאי סף'!Z42)</f>
        <v>13</v>
      </c>
      <c r="H42" s="6">
        <v>0</v>
      </c>
      <c r="I42" s="6"/>
      <c r="J42" s="5"/>
      <c r="K42" s="6"/>
      <c r="L42" s="5"/>
      <c r="M42" s="6"/>
      <c r="N42" s="6"/>
      <c r="O42" s="158"/>
      <c r="P42" s="177"/>
      <c r="Q42" s="8"/>
      <c r="R42" s="8"/>
      <c r="S42" s="159">
        <f t="shared" si="7"/>
        <v>13</v>
      </c>
      <c r="T42" s="159">
        <f t="shared" si="8"/>
        <v>0</v>
      </c>
      <c r="U42" s="159">
        <f t="shared" si="9"/>
        <v>13</v>
      </c>
      <c r="V42" s="159">
        <f>סיווג!Z42</f>
        <v>0.5</v>
      </c>
      <c r="W42" s="8">
        <f t="shared" si="10"/>
        <v>6.5</v>
      </c>
      <c r="X42" s="8">
        <v>1</v>
      </c>
      <c r="Y42" s="8">
        <f t="shared" si="11"/>
        <v>6.5</v>
      </c>
      <c r="Z42" s="352">
        <f t="shared" si="12"/>
        <v>1.1749925433165519E-2</v>
      </c>
      <c r="AA42" s="192">
        <f t="shared" si="13"/>
        <v>1</v>
      </c>
      <c r="AB42" s="192">
        <f t="shared" si="14"/>
        <v>0</v>
      </c>
      <c r="AC42" s="192">
        <f t="shared" si="14"/>
        <v>1</v>
      </c>
      <c r="AE42" s="192">
        <f t="shared" si="4"/>
        <v>1</v>
      </c>
    </row>
    <row r="43" spans="2:31" hidden="1" x14ac:dyDescent="0.25">
      <c r="B43" s="7" t="str">
        <f t="shared" si="6"/>
        <v/>
      </c>
      <c r="C43" s="4"/>
      <c r="D43" s="4"/>
      <c r="E43" s="4"/>
      <c r="F43" s="350" t="str">
        <f>IF('תנאי סף'!AO43&lt;&gt;1,"",'תנאי סף'!F43)</f>
        <v/>
      </c>
      <c r="G43" s="159" t="str">
        <f>IF($F43="","",'תנאי סף'!Z43)</f>
        <v/>
      </c>
      <c r="H43" s="6"/>
      <c r="I43" s="6"/>
      <c r="J43" s="5"/>
      <c r="K43" s="6"/>
      <c r="L43" s="5"/>
      <c r="M43" s="6"/>
      <c r="N43" s="6"/>
      <c r="O43" s="158"/>
      <c r="P43" s="177"/>
      <c r="Q43" s="8"/>
      <c r="R43" s="8"/>
      <c r="S43" s="159" t="str">
        <f t="shared" si="7"/>
        <v/>
      </c>
      <c r="T43" s="159" t="str">
        <f t="shared" si="8"/>
        <v/>
      </c>
      <c r="U43" s="159" t="str">
        <f t="shared" si="9"/>
        <v/>
      </c>
      <c r="V43" s="159" t="str">
        <f>סיווג!Z43</f>
        <v/>
      </c>
      <c r="W43" s="8" t="str">
        <f t="shared" si="10"/>
        <v/>
      </c>
      <c r="X43" s="8">
        <v>1</v>
      </c>
      <c r="Y43" s="8" t="str">
        <f t="shared" si="11"/>
        <v/>
      </c>
      <c r="Z43" s="352" t="str">
        <f t="shared" si="12"/>
        <v/>
      </c>
      <c r="AA43" s="192">
        <f t="shared" si="13"/>
        <v>0</v>
      </c>
      <c r="AB43" s="192" t="str">
        <f t="shared" si="14"/>
        <v/>
      </c>
      <c r="AC43" s="192" t="str">
        <f t="shared" si="14"/>
        <v/>
      </c>
      <c r="AE43" s="192">
        <f t="shared" si="4"/>
        <v>0</v>
      </c>
    </row>
    <row r="44" spans="2:31" hidden="1" x14ac:dyDescent="0.25">
      <c r="B44" s="7" t="str">
        <f t="shared" si="6"/>
        <v/>
      </c>
      <c r="C44" s="4"/>
      <c r="D44" s="4"/>
      <c r="E44" s="4"/>
      <c r="F44" s="350" t="str">
        <f>IF('תנאי סף'!AO44&lt;&gt;1,"",'תנאי סף'!F44)</f>
        <v/>
      </c>
      <c r="G44" s="159" t="str">
        <f>IF($F44="","",'תנאי סף'!Z44)</f>
        <v/>
      </c>
      <c r="H44" s="6"/>
      <c r="I44" s="6"/>
      <c r="J44" s="5"/>
      <c r="K44" s="6"/>
      <c r="L44" s="5"/>
      <c r="M44" s="6"/>
      <c r="N44" s="6"/>
      <c r="O44" s="158"/>
      <c r="P44" s="177"/>
      <c r="Q44" s="8"/>
      <c r="R44" s="8"/>
      <c r="S44" s="159" t="str">
        <f t="shared" si="7"/>
        <v/>
      </c>
      <c r="T44" s="159" t="str">
        <f t="shared" si="8"/>
        <v/>
      </c>
      <c r="U44" s="159" t="str">
        <f t="shared" si="9"/>
        <v/>
      </c>
      <c r="V44" s="159" t="str">
        <f>סיווג!Z44</f>
        <v/>
      </c>
      <c r="W44" s="8" t="str">
        <f t="shared" si="10"/>
        <v/>
      </c>
      <c r="X44" s="8">
        <v>1</v>
      </c>
      <c r="Y44" s="8" t="str">
        <f t="shared" si="11"/>
        <v/>
      </c>
      <c r="Z44" s="352" t="str">
        <f t="shared" si="12"/>
        <v/>
      </c>
      <c r="AA44" s="192">
        <f t="shared" si="13"/>
        <v>0</v>
      </c>
      <c r="AB44" s="192" t="str">
        <f t="shared" si="14"/>
        <v/>
      </c>
      <c r="AC44" s="192" t="str">
        <f t="shared" si="14"/>
        <v/>
      </c>
      <c r="AE44" s="192">
        <f t="shared" si="4"/>
        <v>0</v>
      </c>
    </row>
    <row r="45" spans="2:31" ht="25.5" hidden="1" customHeight="1" x14ac:dyDescent="0.25">
      <c r="B45" s="7" t="str">
        <f t="shared" si="6"/>
        <v/>
      </c>
      <c r="C45" s="4"/>
      <c r="D45" s="4"/>
      <c r="E45" s="4"/>
      <c r="F45" s="350" t="str">
        <f>IF('תנאי סף'!AO45&lt;&gt;1,"",'תנאי סף'!F45)</f>
        <v/>
      </c>
      <c r="G45" s="159" t="str">
        <f>IF($F45="","",'תנאי סף'!Z45)</f>
        <v/>
      </c>
      <c r="H45" s="6"/>
      <c r="I45" s="6"/>
      <c r="J45" s="5"/>
      <c r="K45" s="6"/>
      <c r="L45" s="5"/>
      <c r="M45" s="6"/>
      <c r="N45" s="6"/>
      <c r="O45" s="158"/>
      <c r="P45" s="177"/>
      <c r="Q45" s="8"/>
      <c r="R45" s="8"/>
      <c r="S45" s="159" t="str">
        <f t="shared" si="7"/>
        <v/>
      </c>
      <c r="T45" s="159" t="str">
        <f t="shared" si="8"/>
        <v/>
      </c>
      <c r="U45" s="159" t="str">
        <f t="shared" si="9"/>
        <v/>
      </c>
      <c r="V45" s="159" t="str">
        <f>סיווג!Z45</f>
        <v/>
      </c>
      <c r="W45" s="8" t="str">
        <f t="shared" si="10"/>
        <v/>
      </c>
      <c r="X45" s="8">
        <v>1</v>
      </c>
      <c r="Y45" s="8" t="str">
        <f t="shared" si="11"/>
        <v/>
      </c>
      <c r="Z45" s="352" t="str">
        <f t="shared" si="12"/>
        <v/>
      </c>
      <c r="AA45" s="192">
        <f t="shared" si="13"/>
        <v>0</v>
      </c>
      <c r="AB45" s="192" t="str">
        <f t="shared" si="14"/>
        <v/>
      </c>
      <c r="AC45" s="192" t="str">
        <f t="shared" si="14"/>
        <v/>
      </c>
      <c r="AE45" s="192">
        <f t="shared" si="4"/>
        <v>0</v>
      </c>
    </row>
    <row r="46" spans="2:31" ht="21" hidden="1" customHeight="1" x14ac:dyDescent="0.25">
      <c r="B46" s="7" t="str">
        <f t="shared" si="6"/>
        <v/>
      </c>
      <c r="C46" s="4"/>
      <c r="D46" s="4"/>
      <c r="E46" s="4"/>
      <c r="F46" s="350" t="str">
        <f>IF('תנאי סף'!AO46&lt;&gt;1,"",'תנאי סף'!F46)</f>
        <v/>
      </c>
      <c r="G46" s="159" t="str">
        <f>IF($F46="","",'תנאי סף'!Z46)</f>
        <v/>
      </c>
      <c r="H46" s="6"/>
      <c r="I46" s="6"/>
      <c r="J46" s="5"/>
      <c r="K46" s="6"/>
      <c r="L46" s="5"/>
      <c r="M46" s="6"/>
      <c r="N46" s="6"/>
      <c r="O46" s="158"/>
      <c r="P46" s="177"/>
      <c r="Q46" s="8"/>
      <c r="R46" s="8"/>
      <c r="S46" s="159" t="str">
        <f t="shared" si="7"/>
        <v/>
      </c>
      <c r="T46" s="159" t="str">
        <f t="shared" si="8"/>
        <v/>
      </c>
      <c r="U46" s="159" t="str">
        <f t="shared" si="9"/>
        <v/>
      </c>
      <c r="V46" s="159" t="str">
        <f>סיווג!Z46</f>
        <v/>
      </c>
      <c r="W46" s="8" t="str">
        <f t="shared" si="10"/>
        <v/>
      </c>
      <c r="X46" s="8">
        <v>1</v>
      </c>
      <c r="Y46" s="8" t="str">
        <f t="shared" si="11"/>
        <v/>
      </c>
      <c r="Z46" s="352" t="str">
        <f t="shared" si="12"/>
        <v/>
      </c>
      <c r="AA46" s="192">
        <f t="shared" si="13"/>
        <v>0</v>
      </c>
      <c r="AB46" s="192" t="str">
        <f t="shared" si="14"/>
        <v/>
      </c>
      <c r="AC46" s="192" t="str">
        <f t="shared" si="14"/>
        <v/>
      </c>
      <c r="AE46" s="192">
        <f t="shared" ref="AE46:AE109" si="15">IF(H$30="",1,IF(H46="",0,IFERROR(CHOOSE(AE$28,IF(ISNA(MATCH(H46,$AB$30:$AC$30,0)),0,1),IF(ISNUMBER(H46),1,0),IF(H46=TRUNC(H46),1,0),IF(AND(H46*1=H46,H46&gt;=0),1,0),IF(AND(H46=TRUNC(H46),H46&gt;=0),1,0),IF(AND(H46*1=H46,H46&gt;0),1,0),IF(AND(H46=TRUNC(H46),H46&gt;0),1,0),1,IF(ISNA(HLOOKUP(H46,$AE$4:$AN$4,1,0)),0,1)),0)))</f>
        <v>0</v>
      </c>
    </row>
    <row r="47" spans="2:31" ht="24" customHeight="1" x14ac:dyDescent="0.25">
      <c r="B47" s="7">
        <f t="shared" si="6"/>
        <v>17</v>
      </c>
      <c r="C47" s="4"/>
      <c r="D47" s="4"/>
      <c r="E47" s="4"/>
      <c r="F47" s="350" t="str">
        <f>IF('תנאי סף'!AO47&lt;&gt;1,"",'תנאי סף'!F47)</f>
        <v>הרכב עמית פרידמן</v>
      </c>
      <c r="G47" s="159">
        <f>IF($F47="","",'תנאי סף'!Z47)</f>
        <v>36</v>
      </c>
      <c r="H47" s="6">
        <v>3</v>
      </c>
      <c r="I47" s="6"/>
      <c r="J47" s="5"/>
      <c r="K47" s="6"/>
      <c r="L47" s="5"/>
      <c r="M47" s="6"/>
      <c r="N47" s="6"/>
      <c r="O47" s="158"/>
      <c r="P47" s="177"/>
      <c r="Q47" s="8"/>
      <c r="R47" s="8"/>
      <c r="S47" s="159">
        <f t="shared" si="7"/>
        <v>36</v>
      </c>
      <c r="T47" s="159">
        <f t="shared" si="8"/>
        <v>3</v>
      </c>
      <c r="U47" s="159">
        <f t="shared" si="9"/>
        <v>39</v>
      </c>
      <c r="V47" s="159">
        <f>סיווג!Z47</f>
        <v>0.8</v>
      </c>
      <c r="W47" s="8">
        <f t="shared" si="10"/>
        <v>31.200000000000003</v>
      </c>
      <c r="X47" s="8">
        <v>1</v>
      </c>
      <c r="Y47" s="8">
        <f t="shared" si="11"/>
        <v>31.200000000000003</v>
      </c>
      <c r="Z47" s="352">
        <f t="shared" si="12"/>
        <v>5.6399642079194498E-2</v>
      </c>
      <c r="AA47" s="192">
        <f t="shared" si="13"/>
        <v>1</v>
      </c>
      <c r="AB47" s="192">
        <f t="shared" si="14"/>
        <v>0</v>
      </c>
      <c r="AC47" s="192">
        <f t="shared" si="14"/>
        <v>1</v>
      </c>
      <c r="AE47" s="192">
        <f t="shared" si="15"/>
        <v>1</v>
      </c>
    </row>
    <row r="48" spans="2:31" x14ac:dyDescent="0.25">
      <c r="B48" s="7" t="str">
        <f t="shared" si="6"/>
        <v/>
      </c>
      <c r="C48" s="4"/>
      <c r="D48" s="4"/>
      <c r="E48" s="4"/>
      <c r="F48" s="350" t="str">
        <f>IF('תנאי סף'!AO48&lt;&gt;1,"",'תנאי סף'!F48)</f>
        <v/>
      </c>
      <c r="G48" s="159" t="str">
        <f>IF($F48="","",'תנאי סף'!Z48)</f>
        <v/>
      </c>
      <c r="H48" s="6"/>
      <c r="I48" s="6"/>
      <c r="J48" s="5"/>
      <c r="K48" s="6"/>
      <c r="L48" s="5"/>
      <c r="M48" s="6"/>
      <c r="N48" s="6"/>
      <c r="O48" s="158"/>
      <c r="P48" s="177"/>
      <c r="Q48" s="8"/>
      <c r="R48" s="8"/>
      <c r="S48" s="159" t="str">
        <f t="shared" si="7"/>
        <v/>
      </c>
      <c r="T48" s="159" t="str">
        <f t="shared" si="8"/>
        <v/>
      </c>
      <c r="U48" s="159" t="str">
        <f t="shared" si="9"/>
        <v/>
      </c>
      <c r="V48" s="159" t="str">
        <f>סיווג!Z48</f>
        <v/>
      </c>
      <c r="W48" s="8" t="str">
        <f t="shared" si="10"/>
        <v/>
      </c>
      <c r="X48" s="8">
        <v>1</v>
      </c>
      <c r="Y48" s="8" t="str">
        <f t="shared" si="11"/>
        <v/>
      </c>
      <c r="Z48" s="352" t="str">
        <f t="shared" si="12"/>
        <v/>
      </c>
      <c r="AA48" s="192">
        <f t="shared" si="13"/>
        <v>0</v>
      </c>
      <c r="AB48" s="192" t="str">
        <f t="shared" si="14"/>
        <v/>
      </c>
      <c r="AC48" s="192" t="str">
        <f t="shared" si="14"/>
        <v/>
      </c>
      <c r="AE48" s="192">
        <f t="shared" si="15"/>
        <v>0</v>
      </c>
    </row>
    <row r="49" spans="2:31" x14ac:dyDescent="0.25">
      <c r="B49" s="7" t="str">
        <f t="shared" si="6"/>
        <v/>
      </c>
      <c r="C49" s="4"/>
      <c r="D49" s="4"/>
      <c r="E49" s="4"/>
      <c r="F49" s="350" t="str">
        <f>IF('תנאי סף'!AO49&lt;&gt;1,"",'תנאי סף'!F49)</f>
        <v/>
      </c>
      <c r="G49" s="159" t="str">
        <f>IF($F49="","",'תנאי סף'!Z49)</f>
        <v/>
      </c>
      <c r="H49" s="6"/>
      <c r="I49" s="6"/>
      <c r="J49" s="5"/>
      <c r="K49" s="6"/>
      <c r="L49" s="5"/>
      <c r="M49" s="6"/>
      <c r="N49" s="6"/>
      <c r="O49" s="158"/>
      <c r="P49" s="177"/>
      <c r="Q49" s="8"/>
      <c r="R49" s="8"/>
      <c r="S49" s="159" t="str">
        <f t="shared" si="7"/>
        <v/>
      </c>
      <c r="T49" s="159" t="str">
        <f t="shared" si="8"/>
        <v/>
      </c>
      <c r="U49" s="159" t="str">
        <f t="shared" si="9"/>
        <v/>
      </c>
      <c r="V49" s="159" t="str">
        <f>סיווג!Z49</f>
        <v/>
      </c>
      <c r="W49" s="8" t="str">
        <f t="shared" si="10"/>
        <v/>
      </c>
      <c r="X49" s="8">
        <v>1</v>
      </c>
      <c r="Y49" s="8" t="str">
        <f t="shared" si="11"/>
        <v/>
      </c>
      <c r="Z49" s="352" t="str">
        <f t="shared" si="12"/>
        <v/>
      </c>
      <c r="AA49" s="192">
        <f t="shared" si="13"/>
        <v>0</v>
      </c>
      <c r="AB49" s="192" t="str">
        <f t="shared" si="14"/>
        <v/>
      </c>
      <c r="AC49" s="192" t="str">
        <f t="shared" si="14"/>
        <v/>
      </c>
      <c r="AE49" s="192">
        <f t="shared" si="15"/>
        <v>0</v>
      </c>
    </row>
    <row r="50" spans="2:31" x14ac:dyDescent="0.25">
      <c r="B50" s="7" t="str">
        <f t="shared" si="6"/>
        <v/>
      </c>
      <c r="C50" s="4"/>
      <c r="D50" s="4"/>
      <c r="E50" s="4"/>
      <c r="F50" s="350" t="str">
        <f>IF('תנאי סף'!AO50&lt;&gt;1,"",'תנאי סף'!F50)</f>
        <v/>
      </c>
      <c r="G50" s="159" t="str">
        <f>IF($F50="","",'תנאי סף'!Z50)</f>
        <v/>
      </c>
      <c r="H50" s="6"/>
      <c r="I50" s="6"/>
      <c r="J50" s="5"/>
      <c r="K50" s="6"/>
      <c r="L50" s="5"/>
      <c r="M50" s="6"/>
      <c r="N50" s="6"/>
      <c r="O50" s="158"/>
      <c r="P50" s="177"/>
      <c r="Q50" s="8"/>
      <c r="R50" s="8"/>
      <c r="S50" s="159" t="str">
        <f t="shared" si="7"/>
        <v/>
      </c>
      <c r="T50" s="159" t="str">
        <f t="shared" si="8"/>
        <v/>
      </c>
      <c r="U50" s="159" t="str">
        <f t="shared" si="9"/>
        <v/>
      </c>
      <c r="V50" s="159" t="str">
        <f>סיווג!Z50</f>
        <v/>
      </c>
      <c r="W50" s="8" t="str">
        <f t="shared" si="10"/>
        <v/>
      </c>
      <c r="X50" s="8">
        <v>1</v>
      </c>
      <c r="Y50" s="8" t="str">
        <f t="shared" si="11"/>
        <v/>
      </c>
      <c r="Z50" s="352" t="str">
        <f t="shared" si="12"/>
        <v/>
      </c>
      <c r="AA50" s="192">
        <f t="shared" si="13"/>
        <v>0</v>
      </c>
      <c r="AB50" s="192" t="str">
        <f t="shared" si="14"/>
        <v/>
      </c>
      <c r="AC50" s="192" t="str">
        <f t="shared" si="14"/>
        <v/>
      </c>
      <c r="AE50" s="192">
        <f t="shared" si="15"/>
        <v>0</v>
      </c>
    </row>
    <row r="51" spans="2:31" ht="21" customHeight="1" x14ac:dyDescent="0.25">
      <c r="B51" s="7">
        <f t="shared" si="6"/>
        <v>21</v>
      </c>
      <c r="C51" s="4"/>
      <c r="D51" s="4"/>
      <c r="E51" s="4"/>
      <c r="F51" s="350" t="str">
        <f>IF('תנאי סף'!AO51&lt;&gt;1,"",'תנאי סף'!F51)</f>
        <v>חמישיית תל אביב לכלי נשיפה</v>
      </c>
      <c r="G51" s="159">
        <f>IF($F51="","",'תנאי סף'!Z51)</f>
        <v>29</v>
      </c>
      <c r="H51" s="6">
        <v>11</v>
      </c>
      <c r="I51" s="6"/>
      <c r="J51" s="5"/>
      <c r="K51" s="6"/>
      <c r="L51" s="5"/>
      <c r="M51" s="6"/>
      <c r="N51" s="6"/>
      <c r="O51" s="158"/>
      <c r="P51" s="177"/>
      <c r="Q51" s="8"/>
      <c r="R51" s="8"/>
      <c r="S51" s="159">
        <f t="shared" si="7"/>
        <v>29</v>
      </c>
      <c r="T51" s="159">
        <f t="shared" si="8"/>
        <v>4.3499999999999996</v>
      </c>
      <c r="U51" s="159">
        <f t="shared" si="9"/>
        <v>33.35</v>
      </c>
      <c r="V51" s="159">
        <f>סיווג!Z51</f>
        <v>1</v>
      </c>
      <c r="W51" s="8">
        <f t="shared" si="10"/>
        <v>33.35</v>
      </c>
      <c r="X51" s="8">
        <v>1</v>
      </c>
      <c r="Y51" s="8">
        <f t="shared" si="11"/>
        <v>33.35</v>
      </c>
      <c r="Z51" s="352">
        <f t="shared" si="12"/>
        <v>6.0286155876318477E-2</v>
      </c>
      <c r="AA51" s="192">
        <f t="shared" si="13"/>
        <v>1</v>
      </c>
      <c r="AB51" s="192">
        <f t="shared" si="14"/>
        <v>0</v>
      </c>
      <c r="AC51" s="192">
        <f t="shared" si="14"/>
        <v>1</v>
      </c>
      <c r="AE51" s="192">
        <f t="shared" si="15"/>
        <v>1</v>
      </c>
    </row>
    <row r="52" spans="2:31" ht="19.5" customHeight="1" x14ac:dyDescent="0.25">
      <c r="B52" s="7">
        <f t="shared" si="6"/>
        <v>22</v>
      </c>
      <c r="C52" s="4"/>
      <c r="D52" s="4"/>
      <c r="E52" s="4"/>
      <c r="F52" s="350" t="str">
        <f>IF('תנאי סף'!AO52&lt;&gt;1,"",'תנאי סף'!F52)</f>
        <v>הרכב אקוט</v>
      </c>
      <c r="G52" s="159">
        <f>IF($F52="","",'תנאי סף'!Z52)</f>
        <v>32</v>
      </c>
      <c r="H52" s="6">
        <v>0</v>
      </c>
      <c r="I52" s="6"/>
      <c r="J52" s="5"/>
      <c r="K52" s="6"/>
      <c r="L52" s="5"/>
      <c r="M52" s="6"/>
      <c r="N52" s="6"/>
      <c r="O52" s="158"/>
      <c r="P52" s="177"/>
      <c r="Q52" s="8"/>
      <c r="R52" s="8"/>
      <c r="S52" s="159">
        <f t="shared" si="7"/>
        <v>32</v>
      </c>
      <c r="T52" s="159">
        <f t="shared" si="8"/>
        <v>0</v>
      </c>
      <c r="U52" s="159">
        <f t="shared" si="9"/>
        <v>32</v>
      </c>
      <c r="V52" s="159">
        <f>סיווג!Z52</f>
        <v>1</v>
      </c>
      <c r="W52" s="8">
        <f t="shared" si="10"/>
        <v>32</v>
      </c>
      <c r="X52" s="8">
        <v>1</v>
      </c>
      <c r="Y52" s="8">
        <f t="shared" si="11"/>
        <v>32</v>
      </c>
      <c r="Z52" s="352">
        <f t="shared" si="12"/>
        <v>5.7845786747891786E-2</v>
      </c>
      <c r="AA52" s="192">
        <f t="shared" si="13"/>
        <v>1</v>
      </c>
      <c r="AB52" s="192">
        <f t="shared" si="14"/>
        <v>0</v>
      </c>
      <c r="AC52" s="192">
        <f t="shared" si="14"/>
        <v>1</v>
      </c>
      <c r="AE52" s="192">
        <f t="shared" si="15"/>
        <v>1</v>
      </c>
    </row>
    <row r="53" spans="2:31" ht="20.25" customHeight="1" x14ac:dyDescent="0.25">
      <c r="B53" s="7">
        <f t="shared" si="6"/>
        <v>23</v>
      </c>
      <c r="C53" s="4"/>
      <c r="D53" s="4"/>
      <c r="E53" s="4"/>
      <c r="F53" s="350" t="str">
        <f>IF('תנאי סף'!AO53&lt;&gt;1,"",'תנאי סף'!F53)</f>
        <v>שלישיית עתר</v>
      </c>
      <c r="G53" s="159">
        <f>IF($F53="","",'תנאי סף'!Z53)</f>
        <v>28</v>
      </c>
      <c r="H53" s="6">
        <v>0</v>
      </c>
      <c r="I53" s="6"/>
      <c r="J53" s="5"/>
      <c r="K53" s="6"/>
      <c r="L53" s="5"/>
      <c r="M53" s="6"/>
      <c r="N53" s="6"/>
      <c r="O53" s="158"/>
      <c r="P53" s="177"/>
      <c r="Q53" s="8"/>
      <c r="R53" s="8"/>
      <c r="S53" s="159">
        <f t="shared" si="7"/>
        <v>28</v>
      </c>
      <c r="T53" s="159">
        <f t="shared" si="8"/>
        <v>0</v>
      </c>
      <c r="U53" s="159">
        <f t="shared" si="9"/>
        <v>28</v>
      </c>
      <c r="V53" s="159">
        <f>סיווג!Z53</f>
        <v>0.5</v>
      </c>
      <c r="W53" s="8">
        <f t="shared" si="10"/>
        <v>14</v>
      </c>
      <c r="X53" s="8">
        <v>1</v>
      </c>
      <c r="Y53" s="8">
        <f t="shared" si="11"/>
        <v>14</v>
      </c>
      <c r="Z53" s="352">
        <f t="shared" si="12"/>
        <v>2.5307531702202658E-2</v>
      </c>
      <c r="AA53" s="192">
        <f t="shared" si="13"/>
        <v>1</v>
      </c>
      <c r="AB53" s="192">
        <f t="shared" si="14"/>
        <v>0</v>
      </c>
      <c r="AC53" s="192">
        <f t="shared" si="14"/>
        <v>1</v>
      </c>
      <c r="AE53" s="192">
        <f t="shared" si="15"/>
        <v>1</v>
      </c>
    </row>
    <row r="54" spans="2:31" ht="20.25" customHeight="1" x14ac:dyDescent="0.25">
      <c r="B54" s="7" t="str">
        <f t="shared" si="6"/>
        <v/>
      </c>
      <c r="C54" s="4"/>
      <c r="D54" s="4"/>
      <c r="E54" s="4"/>
      <c r="F54" s="350" t="str">
        <f>IF('תנאי סף'!AO54&lt;&gt;1,"",'תנאי סף'!F54)</f>
        <v/>
      </c>
      <c r="G54" s="159" t="str">
        <f>IF($F54="","",'תנאי סף'!Z54)</f>
        <v/>
      </c>
      <c r="H54" s="6"/>
      <c r="I54" s="6"/>
      <c r="J54" s="5"/>
      <c r="K54" s="6"/>
      <c r="L54" s="5"/>
      <c r="M54" s="6"/>
      <c r="N54" s="6"/>
      <c r="O54" s="158"/>
      <c r="P54" s="177"/>
      <c r="Q54" s="8"/>
      <c r="R54" s="8"/>
      <c r="S54" s="159" t="str">
        <f t="shared" si="7"/>
        <v/>
      </c>
      <c r="T54" s="159" t="str">
        <f t="shared" si="8"/>
        <v/>
      </c>
      <c r="U54" s="159" t="str">
        <f t="shared" si="9"/>
        <v/>
      </c>
      <c r="V54" s="159" t="str">
        <f>סיווג!Z54</f>
        <v/>
      </c>
      <c r="W54" s="8" t="str">
        <f t="shared" si="10"/>
        <v/>
      </c>
      <c r="X54" s="8">
        <v>1</v>
      </c>
      <c r="Y54" s="8" t="str">
        <f t="shared" si="11"/>
        <v/>
      </c>
      <c r="Z54" s="352" t="str">
        <f t="shared" si="12"/>
        <v/>
      </c>
      <c r="AA54" s="192">
        <f t="shared" si="13"/>
        <v>0</v>
      </c>
      <c r="AB54" s="192" t="str">
        <f t="shared" si="14"/>
        <v/>
      </c>
      <c r="AC54" s="192" t="str">
        <f t="shared" si="14"/>
        <v/>
      </c>
      <c r="AE54" s="192">
        <f t="shared" si="15"/>
        <v>0</v>
      </c>
    </row>
    <row r="55" spans="2:31" x14ac:dyDescent="0.25">
      <c r="B55" s="7" t="str">
        <f t="shared" si="6"/>
        <v/>
      </c>
      <c r="C55" s="4"/>
      <c r="D55" s="4"/>
      <c r="E55" s="4"/>
      <c r="F55" s="350" t="str">
        <f>IF('תנאי סף'!AO55&lt;&gt;1,"",'תנאי סף'!F55)</f>
        <v/>
      </c>
      <c r="G55" s="159" t="str">
        <f>IF($F55="","",'תנאי סף'!Z55)</f>
        <v/>
      </c>
      <c r="H55" s="6"/>
      <c r="I55" s="6"/>
      <c r="J55" s="5"/>
      <c r="K55" s="6"/>
      <c r="L55" s="5"/>
      <c r="M55" s="6"/>
      <c r="N55" s="6"/>
      <c r="O55" s="158"/>
      <c r="P55" s="177"/>
      <c r="Q55" s="8"/>
      <c r="R55" s="8"/>
      <c r="S55" s="159" t="str">
        <f t="shared" si="7"/>
        <v/>
      </c>
      <c r="T55" s="159" t="str">
        <f t="shared" si="8"/>
        <v/>
      </c>
      <c r="U55" s="159" t="str">
        <f t="shared" si="9"/>
        <v/>
      </c>
      <c r="V55" s="159" t="str">
        <f>סיווג!Z55</f>
        <v/>
      </c>
      <c r="W55" s="8" t="str">
        <f t="shared" si="10"/>
        <v/>
      </c>
      <c r="X55" s="8">
        <v>1</v>
      </c>
      <c r="Y55" s="8" t="str">
        <f t="shared" si="11"/>
        <v/>
      </c>
      <c r="Z55" s="352" t="str">
        <f t="shared" si="12"/>
        <v/>
      </c>
      <c r="AA55" s="192">
        <f t="shared" si="13"/>
        <v>0</v>
      </c>
      <c r="AB55" s="192" t="str">
        <f t="shared" si="14"/>
        <v/>
      </c>
      <c r="AC55" s="192" t="str">
        <f t="shared" si="14"/>
        <v/>
      </c>
      <c r="AE55" s="192">
        <f t="shared" si="15"/>
        <v>0</v>
      </c>
    </row>
    <row r="56" spans="2:31" ht="20.25" customHeight="1" x14ac:dyDescent="0.25">
      <c r="B56" s="7">
        <f t="shared" si="6"/>
        <v>26</v>
      </c>
      <c r="C56" s="4"/>
      <c r="D56" s="4"/>
      <c r="E56" s="4"/>
      <c r="F56" s="350" t="str">
        <f>IF('תנאי סף'!AO56&lt;&gt;1,"",'תנאי סף'!F56)</f>
        <v>אנסמבל מצו</v>
      </c>
      <c r="G56" s="159">
        <f>IF($F56="","",'תנאי סף'!Z56)</f>
        <v>35</v>
      </c>
      <c r="H56" s="6">
        <v>0</v>
      </c>
      <c r="I56" s="6"/>
      <c r="J56" s="5"/>
      <c r="K56" s="6"/>
      <c r="L56" s="5"/>
      <c r="M56" s="6"/>
      <c r="N56" s="6"/>
      <c r="O56" s="158"/>
      <c r="P56" s="177"/>
      <c r="Q56" s="8"/>
      <c r="R56" s="8"/>
      <c r="S56" s="159">
        <f t="shared" si="7"/>
        <v>35</v>
      </c>
      <c r="T56" s="159">
        <f t="shared" si="8"/>
        <v>0</v>
      </c>
      <c r="U56" s="159">
        <f t="shared" si="9"/>
        <v>35</v>
      </c>
      <c r="V56" s="159">
        <f>סיווג!Z56</f>
        <v>1</v>
      </c>
      <c r="W56" s="8">
        <f t="shared" si="10"/>
        <v>35</v>
      </c>
      <c r="X56" s="8">
        <v>1</v>
      </c>
      <c r="Y56" s="8">
        <f t="shared" si="11"/>
        <v>35</v>
      </c>
      <c r="Z56" s="352">
        <f t="shared" si="12"/>
        <v>6.3268829255506642E-2</v>
      </c>
      <c r="AA56" s="192">
        <f t="shared" si="13"/>
        <v>1</v>
      </c>
      <c r="AB56" s="192">
        <f t="shared" si="14"/>
        <v>0</v>
      </c>
      <c r="AC56" s="192">
        <f t="shared" si="14"/>
        <v>1</v>
      </c>
      <c r="AE56" s="192">
        <f t="shared" si="15"/>
        <v>1</v>
      </c>
    </row>
    <row r="57" spans="2:31" ht="21.75" customHeight="1" x14ac:dyDescent="0.25">
      <c r="B57" s="7" t="str">
        <f t="shared" si="6"/>
        <v/>
      </c>
      <c r="C57" s="4"/>
      <c r="D57" s="4"/>
      <c r="E57" s="4"/>
      <c r="F57" s="350" t="str">
        <f>IF('תנאי סף'!AO57&lt;&gt;1,"",'תנאי סף'!F57)</f>
        <v/>
      </c>
      <c r="G57" s="159" t="str">
        <f>IF($F57="","",'תנאי סף'!Z57)</f>
        <v/>
      </c>
      <c r="H57" s="6"/>
      <c r="I57" s="6"/>
      <c r="J57" s="5"/>
      <c r="K57" s="6"/>
      <c r="L57" s="5"/>
      <c r="M57" s="6"/>
      <c r="N57" s="6"/>
      <c r="O57" s="158"/>
      <c r="P57" s="177"/>
      <c r="Q57" s="8"/>
      <c r="R57" s="8"/>
      <c r="S57" s="159" t="str">
        <f t="shared" si="7"/>
        <v/>
      </c>
      <c r="T57" s="159" t="str">
        <f t="shared" si="8"/>
        <v/>
      </c>
      <c r="U57" s="159" t="str">
        <f t="shared" si="9"/>
        <v/>
      </c>
      <c r="V57" s="159" t="str">
        <f>סיווג!Z57</f>
        <v/>
      </c>
      <c r="W57" s="8" t="str">
        <f t="shared" si="10"/>
        <v/>
      </c>
      <c r="X57" s="8">
        <v>1</v>
      </c>
      <c r="Y57" s="8" t="str">
        <f t="shared" si="11"/>
        <v/>
      </c>
      <c r="Z57" s="352" t="str">
        <f t="shared" si="12"/>
        <v/>
      </c>
      <c r="AA57" s="192">
        <f t="shared" si="13"/>
        <v>0</v>
      </c>
      <c r="AB57" s="192" t="str">
        <f t="shared" si="14"/>
        <v/>
      </c>
      <c r="AC57" s="192" t="str">
        <f t="shared" si="14"/>
        <v/>
      </c>
      <c r="AE57" s="192">
        <f t="shared" si="15"/>
        <v>0</v>
      </c>
    </row>
    <row r="58" spans="2:31" ht="20.25" customHeight="1" x14ac:dyDescent="0.25">
      <c r="B58" s="7">
        <f t="shared" si="6"/>
        <v>28</v>
      </c>
      <c r="C58" s="4"/>
      <c r="D58" s="4"/>
      <c r="E58" s="4"/>
      <c r="F58" s="350" t="str">
        <f>IF('תנאי סף'!AO58&lt;&gt;1,"",'תנאי סף'!F58)</f>
        <v>תמיכה שותפת- קבוצת מוסיקה נובה</v>
      </c>
      <c r="G58" s="159">
        <f>IF($F58="","",'תנאי סף'!Z58)</f>
        <v>16</v>
      </c>
      <c r="H58" s="6">
        <v>0</v>
      </c>
      <c r="I58" s="6"/>
      <c r="J58" s="5"/>
      <c r="K58" s="6"/>
      <c r="L58" s="5"/>
      <c r="M58" s="6"/>
      <c r="N58" s="6"/>
      <c r="O58" s="158"/>
      <c r="P58" s="177"/>
      <c r="Q58" s="8"/>
      <c r="R58" s="8"/>
      <c r="S58" s="159">
        <f t="shared" si="7"/>
        <v>16</v>
      </c>
      <c r="T58" s="159">
        <f t="shared" si="8"/>
        <v>0</v>
      </c>
      <c r="U58" s="159">
        <f t="shared" si="9"/>
        <v>16</v>
      </c>
      <c r="V58" s="159">
        <f>סיווג!Z58</f>
        <v>1</v>
      </c>
      <c r="W58" s="8">
        <f t="shared" si="10"/>
        <v>16</v>
      </c>
      <c r="X58" s="8">
        <v>1</v>
      </c>
      <c r="Y58" s="8">
        <f t="shared" si="11"/>
        <v>16</v>
      </c>
      <c r="Z58" s="352">
        <f t="shared" si="12"/>
        <v>2.8922893373945893E-2</v>
      </c>
      <c r="AA58" s="192">
        <f t="shared" si="13"/>
        <v>1</v>
      </c>
      <c r="AB58" s="192">
        <f t="shared" si="14"/>
        <v>0</v>
      </c>
      <c r="AC58" s="192">
        <f t="shared" si="14"/>
        <v>1</v>
      </c>
      <c r="AE58" s="192">
        <f t="shared" si="15"/>
        <v>1</v>
      </c>
    </row>
    <row r="59" spans="2:31" ht="28.5" customHeight="1" x14ac:dyDescent="0.25">
      <c r="B59" s="7" t="str">
        <f t="shared" si="6"/>
        <v/>
      </c>
      <c r="C59" s="4"/>
      <c r="D59" s="4"/>
      <c r="E59" s="4"/>
      <c r="F59" s="350" t="str">
        <f>IF('תנאי סף'!AO59&lt;&gt;1,"",'תנאי סף'!F59)</f>
        <v/>
      </c>
      <c r="G59" s="159" t="str">
        <f>IF($F59="","",'תנאי סף'!Z59)</f>
        <v/>
      </c>
      <c r="H59" s="6"/>
      <c r="I59" s="6"/>
      <c r="J59" s="5"/>
      <c r="K59" s="6"/>
      <c r="L59" s="5"/>
      <c r="M59" s="6"/>
      <c r="N59" s="6"/>
      <c r="O59" s="158"/>
      <c r="P59" s="177"/>
      <c r="Q59" s="8"/>
      <c r="R59" s="8"/>
      <c r="S59" s="159" t="str">
        <f t="shared" si="7"/>
        <v/>
      </c>
      <c r="T59" s="159" t="str">
        <f t="shared" si="8"/>
        <v/>
      </c>
      <c r="U59" s="159" t="str">
        <f t="shared" si="9"/>
        <v/>
      </c>
      <c r="V59" s="159" t="str">
        <f>סיווג!Z59</f>
        <v/>
      </c>
      <c r="W59" s="8" t="str">
        <f t="shared" si="10"/>
        <v/>
      </c>
      <c r="X59" s="8">
        <v>1</v>
      </c>
      <c r="Y59" s="8" t="str">
        <f t="shared" si="11"/>
        <v/>
      </c>
      <c r="Z59" s="352" t="str">
        <f t="shared" si="12"/>
        <v/>
      </c>
      <c r="AA59" s="192">
        <f t="shared" si="13"/>
        <v>0</v>
      </c>
      <c r="AB59" s="192" t="str">
        <f t="shared" si="14"/>
        <v/>
      </c>
      <c r="AC59" s="192" t="str">
        <f t="shared" si="14"/>
        <v/>
      </c>
      <c r="AE59" s="192">
        <f t="shared" si="15"/>
        <v>0</v>
      </c>
    </row>
    <row r="60" spans="2:31" x14ac:dyDescent="0.25">
      <c r="B60" s="7" t="str">
        <f t="shared" si="6"/>
        <v/>
      </c>
      <c r="C60" s="4"/>
      <c r="D60" s="4"/>
      <c r="E60" s="4"/>
      <c r="F60" s="350" t="str">
        <f>IF('תנאי סף'!AO60&lt;&gt;1,"",'תנאי סף'!F60)</f>
        <v/>
      </c>
      <c r="G60" s="159" t="str">
        <f>IF($F60="","",'תנאי סף'!Z60)</f>
        <v/>
      </c>
      <c r="H60" s="6"/>
      <c r="I60" s="6"/>
      <c r="J60" s="5"/>
      <c r="K60" s="6"/>
      <c r="L60" s="5"/>
      <c r="M60" s="6"/>
      <c r="N60" s="6"/>
      <c r="O60" s="158"/>
      <c r="P60" s="177"/>
      <c r="Q60" s="8"/>
      <c r="R60" s="8"/>
      <c r="S60" s="159" t="str">
        <f t="shared" si="7"/>
        <v/>
      </c>
      <c r="T60" s="159" t="str">
        <f t="shared" si="8"/>
        <v/>
      </c>
      <c r="U60" s="159" t="str">
        <f t="shared" si="9"/>
        <v/>
      </c>
      <c r="V60" s="159" t="str">
        <f>סיווג!Z60</f>
        <v/>
      </c>
      <c r="W60" s="8" t="str">
        <f t="shared" si="10"/>
        <v/>
      </c>
      <c r="X60" s="8">
        <v>1</v>
      </c>
      <c r="Y60" s="8" t="str">
        <f t="shared" si="11"/>
        <v/>
      </c>
      <c r="Z60" s="352" t="str">
        <f t="shared" si="12"/>
        <v/>
      </c>
      <c r="AA60" s="192">
        <f t="shared" si="13"/>
        <v>0</v>
      </c>
      <c r="AB60" s="192" t="str">
        <f t="shared" si="14"/>
        <v/>
      </c>
      <c r="AC60" s="192" t="str">
        <f t="shared" si="14"/>
        <v/>
      </c>
      <c r="AE60" s="192">
        <f t="shared" si="15"/>
        <v>0</v>
      </c>
    </row>
    <row r="61" spans="2:31" x14ac:dyDescent="0.25">
      <c r="B61" s="7" t="str">
        <f t="shared" si="6"/>
        <v/>
      </c>
      <c r="C61" s="4"/>
      <c r="D61" s="4"/>
      <c r="E61" s="4"/>
      <c r="F61" s="350" t="str">
        <f>IF('תנאי סף'!AO61&lt;&gt;1,"",'תנאי סף'!F61)</f>
        <v/>
      </c>
      <c r="G61" s="159" t="str">
        <f>IF($F61="","",'תנאי סף'!Z61)</f>
        <v/>
      </c>
      <c r="H61" s="6"/>
      <c r="I61" s="6"/>
      <c r="J61" s="5"/>
      <c r="K61" s="6"/>
      <c r="L61" s="5"/>
      <c r="M61" s="6"/>
      <c r="N61" s="6"/>
      <c r="O61" s="158"/>
      <c r="P61" s="177"/>
      <c r="Q61" s="8"/>
      <c r="R61" s="8"/>
      <c r="S61" s="159" t="str">
        <f t="shared" si="7"/>
        <v/>
      </c>
      <c r="T61" s="159" t="str">
        <f t="shared" si="8"/>
        <v/>
      </c>
      <c r="U61" s="159" t="str">
        <f t="shared" si="9"/>
        <v/>
      </c>
      <c r="V61" s="159" t="str">
        <f>סיווג!Z61</f>
        <v/>
      </c>
      <c r="W61" s="8" t="str">
        <f t="shared" si="10"/>
        <v/>
      </c>
      <c r="X61" s="8">
        <v>1</v>
      </c>
      <c r="Y61" s="8" t="str">
        <f t="shared" si="11"/>
        <v/>
      </c>
      <c r="Z61" s="352" t="str">
        <f t="shared" si="12"/>
        <v/>
      </c>
      <c r="AA61" s="192">
        <f t="shared" si="13"/>
        <v>0</v>
      </c>
      <c r="AB61" s="192" t="str">
        <f t="shared" si="14"/>
        <v/>
      </c>
      <c r="AC61" s="192" t="str">
        <f t="shared" si="14"/>
        <v/>
      </c>
      <c r="AE61" s="192">
        <f t="shared" si="15"/>
        <v>0</v>
      </c>
    </row>
    <row r="62" spans="2:31" x14ac:dyDescent="0.25">
      <c r="B62" s="7" t="str">
        <f t="shared" si="6"/>
        <v/>
      </c>
      <c r="C62" s="4"/>
      <c r="D62" s="4"/>
      <c r="E62" s="4"/>
      <c r="F62" s="350" t="str">
        <f>IF('תנאי סף'!AO62&lt;&gt;1,"",'תנאי סף'!F62)</f>
        <v/>
      </c>
      <c r="G62" s="159" t="str">
        <f>IF($F62="","",'תנאי סף'!Z62)</f>
        <v/>
      </c>
      <c r="H62" s="6"/>
      <c r="I62" s="6"/>
      <c r="J62" s="5"/>
      <c r="K62" s="6"/>
      <c r="L62" s="5"/>
      <c r="M62" s="6"/>
      <c r="N62" s="6"/>
      <c r="O62" s="158"/>
      <c r="P62" s="177"/>
      <c r="Q62" s="8"/>
      <c r="R62" s="8"/>
      <c r="S62" s="159" t="str">
        <f t="shared" si="7"/>
        <v/>
      </c>
      <c r="T62" s="159" t="str">
        <f t="shared" si="8"/>
        <v/>
      </c>
      <c r="U62" s="159" t="str">
        <f t="shared" si="9"/>
        <v/>
      </c>
      <c r="V62" s="159" t="str">
        <f>סיווג!Z62</f>
        <v/>
      </c>
      <c r="W62" s="8" t="str">
        <f t="shared" si="10"/>
        <v/>
      </c>
      <c r="X62" s="8">
        <v>1</v>
      </c>
      <c r="Y62" s="8" t="str">
        <f t="shared" si="11"/>
        <v/>
      </c>
      <c r="Z62" s="352" t="str">
        <f t="shared" si="12"/>
        <v/>
      </c>
      <c r="AA62" s="192">
        <f t="shared" si="13"/>
        <v>0</v>
      </c>
      <c r="AB62" s="192" t="str">
        <f t="shared" si="14"/>
        <v/>
      </c>
      <c r="AC62" s="192" t="str">
        <f t="shared" si="14"/>
        <v/>
      </c>
      <c r="AE62" s="192">
        <f t="shared" si="15"/>
        <v>0</v>
      </c>
    </row>
    <row r="63" spans="2:31" x14ac:dyDescent="0.25">
      <c r="B63" s="7" t="str">
        <f t="shared" si="6"/>
        <v/>
      </c>
      <c r="C63" s="4"/>
      <c r="D63" s="4"/>
      <c r="E63" s="4"/>
      <c r="F63" s="350" t="str">
        <f>IF('תנאי סף'!AO63&lt;&gt;1,"",'תנאי סף'!F63)</f>
        <v/>
      </c>
      <c r="G63" s="159" t="str">
        <f>IF($F63="","",'תנאי סף'!Z63)</f>
        <v/>
      </c>
      <c r="H63" s="6"/>
      <c r="I63" s="6"/>
      <c r="J63" s="5"/>
      <c r="K63" s="6"/>
      <c r="L63" s="5"/>
      <c r="M63" s="6"/>
      <c r="N63" s="6"/>
      <c r="O63" s="158"/>
      <c r="P63" s="177"/>
      <c r="Q63" s="8"/>
      <c r="R63" s="8"/>
      <c r="S63" s="159" t="str">
        <f t="shared" si="7"/>
        <v/>
      </c>
      <c r="T63" s="159" t="str">
        <f t="shared" si="8"/>
        <v/>
      </c>
      <c r="U63" s="159" t="str">
        <f t="shared" si="9"/>
        <v/>
      </c>
      <c r="V63" s="159" t="str">
        <f>סיווג!Z63</f>
        <v/>
      </c>
      <c r="W63" s="8" t="str">
        <f t="shared" si="10"/>
        <v/>
      </c>
      <c r="X63" s="8">
        <v>1</v>
      </c>
      <c r="Y63" s="8" t="str">
        <f t="shared" si="11"/>
        <v/>
      </c>
      <c r="Z63" s="352" t="str">
        <f t="shared" si="12"/>
        <v/>
      </c>
      <c r="AA63" s="192">
        <f t="shared" si="13"/>
        <v>0</v>
      </c>
      <c r="AB63" s="192" t="str">
        <f t="shared" si="14"/>
        <v/>
      </c>
      <c r="AC63" s="192" t="str">
        <f t="shared" si="14"/>
        <v/>
      </c>
      <c r="AE63" s="192">
        <f t="shared" si="15"/>
        <v>0</v>
      </c>
    </row>
    <row r="64" spans="2:31" x14ac:dyDescent="0.25">
      <c r="B64" s="7" t="str">
        <f t="shared" si="6"/>
        <v/>
      </c>
      <c r="C64" s="4"/>
      <c r="D64" s="4"/>
      <c r="E64" s="4"/>
      <c r="F64" s="350" t="str">
        <f>IF('תנאי סף'!AO64&lt;&gt;1,"",'תנאי סף'!F64)</f>
        <v/>
      </c>
      <c r="G64" s="159" t="str">
        <f>IF($F64="","",'תנאי סף'!Z64)</f>
        <v/>
      </c>
      <c r="H64" s="6"/>
      <c r="I64" s="6"/>
      <c r="J64" s="5"/>
      <c r="K64" s="6"/>
      <c r="L64" s="5"/>
      <c r="M64" s="6"/>
      <c r="N64" s="6"/>
      <c r="O64" s="158"/>
      <c r="P64" s="177"/>
      <c r="Q64" s="8"/>
      <c r="R64" s="8"/>
      <c r="S64" s="159" t="str">
        <f t="shared" si="7"/>
        <v/>
      </c>
      <c r="T64" s="159" t="str">
        <f t="shared" si="8"/>
        <v/>
      </c>
      <c r="U64" s="159" t="str">
        <f t="shared" si="9"/>
        <v/>
      </c>
      <c r="V64" s="159" t="str">
        <f>סיווג!Z64</f>
        <v/>
      </c>
      <c r="W64" s="8" t="str">
        <f t="shared" si="10"/>
        <v/>
      </c>
      <c r="X64" s="8">
        <v>1</v>
      </c>
      <c r="Y64" s="8" t="str">
        <f t="shared" si="11"/>
        <v/>
      </c>
      <c r="Z64" s="352" t="str">
        <f t="shared" si="12"/>
        <v/>
      </c>
      <c r="AA64" s="192">
        <f t="shared" si="13"/>
        <v>0</v>
      </c>
      <c r="AB64" s="192" t="str">
        <f t="shared" ref="AB64:AC91" si="16">IF($F64="","",AB$30)</f>
        <v/>
      </c>
      <c r="AC64" s="192" t="str">
        <f t="shared" si="16"/>
        <v/>
      </c>
      <c r="AE64" s="192">
        <f t="shared" si="15"/>
        <v>0</v>
      </c>
    </row>
    <row r="65" spans="2:31" ht="18.75" customHeight="1" x14ac:dyDescent="0.25">
      <c r="B65" s="7">
        <f t="shared" si="6"/>
        <v>35</v>
      </c>
      <c r="C65" s="4"/>
      <c r="D65" s="4"/>
      <c r="E65" s="4"/>
      <c r="F65" s="350" t="str">
        <f>IF('תנאי סף'!AO65&lt;&gt;1,"",'תנאי סף'!F65)</f>
        <v>אנסמבל מיתר</v>
      </c>
      <c r="G65" s="159">
        <f>IF($F65="","",'תנאי סף'!Z65)</f>
        <v>26</v>
      </c>
      <c r="H65" s="6">
        <v>13</v>
      </c>
      <c r="I65" s="6"/>
      <c r="J65" s="5"/>
      <c r="K65" s="6"/>
      <c r="L65" s="5"/>
      <c r="M65" s="6"/>
      <c r="N65" s="6"/>
      <c r="O65" s="158"/>
      <c r="P65" s="177"/>
      <c r="Q65" s="8"/>
      <c r="R65" s="8"/>
      <c r="S65" s="159">
        <f t="shared" si="7"/>
        <v>26</v>
      </c>
      <c r="T65" s="159">
        <f t="shared" si="8"/>
        <v>3.9</v>
      </c>
      <c r="U65" s="159">
        <f t="shared" si="9"/>
        <v>29.9</v>
      </c>
      <c r="V65" s="159">
        <f>סיווג!Z65</f>
        <v>1</v>
      </c>
      <c r="W65" s="8">
        <f t="shared" si="10"/>
        <v>29.9</v>
      </c>
      <c r="X65" s="8">
        <v>1</v>
      </c>
      <c r="Y65" s="8">
        <f t="shared" si="11"/>
        <v>29.9</v>
      </c>
      <c r="Z65" s="352">
        <f t="shared" si="12"/>
        <v>5.4049656992561389E-2</v>
      </c>
      <c r="AA65" s="192">
        <f t="shared" si="13"/>
        <v>1</v>
      </c>
      <c r="AB65" s="192">
        <f t="shared" si="16"/>
        <v>0</v>
      </c>
      <c r="AC65" s="192">
        <f t="shared" si="16"/>
        <v>1</v>
      </c>
      <c r="AE65" s="192">
        <f t="shared" si="15"/>
        <v>1</v>
      </c>
    </row>
    <row r="66" spans="2:31" x14ac:dyDescent="0.25">
      <c r="B66" s="7" t="str">
        <f t="shared" si="6"/>
        <v/>
      </c>
      <c r="C66" s="4"/>
      <c r="D66" s="4"/>
      <c r="E66" s="4"/>
      <c r="F66" s="350" t="str">
        <f>IF('תנאי סף'!AO66&lt;&gt;1,"",'תנאי סף'!F66)</f>
        <v/>
      </c>
      <c r="G66" s="159" t="str">
        <f>IF($F66="","",'תנאי סף'!Z66)</f>
        <v/>
      </c>
      <c r="H66" s="6"/>
      <c r="I66" s="6"/>
      <c r="J66" s="5"/>
      <c r="K66" s="6"/>
      <c r="L66" s="5"/>
      <c r="M66" s="6"/>
      <c r="N66" s="6"/>
      <c r="O66" s="158"/>
      <c r="P66" s="177"/>
      <c r="Q66" s="8"/>
      <c r="R66" s="8"/>
      <c r="S66" s="159" t="str">
        <f t="shared" si="7"/>
        <v/>
      </c>
      <c r="T66" s="159" t="str">
        <f t="shared" si="8"/>
        <v/>
      </c>
      <c r="U66" s="159" t="str">
        <f t="shared" si="9"/>
        <v/>
      </c>
      <c r="V66" s="159" t="str">
        <f>סיווג!Z66</f>
        <v/>
      </c>
      <c r="W66" s="8" t="str">
        <f t="shared" si="10"/>
        <v/>
      </c>
      <c r="X66" s="8">
        <v>1</v>
      </c>
      <c r="Y66" s="8" t="str">
        <f t="shared" si="11"/>
        <v/>
      </c>
      <c r="Z66" s="352" t="str">
        <f t="shared" si="12"/>
        <v/>
      </c>
      <c r="AA66" s="192">
        <f t="shared" si="13"/>
        <v>0</v>
      </c>
      <c r="AB66" s="192" t="str">
        <f t="shared" si="16"/>
        <v/>
      </c>
      <c r="AC66" s="192" t="str">
        <f t="shared" si="16"/>
        <v/>
      </c>
      <c r="AE66" s="192">
        <f t="shared" si="15"/>
        <v>0</v>
      </c>
    </row>
    <row r="67" spans="2:31" ht="18" customHeight="1" x14ac:dyDescent="0.25">
      <c r="B67" s="7">
        <f t="shared" si="6"/>
        <v>37</v>
      </c>
      <c r="C67" s="4"/>
      <c r="D67" s="4"/>
      <c r="E67" s="4"/>
      <c r="F67" s="230" t="str">
        <f>IF('תנאי סף'!AO67&lt;&gt;1,"",'תנאי סף'!F67)</f>
        <v>אנסמבל ארז נטף</v>
      </c>
      <c r="G67" s="159">
        <f>IF($F67="","",'תנאי סף'!Z67)</f>
        <v>22</v>
      </c>
      <c r="H67" s="6">
        <v>0</v>
      </c>
      <c r="I67" s="6"/>
      <c r="J67" s="5"/>
      <c r="K67" s="6"/>
      <c r="L67" s="5"/>
      <c r="M67" s="6"/>
      <c r="N67" s="6"/>
      <c r="O67" s="158"/>
      <c r="P67" s="177"/>
      <c r="Q67" s="8"/>
      <c r="R67" s="8"/>
      <c r="S67" s="159">
        <f t="shared" si="7"/>
        <v>22</v>
      </c>
      <c r="T67" s="159">
        <f t="shared" si="8"/>
        <v>0</v>
      </c>
      <c r="U67" s="159">
        <f t="shared" si="9"/>
        <v>22</v>
      </c>
      <c r="V67" s="159">
        <f>סיווג!Z67</f>
        <v>1</v>
      </c>
      <c r="W67" s="8">
        <f t="shared" si="10"/>
        <v>22</v>
      </c>
      <c r="X67" s="8">
        <v>1</v>
      </c>
      <c r="Y67" s="8">
        <f t="shared" si="11"/>
        <v>22</v>
      </c>
      <c r="Z67" s="352">
        <f t="shared" si="12"/>
        <v>3.9768978389175605E-2</v>
      </c>
      <c r="AA67" s="192">
        <f t="shared" si="13"/>
        <v>1</v>
      </c>
      <c r="AB67" s="192">
        <f t="shared" si="16"/>
        <v>0</v>
      </c>
      <c r="AC67" s="192">
        <f t="shared" si="16"/>
        <v>1</v>
      </c>
      <c r="AE67" s="192">
        <f t="shared" si="15"/>
        <v>1</v>
      </c>
    </row>
    <row r="68" spans="2:31" x14ac:dyDescent="0.25">
      <c r="B68" s="7" t="str">
        <f t="shared" si="6"/>
        <v/>
      </c>
      <c r="C68" s="4"/>
      <c r="D68" s="4"/>
      <c r="E68" s="4"/>
      <c r="F68" s="230" t="str">
        <f>IF('תנאי סף'!AO68&lt;&gt;1,"",'תנאי סף'!F68)</f>
        <v/>
      </c>
      <c r="G68" s="159" t="str">
        <f>IF($F68="","",'תנאי סף'!Z68)</f>
        <v/>
      </c>
      <c r="H68" s="6"/>
      <c r="I68" s="6"/>
      <c r="J68" s="5"/>
      <c r="K68" s="6"/>
      <c r="L68" s="5"/>
      <c r="M68" s="6"/>
      <c r="N68" s="6"/>
      <c r="O68" s="158"/>
      <c r="P68" s="177"/>
      <c r="Q68" s="8"/>
      <c r="R68" s="8"/>
      <c r="S68" s="159" t="str">
        <f t="shared" si="7"/>
        <v/>
      </c>
      <c r="T68" s="159" t="str">
        <f t="shared" si="8"/>
        <v/>
      </c>
      <c r="U68" s="159" t="str">
        <f t="shared" si="9"/>
        <v/>
      </c>
      <c r="V68" s="159" t="str">
        <f>סיווג!Z68</f>
        <v/>
      </c>
      <c r="W68" s="8" t="str">
        <f t="shared" si="10"/>
        <v/>
      </c>
      <c r="X68" s="8">
        <v>1</v>
      </c>
      <c r="Y68" s="8" t="str">
        <f t="shared" si="11"/>
        <v/>
      </c>
      <c r="Z68" s="352" t="str">
        <f t="shared" si="12"/>
        <v/>
      </c>
      <c r="AA68" s="192">
        <f t="shared" si="13"/>
        <v>0</v>
      </c>
      <c r="AB68" s="192" t="str">
        <f t="shared" si="16"/>
        <v/>
      </c>
      <c r="AC68" s="192" t="str">
        <f t="shared" si="16"/>
        <v/>
      </c>
      <c r="AE68" s="192">
        <f t="shared" si="15"/>
        <v>0</v>
      </c>
    </row>
    <row r="69" spans="2:31" x14ac:dyDescent="0.25">
      <c r="B69" s="7" t="str">
        <f t="shared" si="6"/>
        <v/>
      </c>
      <c r="C69" s="4"/>
      <c r="D69" s="4"/>
      <c r="E69" s="4"/>
      <c r="F69" s="230" t="str">
        <f>IF('תנאי סף'!AO69&lt;&gt;1,"",'תנאי סף'!F69)</f>
        <v/>
      </c>
      <c r="G69" s="159" t="str">
        <f>IF($F69="","",'תנאי סף'!Z69)</f>
        <v/>
      </c>
      <c r="H69" s="6"/>
      <c r="I69" s="6"/>
      <c r="J69" s="5"/>
      <c r="K69" s="6"/>
      <c r="L69" s="5"/>
      <c r="M69" s="6"/>
      <c r="N69" s="6"/>
      <c r="O69" s="158"/>
      <c r="P69" s="177"/>
      <c r="Q69" s="8"/>
      <c r="R69" s="8"/>
      <c r="S69" s="159" t="str">
        <f t="shared" si="7"/>
        <v/>
      </c>
      <c r="T69" s="159" t="str">
        <f t="shared" si="8"/>
        <v/>
      </c>
      <c r="U69" s="159" t="str">
        <f t="shared" si="9"/>
        <v/>
      </c>
      <c r="V69" s="159" t="str">
        <f>סיווג!Z69</f>
        <v/>
      </c>
      <c r="W69" s="8" t="str">
        <f t="shared" si="10"/>
        <v/>
      </c>
      <c r="X69" s="8">
        <v>1</v>
      </c>
      <c r="Y69" s="8" t="str">
        <f t="shared" si="11"/>
        <v/>
      </c>
      <c r="Z69" s="352" t="str">
        <f t="shared" si="12"/>
        <v/>
      </c>
      <c r="AA69" s="192">
        <f t="shared" si="13"/>
        <v>0</v>
      </c>
      <c r="AB69" s="192" t="str">
        <f t="shared" si="16"/>
        <v/>
      </c>
      <c r="AC69" s="192" t="str">
        <f t="shared" si="16"/>
        <v/>
      </c>
      <c r="AE69" s="192">
        <f t="shared" si="15"/>
        <v>0</v>
      </c>
    </row>
    <row r="70" spans="2:31" ht="19.5" customHeight="1" x14ac:dyDescent="0.25">
      <c r="B70" s="7">
        <f t="shared" si="6"/>
        <v>40</v>
      </c>
      <c r="C70" s="4"/>
      <c r="D70" s="4"/>
      <c r="E70" s="4"/>
      <c r="F70" s="230" t="str">
        <f>IF('תנאי סף'!AO70&lt;&gt;1,"",'תנאי סף'!F70)</f>
        <v>תו המשווה (ע"ר)</v>
      </c>
      <c r="G70" s="159">
        <f>IF($F70="","",'תנאי סף'!Z70)</f>
        <v>22</v>
      </c>
      <c r="H70" s="6">
        <v>1</v>
      </c>
      <c r="I70" s="6"/>
      <c r="J70" s="5"/>
      <c r="K70" s="6"/>
      <c r="L70" s="5"/>
      <c r="M70" s="6"/>
      <c r="N70" s="6"/>
      <c r="O70" s="158"/>
      <c r="P70" s="177"/>
      <c r="Q70" s="8"/>
      <c r="R70" s="8"/>
      <c r="S70" s="159">
        <f t="shared" si="7"/>
        <v>22</v>
      </c>
      <c r="T70" s="159">
        <f t="shared" si="8"/>
        <v>1</v>
      </c>
      <c r="U70" s="159">
        <f t="shared" si="9"/>
        <v>23</v>
      </c>
      <c r="V70" s="159">
        <f>סיווג!Z70</f>
        <v>1</v>
      </c>
      <c r="W70" s="8">
        <f t="shared" si="10"/>
        <v>23</v>
      </c>
      <c r="X70" s="8">
        <v>1</v>
      </c>
      <c r="Y70" s="8">
        <f t="shared" si="11"/>
        <v>23</v>
      </c>
      <c r="Z70" s="352">
        <f t="shared" si="12"/>
        <v>4.1576659225047219E-2</v>
      </c>
      <c r="AA70" s="192">
        <f t="shared" si="13"/>
        <v>1</v>
      </c>
      <c r="AB70" s="192">
        <f t="shared" si="16"/>
        <v>0</v>
      </c>
      <c r="AC70" s="192">
        <f t="shared" si="16"/>
        <v>1</v>
      </c>
      <c r="AE70" s="192">
        <f t="shared" si="15"/>
        <v>1</v>
      </c>
    </row>
    <row r="71" spans="2:31" x14ac:dyDescent="0.25">
      <c r="B71" s="7" t="str">
        <f t="shared" si="6"/>
        <v/>
      </c>
      <c r="C71" s="4"/>
      <c r="D71" s="4"/>
      <c r="E71" s="4"/>
      <c r="F71" s="230" t="str">
        <f>IF('תנאי סף'!AO71&lt;&gt;1,"",'תנאי סף'!F71)</f>
        <v/>
      </c>
      <c r="G71" s="159" t="str">
        <f>IF($F71="","",'תנאי סף'!Z71)</f>
        <v/>
      </c>
      <c r="H71" s="6"/>
      <c r="I71" s="6"/>
      <c r="J71" s="5"/>
      <c r="K71" s="6"/>
      <c r="L71" s="5"/>
      <c r="M71" s="6"/>
      <c r="N71" s="6"/>
      <c r="O71" s="158"/>
      <c r="P71" s="177"/>
      <c r="Q71" s="8"/>
      <c r="R71" s="8"/>
      <c r="S71" s="159" t="str">
        <f t="shared" si="7"/>
        <v/>
      </c>
      <c r="T71" s="159" t="str">
        <f t="shared" si="8"/>
        <v/>
      </c>
      <c r="U71" s="159" t="str">
        <f t="shared" si="9"/>
        <v/>
      </c>
      <c r="V71" s="159" t="str">
        <f>סיווג!Z71</f>
        <v/>
      </c>
      <c r="W71" s="8" t="str">
        <f t="shared" si="10"/>
        <v/>
      </c>
      <c r="X71" s="8">
        <v>1</v>
      </c>
      <c r="Y71" s="8" t="str">
        <f t="shared" si="11"/>
        <v/>
      </c>
      <c r="Z71" s="123" t="str">
        <f t="shared" si="12"/>
        <v/>
      </c>
      <c r="AA71" s="192">
        <f t="shared" si="13"/>
        <v>0</v>
      </c>
      <c r="AB71" s="192" t="str">
        <f t="shared" si="16"/>
        <v/>
      </c>
      <c r="AC71" s="192" t="str">
        <f t="shared" si="16"/>
        <v/>
      </c>
      <c r="AE71" s="192">
        <f t="shared" si="15"/>
        <v>0</v>
      </c>
    </row>
    <row r="72" spans="2:31" x14ac:dyDescent="0.25">
      <c r="B72" s="7" t="str">
        <f t="shared" si="6"/>
        <v/>
      </c>
      <c r="C72" s="4"/>
      <c r="D72" s="4"/>
      <c r="E72" s="4"/>
      <c r="F72" s="230" t="str">
        <f>IF('תנאי סף'!AO72&lt;&gt;1,"",'תנאי סף'!F72)</f>
        <v/>
      </c>
      <c r="G72" s="159" t="str">
        <f>IF($F72="","",'תנאי סף'!Z72)</f>
        <v/>
      </c>
      <c r="H72" s="6"/>
      <c r="I72" s="6"/>
      <c r="J72" s="5"/>
      <c r="K72" s="6"/>
      <c r="L72" s="5"/>
      <c r="M72" s="6"/>
      <c r="N72" s="6"/>
      <c r="O72" s="158"/>
      <c r="P72" s="177"/>
      <c r="Q72" s="8"/>
      <c r="R72" s="8"/>
      <c r="S72" s="159" t="str">
        <f t="shared" si="7"/>
        <v/>
      </c>
      <c r="T72" s="159" t="str">
        <f t="shared" si="8"/>
        <v/>
      </c>
      <c r="U72" s="159" t="str">
        <f t="shared" si="9"/>
        <v/>
      </c>
      <c r="V72" s="159" t="str">
        <f>סיווג!Z72</f>
        <v/>
      </c>
      <c r="W72" s="8" t="str">
        <f t="shared" si="10"/>
        <v/>
      </c>
      <c r="X72" s="8">
        <v>1</v>
      </c>
      <c r="Y72" s="8" t="str">
        <f t="shared" si="11"/>
        <v/>
      </c>
      <c r="Z72" s="123" t="str">
        <f t="shared" si="12"/>
        <v/>
      </c>
      <c r="AA72" s="192">
        <f t="shared" si="13"/>
        <v>0</v>
      </c>
      <c r="AB72" s="192" t="str">
        <f t="shared" si="16"/>
        <v/>
      </c>
      <c r="AC72" s="192" t="str">
        <f t="shared" si="16"/>
        <v/>
      </c>
      <c r="AE72" s="192">
        <f t="shared" si="15"/>
        <v>0</v>
      </c>
    </row>
    <row r="73" spans="2:31" ht="22.5" customHeight="1" x14ac:dyDescent="0.25">
      <c r="B73" s="7">
        <f t="shared" si="6"/>
        <v>43</v>
      </c>
      <c r="C73" s="4"/>
      <c r="D73" s="4"/>
      <c r="E73" s="4"/>
      <c r="F73" s="230" t="str">
        <f>IF('תנאי סף'!AO73&lt;&gt;1,"",'תנאי סף'!F73)</f>
        <v>בר קיימא ואקלקוטנטקט</v>
      </c>
      <c r="G73" s="159">
        <f>IF($F73="","",'תנאי סף'!Z73)</f>
        <v>16</v>
      </c>
      <c r="H73" s="6">
        <v>9</v>
      </c>
      <c r="I73" s="6"/>
      <c r="J73" s="5"/>
      <c r="K73" s="6"/>
      <c r="L73" s="5"/>
      <c r="M73" s="6"/>
      <c r="N73" s="6"/>
      <c r="O73" s="158"/>
      <c r="P73" s="177"/>
      <c r="Q73" s="8"/>
      <c r="R73" s="8"/>
      <c r="S73" s="159">
        <f t="shared" si="7"/>
        <v>16</v>
      </c>
      <c r="T73" s="159">
        <f t="shared" si="8"/>
        <v>2.4</v>
      </c>
      <c r="U73" s="159">
        <f t="shared" si="9"/>
        <v>18.399999999999999</v>
      </c>
      <c r="V73" s="159">
        <f>סיווג!Z73</f>
        <v>0.8</v>
      </c>
      <c r="W73" s="8">
        <f t="shared" si="10"/>
        <v>14.719999999999999</v>
      </c>
      <c r="X73" s="8">
        <v>1</v>
      </c>
      <c r="Y73" s="8">
        <f t="shared" si="11"/>
        <v>14.719999999999999</v>
      </c>
      <c r="Z73" s="123">
        <f t="shared" si="12"/>
        <v>2.6609061904030219E-2</v>
      </c>
      <c r="AA73" s="192">
        <f t="shared" si="13"/>
        <v>1</v>
      </c>
      <c r="AB73" s="192">
        <f t="shared" si="16"/>
        <v>0</v>
      </c>
      <c r="AC73" s="192">
        <f t="shared" si="16"/>
        <v>1</v>
      </c>
      <c r="AE73" s="192">
        <f t="shared" si="15"/>
        <v>1</v>
      </c>
    </row>
    <row r="74" spans="2:31" x14ac:dyDescent="0.25">
      <c r="B74" s="7" t="str">
        <f t="shared" si="6"/>
        <v/>
      </c>
      <c r="C74" s="4"/>
      <c r="D74" s="4"/>
      <c r="E74" s="4"/>
      <c r="F74" s="230" t="str">
        <f>IF('תנאי סף'!AO74&lt;&gt;1,"",'תנאי סף'!F74)</f>
        <v/>
      </c>
      <c r="G74" s="159" t="str">
        <f>IF($F74="","",'תנאי סף'!Z74)</f>
        <v/>
      </c>
      <c r="H74" s="6"/>
      <c r="I74" s="6"/>
      <c r="J74" s="5"/>
      <c r="K74" s="6"/>
      <c r="L74" s="5"/>
      <c r="M74" s="6"/>
      <c r="N74" s="6"/>
      <c r="O74" s="158"/>
      <c r="P74" s="177"/>
      <c r="Q74" s="8"/>
      <c r="R74" s="8"/>
      <c r="S74" s="159" t="str">
        <f t="shared" si="7"/>
        <v/>
      </c>
      <c r="T74" s="159" t="str">
        <f t="shared" si="8"/>
        <v/>
      </c>
      <c r="U74" s="159" t="str">
        <f t="shared" si="9"/>
        <v/>
      </c>
      <c r="V74" s="159" t="str">
        <f>סיווג!Z74</f>
        <v/>
      </c>
      <c r="W74" s="8" t="str">
        <f t="shared" si="10"/>
        <v/>
      </c>
      <c r="X74" s="8">
        <v>1</v>
      </c>
      <c r="Y74" s="8" t="str">
        <f t="shared" si="11"/>
        <v/>
      </c>
      <c r="Z74" s="123" t="str">
        <f t="shared" si="12"/>
        <v/>
      </c>
      <c r="AA74" s="192">
        <f t="shared" si="13"/>
        <v>0</v>
      </c>
      <c r="AB74" s="192" t="str">
        <f t="shared" si="16"/>
        <v/>
      </c>
      <c r="AC74" s="192" t="str">
        <f t="shared" si="16"/>
        <v/>
      </c>
      <c r="AE74" s="192">
        <f t="shared" si="15"/>
        <v>0</v>
      </c>
    </row>
    <row r="75" spans="2:31" ht="24" customHeight="1" x14ac:dyDescent="0.25">
      <c r="B75" s="7">
        <f t="shared" si="6"/>
        <v>45</v>
      </c>
      <c r="C75" s="4"/>
      <c r="D75" s="4"/>
      <c r="E75" s="4"/>
      <c r="F75" s="230" t="str">
        <f>IF('תנאי סף'!AO75&lt;&gt;1,"",'תנאי סף'!F75)</f>
        <v>אלקאת התזמורת התימנית</v>
      </c>
      <c r="G75" s="159">
        <f>IF($F75="","",'תנאי סף'!Z75)</f>
        <v>12</v>
      </c>
      <c r="H75" s="6">
        <v>27</v>
      </c>
      <c r="I75" s="6"/>
      <c r="J75" s="5"/>
      <c r="K75" s="6"/>
      <c r="L75" s="5"/>
      <c r="M75" s="6"/>
      <c r="N75" s="6"/>
      <c r="O75" s="158"/>
      <c r="P75" s="177"/>
      <c r="Q75" s="8"/>
      <c r="R75" s="8"/>
      <c r="S75" s="159">
        <f t="shared" si="7"/>
        <v>12</v>
      </c>
      <c r="T75" s="159">
        <f t="shared" si="8"/>
        <v>1.7999999999999998</v>
      </c>
      <c r="U75" s="159">
        <f t="shared" si="9"/>
        <v>13.8</v>
      </c>
      <c r="V75" s="159">
        <f>סיווג!Z75</f>
        <v>1</v>
      </c>
      <c r="W75" s="8">
        <f t="shared" si="10"/>
        <v>13.8</v>
      </c>
      <c r="X75" s="8">
        <v>1</v>
      </c>
      <c r="Y75" s="8">
        <f t="shared" si="11"/>
        <v>13.8</v>
      </c>
      <c r="Z75" s="123">
        <f t="shared" si="12"/>
        <v>2.4945995535028333E-2</v>
      </c>
      <c r="AA75" s="192">
        <f t="shared" si="13"/>
        <v>1</v>
      </c>
      <c r="AB75" s="192">
        <f t="shared" si="16"/>
        <v>0</v>
      </c>
      <c r="AC75" s="192">
        <f t="shared" si="16"/>
        <v>1</v>
      </c>
      <c r="AE75" s="192">
        <f t="shared" si="15"/>
        <v>1</v>
      </c>
    </row>
    <row r="76" spans="2:31" x14ac:dyDescent="0.25">
      <c r="B76" s="7" t="str">
        <f t="shared" si="6"/>
        <v/>
      </c>
      <c r="C76" s="4"/>
      <c r="D76" s="4"/>
      <c r="E76" s="4"/>
      <c r="F76" s="230" t="str">
        <f>IF('תנאי סף'!AO76&lt;&gt;1,"",'תנאי סף'!F76)</f>
        <v/>
      </c>
      <c r="G76" s="159" t="str">
        <f>IF($F76="","",'תנאי סף'!Z76)</f>
        <v/>
      </c>
      <c r="H76" s="6"/>
      <c r="I76" s="6"/>
      <c r="J76" s="5"/>
      <c r="K76" s="6"/>
      <c r="L76" s="5"/>
      <c r="M76" s="6"/>
      <c r="N76" s="6"/>
      <c r="O76" s="158"/>
      <c r="P76" s="177"/>
      <c r="Q76" s="8"/>
      <c r="R76" s="8"/>
      <c r="S76" s="159" t="str">
        <f t="shared" si="7"/>
        <v/>
      </c>
      <c r="T76" s="159" t="str">
        <f t="shared" si="8"/>
        <v/>
      </c>
      <c r="U76" s="159" t="str">
        <f t="shared" si="9"/>
        <v/>
      </c>
      <c r="V76" s="159" t="str">
        <f>סיווג!Z76</f>
        <v/>
      </c>
      <c r="W76" s="8" t="str">
        <f t="shared" si="10"/>
        <v/>
      </c>
      <c r="X76" s="8">
        <v>1</v>
      </c>
      <c r="Y76" s="8" t="str">
        <f t="shared" si="11"/>
        <v/>
      </c>
      <c r="Z76" s="123" t="str">
        <f t="shared" si="12"/>
        <v/>
      </c>
      <c r="AA76" s="192">
        <f t="shared" si="13"/>
        <v>0</v>
      </c>
      <c r="AB76" s="192" t="str">
        <f t="shared" si="16"/>
        <v/>
      </c>
      <c r="AC76" s="192" t="str">
        <f t="shared" si="16"/>
        <v/>
      </c>
      <c r="AE76" s="192">
        <f t="shared" si="15"/>
        <v>0</v>
      </c>
    </row>
    <row r="77" spans="2:31" x14ac:dyDescent="0.25">
      <c r="B77" s="7" t="str">
        <f t="shared" si="6"/>
        <v/>
      </c>
      <c r="C77" s="4"/>
      <c r="D77" s="4"/>
      <c r="E77" s="4"/>
      <c r="F77" s="230" t="str">
        <f>IF('תנאי סף'!AO77&lt;&gt;1,"",'תנאי סף'!F77)</f>
        <v/>
      </c>
      <c r="G77" s="159" t="str">
        <f>IF($F77="","",'תנאי סף'!Z77)</f>
        <v/>
      </c>
      <c r="H77" s="6"/>
      <c r="I77" s="6"/>
      <c r="J77" s="5"/>
      <c r="K77" s="6"/>
      <c r="L77" s="5"/>
      <c r="M77" s="6"/>
      <c r="N77" s="6"/>
      <c r="O77" s="158"/>
      <c r="P77" s="177"/>
      <c r="Q77" s="8"/>
      <c r="R77" s="8"/>
      <c r="S77" s="159" t="str">
        <f t="shared" si="7"/>
        <v/>
      </c>
      <c r="T77" s="159" t="str">
        <f t="shared" si="8"/>
        <v/>
      </c>
      <c r="U77" s="159" t="str">
        <f t="shared" si="9"/>
        <v/>
      </c>
      <c r="V77" s="159" t="str">
        <f>סיווג!Z77</f>
        <v/>
      </c>
      <c r="W77" s="8" t="str">
        <f t="shared" si="10"/>
        <v/>
      </c>
      <c r="X77" s="8">
        <v>1</v>
      </c>
      <c r="Y77" s="8" t="str">
        <f t="shared" si="11"/>
        <v/>
      </c>
      <c r="Z77" s="123" t="str">
        <f t="shared" si="12"/>
        <v/>
      </c>
      <c r="AA77" s="192">
        <f t="shared" si="13"/>
        <v>0</v>
      </c>
      <c r="AB77" s="192" t="str">
        <f t="shared" si="16"/>
        <v/>
      </c>
      <c r="AC77" s="192" t="str">
        <f t="shared" si="16"/>
        <v/>
      </c>
      <c r="AE77" s="192">
        <f t="shared" si="15"/>
        <v>0</v>
      </c>
    </row>
    <row r="78" spans="2:31" ht="19.5" customHeight="1" x14ac:dyDescent="0.25">
      <c r="B78" s="7">
        <f t="shared" si="6"/>
        <v>48</v>
      </c>
      <c r="C78" s="4"/>
      <c r="D78" s="4"/>
      <c r="E78" s="4"/>
      <c r="F78" s="230" t="str">
        <f>IF('תנאי סף'!AO78&lt;&gt;1,"",'תנאי סף'!F78)</f>
        <v>גיא מינטוס- טריו</v>
      </c>
      <c r="G78" s="159">
        <f>IF($F78="","",'תנאי סף'!Z78)</f>
        <v>23</v>
      </c>
      <c r="H78" s="6">
        <v>11</v>
      </c>
      <c r="I78" s="6"/>
      <c r="J78" s="5"/>
      <c r="K78" s="6"/>
      <c r="L78" s="5"/>
      <c r="M78" s="6"/>
      <c r="N78" s="6"/>
      <c r="O78" s="158"/>
      <c r="P78" s="177"/>
      <c r="Q78" s="8"/>
      <c r="R78" s="8"/>
      <c r="S78" s="159">
        <f t="shared" si="7"/>
        <v>23</v>
      </c>
      <c r="T78" s="159">
        <f t="shared" si="8"/>
        <v>3.4499999999999997</v>
      </c>
      <c r="U78" s="159">
        <f t="shared" si="9"/>
        <v>26.45</v>
      </c>
      <c r="V78" s="159">
        <f>סיווג!Z78</f>
        <v>1</v>
      </c>
      <c r="W78" s="8">
        <f t="shared" si="10"/>
        <v>26.45</v>
      </c>
      <c r="X78" s="8">
        <v>1</v>
      </c>
      <c r="Y78" s="8">
        <f t="shared" si="11"/>
        <v>26.45</v>
      </c>
      <c r="Z78" s="123">
        <f t="shared" si="12"/>
        <v>4.7813158108804307E-2</v>
      </c>
      <c r="AA78" s="192">
        <f t="shared" si="13"/>
        <v>1</v>
      </c>
      <c r="AB78" s="192">
        <f t="shared" si="16"/>
        <v>0</v>
      </c>
      <c r="AC78" s="192">
        <f t="shared" si="16"/>
        <v>1</v>
      </c>
      <c r="AE78" s="192">
        <f t="shared" si="15"/>
        <v>1</v>
      </c>
    </row>
    <row r="79" spans="2:31" x14ac:dyDescent="0.25">
      <c r="B79" s="7" t="str">
        <f t="shared" si="6"/>
        <v/>
      </c>
      <c r="C79" s="4"/>
      <c r="D79" s="4"/>
      <c r="E79" s="4"/>
      <c r="F79" s="230" t="str">
        <f>IF('תנאי סף'!AO79&lt;&gt;1,"",'תנאי סף'!F79)</f>
        <v/>
      </c>
      <c r="G79" s="159" t="str">
        <f>IF($F79="","",'תנאי סף'!Z79)</f>
        <v/>
      </c>
      <c r="H79" s="6"/>
      <c r="I79" s="6"/>
      <c r="J79" s="5"/>
      <c r="K79" s="6"/>
      <c r="L79" s="5"/>
      <c r="M79" s="6"/>
      <c r="N79" s="6"/>
      <c r="O79" s="158"/>
      <c r="P79" s="177"/>
      <c r="Q79" s="8"/>
      <c r="R79" s="8"/>
      <c r="S79" s="159" t="str">
        <f t="shared" si="7"/>
        <v/>
      </c>
      <c r="T79" s="159" t="str">
        <f t="shared" si="8"/>
        <v/>
      </c>
      <c r="U79" s="159" t="str">
        <f t="shared" si="9"/>
        <v/>
      </c>
      <c r="V79" s="159" t="str">
        <f>סיווג!Z79</f>
        <v/>
      </c>
      <c r="W79" s="8" t="str">
        <f t="shared" si="10"/>
        <v/>
      </c>
      <c r="X79" s="8">
        <v>1</v>
      </c>
      <c r="Y79" s="8" t="str">
        <f t="shared" si="11"/>
        <v/>
      </c>
      <c r="Z79" s="123" t="str">
        <f t="shared" si="12"/>
        <v/>
      </c>
      <c r="AA79" s="192">
        <f t="shared" si="13"/>
        <v>0</v>
      </c>
      <c r="AB79" s="192" t="str">
        <f t="shared" si="16"/>
        <v/>
      </c>
      <c r="AC79" s="192" t="str">
        <f t="shared" si="16"/>
        <v/>
      </c>
      <c r="AE79" s="192">
        <f t="shared" si="15"/>
        <v>0</v>
      </c>
    </row>
    <row r="80" spans="2:31" x14ac:dyDescent="0.25">
      <c r="B80" s="7" t="str">
        <f t="shared" si="6"/>
        <v/>
      </c>
      <c r="C80" s="4"/>
      <c r="D80" s="4"/>
      <c r="E80" s="4"/>
      <c r="F80" s="230" t="str">
        <f>IF('תנאי סף'!AO80&lt;&gt;1,"",'תנאי סף'!F80)</f>
        <v/>
      </c>
      <c r="G80" s="159" t="str">
        <f>IF($F80="","",'תנאי סף'!Z80)</f>
        <v/>
      </c>
      <c r="H80" s="6"/>
      <c r="I80" s="6"/>
      <c r="J80" s="5"/>
      <c r="K80" s="6"/>
      <c r="L80" s="5"/>
      <c r="M80" s="6"/>
      <c r="N80" s="6"/>
      <c r="O80" s="158"/>
      <c r="P80" s="177"/>
      <c r="Q80" s="8"/>
      <c r="R80" s="8"/>
      <c r="S80" s="159" t="str">
        <f t="shared" si="7"/>
        <v/>
      </c>
      <c r="T80" s="159" t="str">
        <f t="shared" si="8"/>
        <v/>
      </c>
      <c r="U80" s="159" t="str">
        <f t="shared" si="9"/>
        <v/>
      </c>
      <c r="V80" s="159" t="str">
        <f>סיווג!Z80</f>
        <v/>
      </c>
      <c r="W80" s="8" t="str">
        <f t="shared" si="10"/>
        <v/>
      </c>
      <c r="X80" s="8">
        <v>1</v>
      </c>
      <c r="Y80" s="8" t="str">
        <f t="shared" si="11"/>
        <v/>
      </c>
      <c r="Z80" s="123" t="str">
        <f t="shared" si="12"/>
        <v/>
      </c>
      <c r="AA80" s="192">
        <f t="shared" si="13"/>
        <v>0</v>
      </c>
      <c r="AB80" s="192" t="str">
        <f t="shared" si="16"/>
        <v/>
      </c>
      <c r="AC80" s="192" t="str">
        <f t="shared" si="16"/>
        <v/>
      </c>
      <c r="AE80" s="192">
        <f t="shared" si="15"/>
        <v>0</v>
      </c>
    </row>
    <row r="81" spans="2:31" x14ac:dyDescent="0.25">
      <c r="B81" s="7" t="str">
        <f t="shared" si="6"/>
        <v/>
      </c>
      <c r="C81" s="4"/>
      <c r="D81" s="4"/>
      <c r="E81" s="4"/>
      <c r="F81" s="230" t="str">
        <f>IF('תנאי סף'!AO81&lt;&gt;1,"",'תנאי סף'!F81)</f>
        <v/>
      </c>
      <c r="G81" s="159" t="str">
        <f>IF($F81="","",'תנאי סף'!Z81)</f>
        <v/>
      </c>
      <c r="H81" s="6"/>
      <c r="I81" s="6"/>
      <c r="J81" s="5"/>
      <c r="K81" s="6"/>
      <c r="L81" s="5"/>
      <c r="M81" s="6"/>
      <c r="N81" s="6"/>
      <c r="O81" s="158"/>
      <c r="P81" s="177"/>
      <c r="Q81" s="8"/>
      <c r="R81" s="8"/>
      <c r="S81" s="159" t="str">
        <f t="shared" si="7"/>
        <v/>
      </c>
      <c r="T81" s="159" t="str">
        <f t="shared" si="8"/>
        <v/>
      </c>
      <c r="U81" s="159" t="str">
        <f t="shared" si="9"/>
        <v/>
      </c>
      <c r="V81" s="159" t="str">
        <f>סיווג!Z81</f>
        <v/>
      </c>
      <c r="W81" s="8" t="str">
        <f t="shared" si="10"/>
        <v/>
      </c>
      <c r="X81" s="8">
        <v>1</v>
      </c>
      <c r="Y81" s="8" t="str">
        <f t="shared" si="11"/>
        <v/>
      </c>
      <c r="Z81" s="123" t="str">
        <f t="shared" si="12"/>
        <v/>
      </c>
      <c r="AA81" s="192">
        <f t="shared" si="13"/>
        <v>0</v>
      </c>
      <c r="AB81" s="192" t="str">
        <f t="shared" si="16"/>
        <v/>
      </c>
      <c r="AC81" s="192" t="str">
        <f t="shared" si="16"/>
        <v/>
      </c>
      <c r="AE81" s="192">
        <f t="shared" si="15"/>
        <v>0</v>
      </c>
    </row>
    <row r="82" spans="2:31" ht="23.25" customHeight="1" x14ac:dyDescent="0.25">
      <c r="B82" s="7">
        <f t="shared" si="6"/>
        <v>52</v>
      </c>
      <c r="C82" s="4"/>
      <c r="D82" s="4"/>
      <c r="E82" s="4"/>
      <c r="F82" s="230" t="str">
        <f>IF('תנאי סף'!AO82&lt;&gt;1,"",'תנאי סף'!F82)</f>
        <v xml:space="preserve">פולקעס - בר-קיימא לתרבות </v>
      </c>
      <c r="G82" s="159">
        <f>IF($F82="","",'תנאי סף'!Z82)</f>
        <v>27</v>
      </c>
      <c r="H82" s="6">
        <v>12</v>
      </c>
      <c r="I82" s="6"/>
      <c r="J82" s="5"/>
      <c r="K82" s="6"/>
      <c r="L82" s="5"/>
      <c r="M82" s="6"/>
      <c r="N82" s="6"/>
      <c r="O82" s="158"/>
      <c r="P82" s="177"/>
      <c r="Q82" s="8"/>
      <c r="R82" s="8"/>
      <c r="S82" s="159">
        <f t="shared" si="7"/>
        <v>27</v>
      </c>
      <c r="T82" s="159">
        <f t="shared" si="8"/>
        <v>4.05</v>
      </c>
      <c r="U82" s="159">
        <f t="shared" si="9"/>
        <v>31.05</v>
      </c>
      <c r="V82" s="159">
        <f>סיווג!Z82</f>
        <v>0.8</v>
      </c>
      <c r="W82" s="8">
        <f t="shared" si="10"/>
        <v>24.840000000000003</v>
      </c>
      <c r="X82" s="8">
        <v>1</v>
      </c>
      <c r="Y82" s="8">
        <f t="shared" si="11"/>
        <v>24.840000000000003</v>
      </c>
      <c r="Z82" s="123">
        <f t="shared" si="12"/>
        <v>4.4902791963051004E-2</v>
      </c>
      <c r="AA82" s="192">
        <f t="shared" si="13"/>
        <v>1</v>
      </c>
      <c r="AB82" s="192">
        <f t="shared" si="16"/>
        <v>0</v>
      </c>
      <c r="AC82" s="192">
        <f t="shared" si="16"/>
        <v>1</v>
      </c>
      <c r="AE82" s="192">
        <f t="shared" si="15"/>
        <v>1</v>
      </c>
    </row>
    <row r="83" spans="2:31" x14ac:dyDescent="0.25">
      <c r="B83" s="7" t="str">
        <f t="shared" si="6"/>
        <v/>
      </c>
      <c r="C83" s="4"/>
      <c r="D83" s="4"/>
      <c r="E83" s="4"/>
      <c r="F83" s="230" t="str">
        <f>IF('תנאי סף'!AO83&lt;&gt;1,"",'תנאי סף'!F83)</f>
        <v/>
      </c>
      <c r="G83" s="159" t="str">
        <f>IF($F83="","",'תנאי סף'!Z83)</f>
        <v/>
      </c>
      <c r="H83" s="6"/>
      <c r="I83" s="6"/>
      <c r="J83" s="5"/>
      <c r="K83" s="6"/>
      <c r="L83" s="5"/>
      <c r="M83" s="6"/>
      <c r="N83" s="6"/>
      <c r="O83" s="158"/>
      <c r="P83" s="177"/>
      <c r="Q83" s="8"/>
      <c r="R83" s="8"/>
      <c r="S83" s="159" t="str">
        <f t="shared" si="7"/>
        <v/>
      </c>
      <c r="T83" s="159" t="str">
        <f t="shared" si="8"/>
        <v/>
      </c>
      <c r="U83" s="159" t="str">
        <f t="shared" si="9"/>
        <v/>
      </c>
      <c r="V83" s="159" t="str">
        <f>סיווג!Z83</f>
        <v/>
      </c>
      <c r="W83" s="8" t="str">
        <f t="shared" si="10"/>
        <v/>
      </c>
      <c r="X83" s="8">
        <v>1</v>
      </c>
      <c r="Y83" s="8" t="str">
        <f t="shared" si="11"/>
        <v/>
      </c>
      <c r="Z83" s="123" t="str">
        <f t="shared" si="12"/>
        <v/>
      </c>
      <c r="AA83" s="192">
        <f t="shared" si="13"/>
        <v>0</v>
      </c>
      <c r="AB83" s="192" t="str">
        <f t="shared" si="16"/>
        <v/>
      </c>
      <c r="AC83" s="192" t="str">
        <f t="shared" si="16"/>
        <v/>
      </c>
      <c r="AE83" s="192">
        <f t="shared" si="15"/>
        <v>0</v>
      </c>
    </row>
    <row r="84" spans="2:31" x14ac:dyDescent="0.25">
      <c r="B84" s="7" t="str">
        <f t="shared" si="6"/>
        <v/>
      </c>
      <c r="C84" s="4"/>
      <c r="D84" s="4"/>
      <c r="E84" s="4"/>
      <c r="F84" s="230" t="str">
        <f>IF('תנאי סף'!AO84&lt;&gt;1,"",'תנאי סף'!F84)</f>
        <v/>
      </c>
      <c r="G84" s="159" t="str">
        <f>IF($F84="","",'תנאי סף'!Z84)</f>
        <v/>
      </c>
      <c r="H84" s="6"/>
      <c r="I84" s="6"/>
      <c r="J84" s="5"/>
      <c r="K84" s="6"/>
      <c r="L84" s="5"/>
      <c r="M84" s="6"/>
      <c r="N84" s="6"/>
      <c r="O84" s="158"/>
      <c r="P84" s="177"/>
      <c r="Q84" s="8"/>
      <c r="R84" s="8"/>
      <c r="S84" s="159" t="str">
        <f t="shared" si="7"/>
        <v/>
      </c>
      <c r="T84" s="159" t="str">
        <f t="shared" si="8"/>
        <v/>
      </c>
      <c r="U84" s="159" t="str">
        <f t="shared" si="9"/>
        <v/>
      </c>
      <c r="V84" s="159" t="str">
        <f>סיווג!Z84</f>
        <v/>
      </c>
      <c r="W84" s="8" t="str">
        <f t="shared" si="10"/>
        <v/>
      </c>
      <c r="X84" s="8">
        <v>1</v>
      </c>
      <c r="Y84" s="8" t="str">
        <f t="shared" si="11"/>
        <v/>
      </c>
      <c r="Z84" s="123" t="str">
        <f t="shared" si="12"/>
        <v/>
      </c>
      <c r="AA84" s="192">
        <f t="shared" si="13"/>
        <v>0</v>
      </c>
      <c r="AB84" s="192" t="str">
        <f t="shared" si="16"/>
        <v/>
      </c>
      <c r="AC84" s="192" t="str">
        <f t="shared" si="16"/>
        <v/>
      </c>
      <c r="AE84" s="192">
        <f t="shared" si="15"/>
        <v>0</v>
      </c>
    </row>
    <row r="85" spans="2:31" ht="18.75" customHeight="1" x14ac:dyDescent="0.25">
      <c r="B85" s="7">
        <f t="shared" si="6"/>
        <v>55</v>
      </c>
      <c r="C85" s="4"/>
      <c r="D85" s="4"/>
      <c r="E85" s="4"/>
      <c r="F85" s="230" t="str">
        <f>IF('תנאי סף'!AO85&lt;&gt;1,"",'תנאי סף'!F85)</f>
        <v>מכון רננות</v>
      </c>
      <c r="G85" s="159">
        <f>IF($F85="","",'תנאי סף'!Z85)</f>
        <v>11</v>
      </c>
      <c r="H85" s="6">
        <v>1</v>
      </c>
      <c r="I85" s="6"/>
      <c r="J85" s="5"/>
      <c r="K85" s="6"/>
      <c r="L85" s="5"/>
      <c r="M85" s="6"/>
      <c r="N85" s="6"/>
      <c r="O85" s="158"/>
      <c r="P85" s="177"/>
      <c r="Q85" s="8"/>
      <c r="R85" s="8"/>
      <c r="S85" s="159">
        <f t="shared" si="7"/>
        <v>11</v>
      </c>
      <c r="T85" s="159">
        <f t="shared" si="8"/>
        <v>1</v>
      </c>
      <c r="U85" s="159">
        <f t="shared" si="9"/>
        <v>12</v>
      </c>
      <c r="V85" s="159">
        <f>סיווג!Z85</f>
        <v>0.8</v>
      </c>
      <c r="W85" s="8">
        <f t="shared" si="10"/>
        <v>9.6000000000000014</v>
      </c>
      <c r="X85" s="8">
        <v>1</v>
      </c>
      <c r="Y85" s="8">
        <f t="shared" si="11"/>
        <v>9.6000000000000014</v>
      </c>
      <c r="Z85" s="123">
        <f t="shared" si="12"/>
        <v>1.7353736024367537E-2</v>
      </c>
      <c r="AA85" s="192">
        <f t="shared" si="13"/>
        <v>1</v>
      </c>
      <c r="AB85" s="192">
        <f t="shared" si="16"/>
        <v>0</v>
      </c>
      <c r="AC85" s="192">
        <f t="shared" si="16"/>
        <v>1</v>
      </c>
      <c r="AE85" s="192">
        <f t="shared" si="15"/>
        <v>1</v>
      </c>
    </row>
    <row r="86" spans="2:31" x14ac:dyDescent="0.25">
      <c r="B86" s="7" t="str">
        <f t="shared" si="6"/>
        <v/>
      </c>
      <c r="C86" s="4"/>
      <c r="D86" s="4"/>
      <c r="E86" s="4"/>
      <c r="F86" s="230" t="str">
        <f>IF('תנאי סף'!AO86&lt;&gt;1,"",'תנאי סף'!F86)</f>
        <v/>
      </c>
      <c r="G86" s="159" t="str">
        <f>IF($F86="","",'תנאי סף'!Z86)</f>
        <v/>
      </c>
      <c r="H86" s="6"/>
      <c r="I86" s="6"/>
      <c r="J86" s="5"/>
      <c r="K86" s="6"/>
      <c r="L86" s="5"/>
      <c r="M86" s="6"/>
      <c r="N86" s="6"/>
      <c r="O86" s="158"/>
      <c r="P86" s="177"/>
      <c r="Q86" s="8"/>
      <c r="R86" s="8"/>
      <c r="S86" s="159" t="str">
        <f t="shared" si="7"/>
        <v/>
      </c>
      <c r="T86" s="159" t="str">
        <f t="shared" si="8"/>
        <v/>
      </c>
      <c r="U86" s="159" t="str">
        <f t="shared" si="9"/>
        <v/>
      </c>
      <c r="V86" s="159" t="str">
        <f>סיווג!Z86</f>
        <v/>
      </c>
      <c r="W86" s="8" t="str">
        <f t="shared" si="10"/>
        <v/>
      </c>
      <c r="X86" s="8">
        <v>1</v>
      </c>
      <c r="Y86" s="8" t="str">
        <f t="shared" si="11"/>
        <v/>
      </c>
      <c r="Z86" s="123" t="str">
        <f t="shared" si="12"/>
        <v/>
      </c>
      <c r="AA86" s="192">
        <f t="shared" si="13"/>
        <v>0</v>
      </c>
      <c r="AB86" s="192" t="str">
        <f t="shared" si="16"/>
        <v/>
      </c>
      <c r="AC86" s="192" t="str">
        <f t="shared" si="16"/>
        <v/>
      </c>
      <c r="AE86" s="192">
        <f t="shared" si="15"/>
        <v>0</v>
      </c>
    </row>
    <row r="87" spans="2:31" ht="23.25" customHeight="1" x14ac:dyDescent="0.25">
      <c r="B87" s="7">
        <f t="shared" si="6"/>
        <v>57</v>
      </c>
      <c r="C87" s="4"/>
      <c r="D87" s="4"/>
      <c r="E87" s="4"/>
      <c r="F87" s="230" t="str">
        <f>IF('תנאי סף'!AO87&lt;&gt;1,"",'תנאי סף'!F87)</f>
        <v>עמותת מפעל המוזיקה צימבליסטה</v>
      </c>
      <c r="G87" s="159">
        <f>IF($F87="","",'תנאי סף'!Z87)</f>
        <v>10</v>
      </c>
      <c r="H87" s="6">
        <v>0</v>
      </c>
      <c r="I87" s="6"/>
      <c r="J87" s="5"/>
      <c r="K87" s="6"/>
      <c r="L87" s="5"/>
      <c r="M87" s="6"/>
      <c r="N87" s="6"/>
      <c r="O87" s="158"/>
      <c r="P87" s="177"/>
      <c r="Q87" s="8"/>
      <c r="R87" s="8"/>
      <c r="S87" s="159">
        <f t="shared" si="7"/>
        <v>10</v>
      </c>
      <c r="T87" s="159">
        <f t="shared" si="8"/>
        <v>0</v>
      </c>
      <c r="U87" s="159">
        <f t="shared" si="9"/>
        <v>10</v>
      </c>
      <c r="V87" s="159">
        <f>סיווג!Z87</f>
        <v>1</v>
      </c>
      <c r="W87" s="8">
        <f t="shared" si="10"/>
        <v>10</v>
      </c>
      <c r="X87" s="8">
        <v>1</v>
      </c>
      <c r="Y87" s="8">
        <f t="shared" si="11"/>
        <v>10</v>
      </c>
      <c r="Z87" s="123">
        <f t="shared" si="12"/>
        <v>1.8076808358716185E-2</v>
      </c>
      <c r="AA87" s="192">
        <f t="shared" si="13"/>
        <v>1</v>
      </c>
      <c r="AB87" s="192">
        <f t="shared" si="16"/>
        <v>0</v>
      </c>
      <c r="AC87" s="192">
        <f t="shared" si="16"/>
        <v>1</v>
      </c>
      <c r="AE87" s="192">
        <f t="shared" si="15"/>
        <v>1</v>
      </c>
    </row>
    <row r="88" spans="2:31" x14ac:dyDescent="0.25">
      <c r="B88" s="7" t="str">
        <f t="shared" si="6"/>
        <v/>
      </c>
      <c r="C88" s="4"/>
      <c r="D88" s="4"/>
      <c r="E88" s="4"/>
      <c r="F88" s="230" t="str">
        <f>IF('תנאי סף'!AO88&lt;&gt;1,"",'תנאי סף'!F88)</f>
        <v/>
      </c>
      <c r="G88" s="159" t="str">
        <f>IF($F88="","",'תנאי סף'!Z88)</f>
        <v/>
      </c>
      <c r="H88" s="6"/>
      <c r="I88" s="6"/>
      <c r="J88" s="5"/>
      <c r="K88" s="6"/>
      <c r="L88" s="5"/>
      <c r="M88" s="6"/>
      <c r="N88" s="6"/>
      <c r="O88" s="158"/>
      <c r="P88" s="177"/>
      <c r="Q88" s="8"/>
      <c r="R88" s="8"/>
      <c r="S88" s="159" t="str">
        <f t="shared" si="7"/>
        <v/>
      </c>
      <c r="T88" s="159" t="str">
        <f t="shared" si="8"/>
        <v/>
      </c>
      <c r="U88" s="159" t="str">
        <f t="shared" si="9"/>
        <v/>
      </c>
      <c r="V88" s="159" t="str">
        <f>סיווג!Z88</f>
        <v/>
      </c>
      <c r="W88" s="8" t="str">
        <f t="shared" si="10"/>
        <v/>
      </c>
      <c r="X88" s="8">
        <v>1</v>
      </c>
      <c r="Y88" s="8" t="str">
        <f t="shared" si="11"/>
        <v/>
      </c>
      <c r="Z88" s="123" t="str">
        <f t="shared" si="12"/>
        <v/>
      </c>
      <c r="AA88" s="192">
        <f t="shared" si="13"/>
        <v>0</v>
      </c>
      <c r="AB88" s="192" t="str">
        <f t="shared" si="16"/>
        <v/>
      </c>
      <c r="AC88" s="192" t="str">
        <f t="shared" si="16"/>
        <v/>
      </c>
      <c r="AE88" s="192">
        <f t="shared" si="15"/>
        <v>0</v>
      </c>
    </row>
    <row r="89" spans="2:31" ht="21" customHeight="1" x14ac:dyDescent="0.25">
      <c r="B89" s="7">
        <f t="shared" si="6"/>
        <v>59</v>
      </c>
      <c r="C89" s="4"/>
      <c r="D89" s="4"/>
      <c r="E89" s="4"/>
      <c r="F89" s="230" t="str">
        <f>IF('תנאי סף'!AO89&lt;&gt;1,"",'תנאי סף'!F89)</f>
        <v>העמותה לקידום המוסיקה הערבית</v>
      </c>
      <c r="G89" s="159">
        <f>IF($F89="","",'תנאי סף'!Z89)</f>
        <v>18</v>
      </c>
      <c r="H89" s="6">
        <v>0</v>
      </c>
      <c r="I89" s="6"/>
      <c r="J89" s="5"/>
      <c r="K89" s="6"/>
      <c r="L89" s="5"/>
      <c r="M89" s="6"/>
      <c r="N89" s="6"/>
      <c r="O89" s="158"/>
      <c r="P89" s="177"/>
      <c r="Q89" s="8"/>
      <c r="R89" s="8"/>
      <c r="S89" s="159">
        <f t="shared" si="7"/>
        <v>18</v>
      </c>
      <c r="T89" s="159">
        <f t="shared" si="8"/>
        <v>0</v>
      </c>
      <c r="U89" s="159">
        <f t="shared" si="9"/>
        <v>18</v>
      </c>
      <c r="V89" s="159">
        <f>סיווג!Z89</f>
        <v>1</v>
      </c>
      <c r="W89" s="8">
        <f t="shared" si="10"/>
        <v>18</v>
      </c>
      <c r="X89" s="8">
        <v>1</v>
      </c>
      <c r="Y89" s="8">
        <f t="shared" si="11"/>
        <v>18</v>
      </c>
      <c r="Z89" s="123">
        <f t="shared" si="12"/>
        <v>3.2538255045689128E-2</v>
      </c>
      <c r="AA89" s="192">
        <f t="shared" si="13"/>
        <v>1</v>
      </c>
      <c r="AB89" s="192">
        <f t="shared" si="16"/>
        <v>0</v>
      </c>
      <c r="AC89" s="192">
        <f t="shared" si="16"/>
        <v>1</v>
      </c>
      <c r="AE89" s="192">
        <f t="shared" si="15"/>
        <v>1</v>
      </c>
    </row>
    <row r="90" spans="2:31" ht="25.5" customHeight="1" x14ac:dyDescent="0.25">
      <c r="B90" s="7">
        <f t="shared" si="6"/>
        <v>60</v>
      </c>
      <c r="C90" s="4"/>
      <c r="D90" s="4"/>
      <c r="E90" s="4"/>
      <c r="F90" s="230" t="str">
        <f>IF('תנאי סף'!AO90&lt;&gt;1,"",'תנאי סף'!F90)</f>
        <v>תמיכה בתזמורת TLV (הערבית יהודית)</v>
      </c>
      <c r="G90" s="159">
        <f>IF($F90="","",'תנאי סף'!Z90)</f>
        <v>8</v>
      </c>
      <c r="H90" s="6">
        <v>0</v>
      </c>
      <c r="I90" s="6"/>
      <c r="J90" s="5"/>
      <c r="K90" s="6"/>
      <c r="L90" s="5"/>
      <c r="M90" s="6"/>
      <c r="N90" s="6"/>
      <c r="O90" s="158"/>
      <c r="P90" s="177"/>
      <c r="Q90" s="8"/>
      <c r="R90" s="8"/>
      <c r="S90" s="159">
        <f t="shared" si="7"/>
        <v>8</v>
      </c>
      <c r="T90" s="159">
        <f t="shared" si="8"/>
        <v>0</v>
      </c>
      <c r="U90" s="159">
        <f t="shared" si="9"/>
        <v>8</v>
      </c>
      <c r="V90" s="159">
        <f>סיווג!Z90</f>
        <v>1</v>
      </c>
      <c r="W90" s="8">
        <f t="shared" si="10"/>
        <v>8</v>
      </c>
      <c r="X90" s="8">
        <v>1</v>
      </c>
      <c r="Y90" s="8">
        <f t="shared" si="11"/>
        <v>8</v>
      </c>
      <c r="Z90" s="123">
        <f t="shared" si="12"/>
        <v>1.4461446686972947E-2</v>
      </c>
      <c r="AA90" s="192">
        <f t="shared" si="13"/>
        <v>1</v>
      </c>
      <c r="AB90" s="192">
        <f t="shared" si="16"/>
        <v>0</v>
      </c>
      <c r="AC90" s="192">
        <f t="shared" si="16"/>
        <v>1</v>
      </c>
      <c r="AE90" s="192">
        <f t="shared" si="15"/>
        <v>1</v>
      </c>
    </row>
    <row r="91" spans="2:31" ht="25.5" customHeight="1" x14ac:dyDescent="0.25">
      <c r="B91" s="7">
        <f t="shared" si="6"/>
        <v>61</v>
      </c>
      <c r="C91" s="4"/>
      <c r="D91" s="4"/>
      <c r="E91" s="4"/>
      <c r="F91" s="230" t="str">
        <f>IF('תנאי סף'!AO91&lt;&gt;1,"",'תנאי סף'!F91)</f>
        <v>אנסמבל גליל</v>
      </c>
      <c r="G91" s="159">
        <f>IF($F91="","",'תנאי סף'!Z91)</f>
        <v>8</v>
      </c>
      <c r="H91" s="6">
        <v>0</v>
      </c>
      <c r="I91" s="6"/>
      <c r="J91" s="5"/>
      <c r="K91" s="6"/>
      <c r="L91" s="5"/>
      <c r="M91" s="6"/>
      <c r="N91" s="6"/>
      <c r="O91" s="158"/>
      <c r="P91" s="177"/>
      <c r="Q91" s="8"/>
      <c r="R91" s="8"/>
      <c r="S91" s="159">
        <f t="shared" si="7"/>
        <v>8</v>
      </c>
      <c r="T91" s="159">
        <f t="shared" si="8"/>
        <v>0</v>
      </c>
      <c r="U91" s="159">
        <f t="shared" si="9"/>
        <v>8</v>
      </c>
      <c r="V91" s="159">
        <f>סיווג!Z91</f>
        <v>0.5</v>
      </c>
      <c r="W91" s="8">
        <f t="shared" si="10"/>
        <v>4</v>
      </c>
      <c r="X91" s="8">
        <v>1</v>
      </c>
      <c r="Y91" s="8">
        <f t="shared" si="11"/>
        <v>4</v>
      </c>
      <c r="Z91" s="123">
        <f t="shared" si="12"/>
        <v>7.2307233434864733E-3</v>
      </c>
      <c r="AA91" s="192">
        <f t="shared" si="13"/>
        <v>1</v>
      </c>
      <c r="AB91" s="192">
        <f t="shared" si="16"/>
        <v>0</v>
      </c>
      <c r="AC91" s="192">
        <f t="shared" si="16"/>
        <v>1</v>
      </c>
      <c r="AE91" s="192">
        <f t="shared" si="15"/>
        <v>1</v>
      </c>
    </row>
    <row r="92" spans="2:31" ht="22.5" customHeight="1" x14ac:dyDescent="0.25">
      <c r="B92" s="7">
        <f t="shared" si="6"/>
        <v>62</v>
      </c>
      <c r="C92" s="4"/>
      <c r="D92" s="4"/>
      <c r="E92" s="4"/>
      <c r="F92" s="230" t="str">
        <f>IF('תנאי סף'!AO92&lt;&gt;1,"",'תנאי סף'!F92)</f>
        <v>דריה- הרכב אינסטרומנטלי</v>
      </c>
      <c r="G92" s="159">
        <f>IF($F92="","",'תנאי סף'!Z92)</f>
        <v>10</v>
      </c>
      <c r="H92" s="6">
        <v>3</v>
      </c>
      <c r="I92" s="6"/>
      <c r="J92" s="5"/>
      <c r="K92" s="6"/>
      <c r="L92" s="5"/>
      <c r="M92" s="6"/>
      <c r="N92" s="6"/>
      <c r="O92" s="158"/>
      <c r="P92" s="177"/>
      <c r="Q92" s="8"/>
      <c r="R92" s="8"/>
      <c r="S92" s="159">
        <f t="shared" si="7"/>
        <v>10</v>
      </c>
      <c r="T92" s="159">
        <f t="shared" si="8"/>
        <v>1.5</v>
      </c>
      <c r="U92" s="159">
        <f t="shared" si="9"/>
        <v>11.5</v>
      </c>
      <c r="V92" s="159">
        <f>סיווג!Z92</f>
        <v>0.5</v>
      </c>
      <c r="W92" s="8">
        <f t="shared" si="10"/>
        <v>5.75</v>
      </c>
      <c r="X92" s="8">
        <v>1</v>
      </c>
      <c r="Y92" s="8">
        <f t="shared" si="11"/>
        <v>5.75</v>
      </c>
      <c r="Z92" s="123">
        <f t="shared" si="12"/>
        <v>1.0394164806261805E-2</v>
      </c>
      <c r="AA92" s="192">
        <f t="shared" si="13"/>
        <v>1</v>
      </c>
      <c r="AB92" s="192">
        <f t="shared" ref="AB92:AC130" si="17">IF($F92="","",AB$30)</f>
        <v>0</v>
      </c>
      <c r="AC92" s="192">
        <f t="shared" si="17"/>
        <v>1</v>
      </c>
      <c r="AE92" s="192">
        <f t="shared" si="15"/>
        <v>1</v>
      </c>
    </row>
    <row r="93" spans="2:31" ht="18" customHeight="1" x14ac:dyDescent="0.25">
      <c r="B93" s="7">
        <f t="shared" si="6"/>
        <v>63</v>
      </c>
      <c r="C93" s="4"/>
      <c r="D93" s="4"/>
      <c r="E93" s="4"/>
      <c r="F93" s="230" t="str">
        <f>IF('תנאי סף'!AO93&lt;&gt;1,"",'תנאי סף'!F93)</f>
        <v>להקת שלוש</v>
      </c>
      <c r="G93" s="159">
        <f>IF($F93="","",'תנאי סף'!Z93)</f>
        <v>13</v>
      </c>
      <c r="H93" s="6">
        <v>6</v>
      </c>
      <c r="I93" s="6"/>
      <c r="J93" s="5"/>
      <c r="K93" s="6"/>
      <c r="L93" s="5"/>
      <c r="M93" s="6"/>
      <c r="N93" s="6"/>
      <c r="O93" s="158"/>
      <c r="P93" s="177"/>
      <c r="Q93" s="8"/>
      <c r="R93" s="8"/>
      <c r="S93" s="159">
        <f t="shared" si="7"/>
        <v>13</v>
      </c>
      <c r="T93" s="159">
        <f t="shared" si="8"/>
        <v>1.95</v>
      </c>
      <c r="U93" s="159">
        <f t="shared" si="9"/>
        <v>14.95</v>
      </c>
      <c r="V93" s="159">
        <f>סיווג!Z93</f>
        <v>0.5</v>
      </c>
      <c r="W93" s="8">
        <f t="shared" si="10"/>
        <v>7.4749999999999996</v>
      </c>
      <c r="X93" s="8">
        <v>1</v>
      </c>
      <c r="Y93" s="8">
        <f t="shared" si="11"/>
        <v>7.4749999999999996</v>
      </c>
      <c r="Z93" s="123">
        <f t="shared" si="12"/>
        <v>1.3512414248140347E-2</v>
      </c>
      <c r="AA93" s="192">
        <f t="shared" si="13"/>
        <v>1</v>
      </c>
      <c r="AB93" s="192">
        <f t="shared" si="17"/>
        <v>0</v>
      </c>
      <c r="AC93" s="192">
        <f t="shared" si="17"/>
        <v>1</v>
      </c>
      <c r="AE93" s="192">
        <f t="shared" si="15"/>
        <v>1</v>
      </c>
    </row>
    <row r="94" spans="2:31" ht="22.5" customHeight="1" x14ac:dyDescent="0.25">
      <c r="B94" s="7">
        <f t="shared" si="6"/>
        <v>64</v>
      </c>
      <c r="C94" s="4"/>
      <c r="D94" s="4"/>
      <c r="E94" s="4"/>
      <c r="F94" s="230" t="str">
        <f>IF('תנאי סף'!AO94&lt;&gt;1,"",'תנאי סף'!F94)</f>
        <v>רביעיית טוסקאניני</v>
      </c>
      <c r="G94" s="159">
        <f>IF($F94="","",'תנאי סף'!Z94)</f>
        <v>13</v>
      </c>
      <c r="H94" s="6">
        <v>0</v>
      </c>
      <c r="I94" s="6"/>
      <c r="J94" s="5"/>
      <c r="K94" s="6"/>
      <c r="L94" s="5"/>
      <c r="M94" s="6"/>
      <c r="N94" s="6"/>
      <c r="O94" s="158"/>
      <c r="P94" s="177"/>
      <c r="Q94" s="8"/>
      <c r="R94" s="8"/>
      <c r="S94" s="159">
        <f t="shared" si="7"/>
        <v>13</v>
      </c>
      <c r="T94" s="159">
        <f t="shared" si="8"/>
        <v>0</v>
      </c>
      <c r="U94" s="159">
        <f t="shared" si="9"/>
        <v>13</v>
      </c>
      <c r="V94" s="159">
        <f>סיווג!Z94</f>
        <v>0.5</v>
      </c>
      <c r="W94" s="8">
        <f t="shared" si="10"/>
        <v>6.5</v>
      </c>
      <c r="X94" s="8">
        <v>1</v>
      </c>
      <c r="Y94" s="8">
        <f t="shared" si="11"/>
        <v>6.5</v>
      </c>
      <c r="Z94" s="123">
        <f t="shared" si="12"/>
        <v>1.1749925433165519E-2</v>
      </c>
      <c r="AA94" s="192">
        <f t="shared" si="13"/>
        <v>1</v>
      </c>
      <c r="AB94" s="192">
        <f t="shared" si="17"/>
        <v>0</v>
      </c>
      <c r="AC94" s="192">
        <f t="shared" si="17"/>
        <v>1</v>
      </c>
      <c r="AE94" s="192">
        <f t="shared" si="15"/>
        <v>1</v>
      </c>
    </row>
    <row r="95" spans="2:31" ht="25.5" customHeight="1" x14ac:dyDescent="0.25">
      <c r="B95" s="7">
        <f t="shared" si="6"/>
        <v>65</v>
      </c>
      <c r="C95" s="4"/>
      <c r="D95" s="4"/>
      <c r="E95" s="4"/>
      <c r="F95" s="230" t="str">
        <f>IF('תנאי סף'!AO95&lt;&gt;1,"",'תנאי סף'!F95)</f>
        <v>תקוע-קבוצה מוזיקלית - 'דאפה' 2024</v>
      </c>
      <c r="G95" s="159">
        <f>IF($F95="","",'תנאי סף'!Z95)</f>
        <v>9</v>
      </c>
      <c r="H95" s="6">
        <v>0</v>
      </c>
      <c r="I95" s="6"/>
      <c r="J95" s="5"/>
      <c r="K95" s="6"/>
      <c r="L95" s="5"/>
      <c r="M95" s="6"/>
      <c r="N95" s="6"/>
      <c r="O95" s="158"/>
      <c r="P95" s="177"/>
      <c r="Q95" s="8"/>
      <c r="R95" s="8"/>
      <c r="S95" s="159">
        <f t="shared" si="7"/>
        <v>9</v>
      </c>
      <c r="T95" s="159">
        <f t="shared" si="8"/>
        <v>0</v>
      </c>
      <c r="U95" s="159">
        <f t="shared" si="9"/>
        <v>9</v>
      </c>
      <c r="V95" s="159">
        <f>סיווג!Z95</f>
        <v>1</v>
      </c>
      <c r="W95" s="8">
        <f t="shared" si="10"/>
        <v>9</v>
      </c>
      <c r="X95" s="8">
        <v>1</v>
      </c>
      <c r="Y95" s="8">
        <f t="shared" si="11"/>
        <v>9</v>
      </c>
      <c r="Z95" s="123">
        <f t="shared" si="12"/>
        <v>1.6269127522844564E-2</v>
      </c>
      <c r="AA95" s="192">
        <f t="shared" si="13"/>
        <v>1</v>
      </c>
      <c r="AB95" s="192">
        <f t="shared" si="17"/>
        <v>0</v>
      </c>
      <c r="AC95" s="192">
        <f t="shared" si="17"/>
        <v>1</v>
      </c>
      <c r="AE95" s="192">
        <f t="shared" si="15"/>
        <v>1</v>
      </c>
    </row>
    <row r="96" spans="2:31" ht="18" customHeight="1" x14ac:dyDescent="0.25">
      <c r="B96" s="7">
        <f t="shared" ref="B96:B130" si="18">IF(F96="","",ROW()-30)</f>
        <v>66</v>
      </c>
      <c r="C96" s="4"/>
      <c r="D96" s="4"/>
      <c r="E96" s="4"/>
      <c r="F96" s="230" t="str">
        <f>IF('תנאי סף'!AO96&lt;&gt;1,"",'תנאי סף'!F96)</f>
        <v>טריו בן חיים</v>
      </c>
      <c r="G96" s="159">
        <f>IF($F96="","",'תנאי סף'!Z96)</f>
        <v>7</v>
      </c>
      <c r="H96" s="6">
        <v>0</v>
      </c>
      <c r="I96" s="6"/>
      <c r="J96" s="5"/>
      <c r="K96" s="6"/>
      <c r="L96" s="5"/>
      <c r="M96" s="6"/>
      <c r="N96" s="6"/>
      <c r="O96" s="158"/>
      <c r="P96" s="177"/>
      <c r="Q96" s="8"/>
      <c r="R96" s="8"/>
      <c r="S96" s="159">
        <f t="shared" ref="S96:S130" si="19">IF($F96="","",IF($AA96&lt;&gt;1,$AB$1,G96*$G$5))</f>
        <v>7</v>
      </c>
      <c r="T96" s="159">
        <f t="shared" ref="T96:T130" si="20">IF($F96="","",IF($AA96&lt;&gt;1,$AB$1,MIN($G$6*S96,H96*$G$5)))</f>
        <v>0</v>
      </c>
      <c r="U96" s="159">
        <f t="shared" ref="U96:U130" si="21">IF($F96="","",IF($AA96&lt;&gt;1,$AB$1,SUM(S96:T96)))</f>
        <v>7</v>
      </c>
      <c r="V96" s="159">
        <f>סיווג!Z96</f>
        <v>0.5</v>
      </c>
      <c r="W96" s="8">
        <f t="shared" ref="W96:W130" si="22">IF($F96="","",IF($AA96&lt;&gt;1,$AB$1,IFERROR(U96*V96,$AB$1)))</f>
        <v>3.5</v>
      </c>
      <c r="X96" s="8">
        <v>1</v>
      </c>
      <c r="Y96" s="8">
        <f t="shared" ref="Y96:Y130" si="23">IF($F96="","",IF($AA96&lt;&gt;1,$AB$1,IFERROR(W96*X96,$AB$1)))</f>
        <v>3.5</v>
      </c>
      <c r="Z96" s="123">
        <f t="shared" ref="Z96:Z130" si="24">IF($F96="","",IF(OR($AA96&lt;&gt;1,Y96=$AB$1),$AB$1,IFERROR(Y96/SUM($Y$31:$Y$130),0)))</f>
        <v>6.3268829255506646E-3</v>
      </c>
      <c r="AA96" s="192">
        <f t="shared" ref="AA96:AA130" si="25">IF(SUM(AD96:AV96)=COUNT(AD96:AV96),1,0)</f>
        <v>1</v>
      </c>
      <c r="AB96" s="192">
        <f t="shared" si="17"/>
        <v>0</v>
      </c>
      <c r="AC96" s="192">
        <f t="shared" si="17"/>
        <v>1</v>
      </c>
      <c r="AE96" s="192">
        <f t="shared" si="15"/>
        <v>1</v>
      </c>
    </row>
    <row r="97" spans="2:31" x14ac:dyDescent="0.25">
      <c r="B97" s="7" t="str">
        <f t="shared" si="18"/>
        <v/>
      </c>
      <c r="C97" s="4"/>
      <c r="D97" s="4"/>
      <c r="E97" s="4"/>
      <c r="F97" s="230" t="str">
        <f>IF('תנאי סף'!AO97&lt;&gt;1,"",'תנאי סף'!F97)</f>
        <v/>
      </c>
      <c r="G97" s="159" t="str">
        <f>IF($F97="","",'תנאי סף'!Z97)</f>
        <v/>
      </c>
      <c r="H97" s="6"/>
      <c r="I97" s="6"/>
      <c r="J97" s="5"/>
      <c r="K97" s="6"/>
      <c r="L97" s="5"/>
      <c r="M97" s="6"/>
      <c r="N97" s="6"/>
      <c r="O97" s="158"/>
      <c r="P97" s="177"/>
      <c r="Q97" s="8"/>
      <c r="R97" s="8"/>
      <c r="S97" s="159" t="str">
        <f t="shared" si="19"/>
        <v/>
      </c>
      <c r="T97" s="159" t="str">
        <f t="shared" si="20"/>
        <v/>
      </c>
      <c r="U97" s="159" t="str">
        <f t="shared" si="21"/>
        <v/>
      </c>
      <c r="V97" s="159" t="str">
        <f>סיווג!Z97</f>
        <v/>
      </c>
      <c r="W97" s="8" t="str">
        <f t="shared" si="22"/>
        <v/>
      </c>
      <c r="X97" s="8">
        <v>1</v>
      </c>
      <c r="Y97" s="8" t="str">
        <f t="shared" si="23"/>
        <v/>
      </c>
      <c r="Z97" s="123" t="str">
        <f t="shared" si="24"/>
        <v/>
      </c>
      <c r="AA97" s="192">
        <f t="shared" si="25"/>
        <v>0</v>
      </c>
      <c r="AB97" s="192" t="str">
        <f t="shared" si="17"/>
        <v/>
      </c>
      <c r="AC97" s="192" t="str">
        <f t="shared" si="17"/>
        <v/>
      </c>
      <c r="AE97" s="192">
        <f t="shared" si="15"/>
        <v>0</v>
      </c>
    </row>
    <row r="98" spans="2:31" ht="21.75" customHeight="1" x14ac:dyDescent="0.25">
      <c r="B98" s="7">
        <f t="shared" si="18"/>
        <v>68</v>
      </c>
      <c r="C98" s="4"/>
      <c r="D98" s="4"/>
      <c r="E98" s="4"/>
      <c r="F98" s="230" t="str">
        <f>IF('תנאי סף'!AO98&lt;&gt;1,"",'תנאי סף'!F98)</f>
        <v>אמיתי אריכא והפרויקט D1</v>
      </c>
      <c r="G98" s="159">
        <f>IF($F98="","",'תנאי סף'!Z98)</f>
        <v>12</v>
      </c>
      <c r="H98" s="6">
        <v>0</v>
      </c>
      <c r="I98" s="6"/>
      <c r="J98" s="5"/>
      <c r="K98" s="6"/>
      <c r="L98" s="5"/>
      <c r="M98" s="6"/>
      <c r="N98" s="6"/>
      <c r="O98" s="158"/>
      <c r="P98" s="177"/>
      <c r="Q98" s="8"/>
      <c r="R98" s="8"/>
      <c r="S98" s="159">
        <f t="shared" si="19"/>
        <v>12</v>
      </c>
      <c r="T98" s="159">
        <f t="shared" si="20"/>
        <v>0</v>
      </c>
      <c r="U98" s="159">
        <f t="shared" si="21"/>
        <v>12</v>
      </c>
      <c r="V98" s="159">
        <f>סיווג!Z98</f>
        <v>0.5</v>
      </c>
      <c r="W98" s="8">
        <f t="shared" si="22"/>
        <v>6</v>
      </c>
      <c r="X98" s="8">
        <v>1</v>
      </c>
      <c r="Y98" s="8">
        <f t="shared" si="23"/>
        <v>6</v>
      </c>
      <c r="Z98" s="123">
        <f t="shared" si="24"/>
        <v>1.084608501522971E-2</v>
      </c>
      <c r="AA98" s="192">
        <f t="shared" si="25"/>
        <v>1</v>
      </c>
      <c r="AB98" s="192">
        <f t="shared" si="17"/>
        <v>0</v>
      </c>
      <c r="AC98" s="192">
        <f t="shared" si="17"/>
        <v>1</v>
      </c>
      <c r="AE98" s="192">
        <f t="shared" si="15"/>
        <v>1</v>
      </c>
    </row>
    <row r="99" spans="2:31" x14ac:dyDescent="0.25">
      <c r="B99" s="7" t="str">
        <f t="shared" si="18"/>
        <v/>
      </c>
      <c r="C99" s="4"/>
      <c r="D99" s="4"/>
      <c r="E99" s="4"/>
      <c r="F99" s="230" t="str">
        <f>IF('תנאי סף'!AO99&lt;&gt;1,"",'תנאי סף'!F99)</f>
        <v/>
      </c>
      <c r="G99" s="159" t="str">
        <f>IF($F99="","",'תנאי סף'!Z99)</f>
        <v/>
      </c>
      <c r="H99" s="6"/>
      <c r="I99" s="6"/>
      <c r="J99" s="5"/>
      <c r="K99" s="6"/>
      <c r="L99" s="5"/>
      <c r="M99" s="6"/>
      <c r="N99" s="6"/>
      <c r="O99" s="158"/>
      <c r="P99" s="177"/>
      <c r="Q99" s="8"/>
      <c r="R99" s="8"/>
      <c r="S99" s="159" t="str">
        <f t="shared" si="19"/>
        <v/>
      </c>
      <c r="T99" s="159" t="str">
        <f t="shared" si="20"/>
        <v/>
      </c>
      <c r="U99" s="159" t="str">
        <f t="shared" si="21"/>
        <v/>
      </c>
      <c r="V99" s="159" t="str">
        <f>סיווג!Z99</f>
        <v/>
      </c>
      <c r="W99" s="8" t="str">
        <f t="shared" si="22"/>
        <v/>
      </c>
      <c r="X99" s="8">
        <v>1</v>
      </c>
      <c r="Y99" s="8" t="str">
        <f t="shared" si="23"/>
        <v/>
      </c>
      <c r="Z99" s="123" t="str">
        <f t="shared" si="24"/>
        <v/>
      </c>
      <c r="AA99" s="192">
        <f t="shared" si="25"/>
        <v>0</v>
      </c>
      <c r="AB99" s="192" t="str">
        <f t="shared" si="17"/>
        <v/>
      </c>
      <c r="AC99" s="192" t="str">
        <f t="shared" si="17"/>
        <v/>
      </c>
      <c r="AE99" s="192">
        <f t="shared" si="15"/>
        <v>0</v>
      </c>
    </row>
    <row r="100" spans="2:31" x14ac:dyDescent="0.25">
      <c r="B100" s="7" t="str">
        <f t="shared" si="18"/>
        <v/>
      </c>
      <c r="C100" s="4"/>
      <c r="D100" s="4"/>
      <c r="E100" s="4"/>
      <c r="F100" s="230" t="str">
        <f>IF('תנאי סף'!AO100&lt;&gt;1,"",'תנאי סף'!F100)</f>
        <v/>
      </c>
      <c r="G100" s="159" t="str">
        <f>IF($F100="","",'תנאי סף'!Z100)</f>
        <v/>
      </c>
      <c r="H100" s="6"/>
      <c r="I100" s="6"/>
      <c r="J100" s="5"/>
      <c r="K100" s="6"/>
      <c r="L100" s="5"/>
      <c r="M100" s="6"/>
      <c r="N100" s="6"/>
      <c r="O100" s="158"/>
      <c r="P100" s="177"/>
      <c r="Q100" s="8"/>
      <c r="R100" s="8"/>
      <c r="S100" s="159" t="str">
        <f t="shared" si="19"/>
        <v/>
      </c>
      <c r="T100" s="159" t="str">
        <f t="shared" si="20"/>
        <v/>
      </c>
      <c r="U100" s="159" t="str">
        <f t="shared" si="21"/>
        <v/>
      </c>
      <c r="V100" s="159" t="str">
        <f>סיווג!Z100</f>
        <v/>
      </c>
      <c r="W100" s="8" t="str">
        <f t="shared" si="22"/>
        <v/>
      </c>
      <c r="X100" s="8">
        <v>1</v>
      </c>
      <c r="Y100" s="8" t="str">
        <f t="shared" si="23"/>
        <v/>
      </c>
      <c r="Z100" s="123" t="str">
        <f t="shared" si="24"/>
        <v/>
      </c>
      <c r="AA100" s="192">
        <f t="shared" si="25"/>
        <v>0</v>
      </c>
      <c r="AB100" s="192" t="str">
        <f t="shared" si="17"/>
        <v/>
      </c>
      <c r="AC100" s="192" t="str">
        <f t="shared" si="17"/>
        <v/>
      </c>
      <c r="AE100" s="192">
        <f t="shared" si="15"/>
        <v>0</v>
      </c>
    </row>
    <row r="101" spans="2:31" x14ac:dyDescent="0.25">
      <c r="B101" s="7" t="str">
        <f t="shared" si="18"/>
        <v/>
      </c>
      <c r="C101" s="4"/>
      <c r="D101" s="4"/>
      <c r="E101" s="4"/>
      <c r="F101" s="230" t="str">
        <f>IF('תנאי סף'!AO101&lt;&gt;1,"",'תנאי סף'!F101)</f>
        <v/>
      </c>
      <c r="G101" s="159" t="str">
        <f>IF($F101="","",'תנאי סף'!Z101)</f>
        <v/>
      </c>
      <c r="H101" s="6"/>
      <c r="I101" s="6"/>
      <c r="J101" s="5"/>
      <c r="K101" s="6"/>
      <c r="L101" s="5"/>
      <c r="M101" s="6"/>
      <c r="N101" s="6"/>
      <c r="O101" s="158"/>
      <c r="P101" s="177"/>
      <c r="Q101" s="8"/>
      <c r="R101" s="8"/>
      <c r="S101" s="159" t="str">
        <f t="shared" si="19"/>
        <v/>
      </c>
      <c r="T101" s="159" t="str">
        <f t="shared" si="20"/>
        <v/>
      </c>
      <c r="U101" s="159" t="str">
        <f t="shared" si="21"/>
        <v/>
      </c>
      <c r="V101" s="159" t="str">
        <f>סיווג!Z101</f>
        <v/>
      </c>
      <c r="W101" s="8" t="str">
        <f t="shared" si="22"/>
        <v/>
      </c>
      <c r="X101" s="8">
        <v>1</v>
      </c>
      <c r="Y101" s="8" t="str">
        <f t="shared" si="23"/>
        <v/>
      </c>
      <c r="Z101" s="123" t="str">
        <f t="shared" si="24"/>
        <v/>
      </c>
      <c r="AA101" s="192">
        <f t="shared" si="25"/>
        <v>0</v>
      </c>
      <c r="AB101" s="192" t="str">
        <f t="shared" si="17"/>
        <v/>
      </c>
      <c r="AC101" s="192" t="str">
        <f t="shared" si="17"/>
        <v/>
      </c>
      <c r="AE101" s="192">
        <f t="shared" si="15"/>
        <v>0</v>
      </c>
    </row>
    <row r="102" spans="2:31" x14ac:dyDescent="0.25">
      <c r="B102" s="7" t="str">
        <f t="shared" si="18"/>
        <v/>
      </c>
      <c r="C102" s="4"/>
      <c r="D102" s="4"/>
      <c r="E102" s="4"/>
      <c r="F102" s="230" t="str">
        <f>IF('תנאי סף'!AO102&lt;&gt;1,"",'תנאי סף'!F102)</f>
        <v/>
      </c>
      <c r="G102" s="159" t="str">
        <f>IF($F102="","",'תנאי סף'!Z102)</f>
        <v/>
      </c>
      <c r="H102" s="6"/>
      <c r="I102" s="6"/>
      <c r="J102" s="5"/>
      <c r="K102" s="6"/>
      <c r="L102" s="5"/>
      <c r="M102" s="6"/>
      <c r="N102" s="6"/>
      <c r="O102" s="158"/>
      <c r="P102" s="177"/>
      <c r="Q102" s="8"/>
      <c r="R102" s="8"/>
      <c r="S102" s="159" t="str">
        <f t="shared" si="19"/>
        <v/>
      </c>
      <c r="T102" s="159" t="str">
        <f t="shared" si="20"/>
        <v/>
      </c>
      <c r="U102" s="159" t="str">
        <f t="shared" si="21"/>
        <v/>
      </c>
      <c r="V102" s="159" t="str">
        <f>סיווג!Z102</f>
        <v/>
      </c>
      <c r="W102" s="8" t="str">
        <f t="shared" si="22"/>
        <v/>
      </c>
      <c r="X102" s="8">
        <v>1</v>
      </c>
      <c r="Y102" s="8" t="str">
        <f t="shared" si="23"/>
        <v/>
      </c>
      <c r="Z102" s="123" t="str">
        <f t="shared" si="24"/>
        <v/>
      </c>
      <c r="AA102" s="192">
        <f t="shared" si="25"/>
        <v>0</v>
      </c>
      <c r="AB102" s="192" t="str">
        <f t="shared" si="17"/>
        <v/>
      </c>
      <c r="AC102" s="192" t="str">
        <f t="shared" si="17"/>
        <v/>
      </c>
      <c r="AE102" s="192">
        <f t="shared" si="15"/>
        <v>0</v>
      </c>
    </row>
    <row r="103" spans="2:31" x14ac:dyDescent="0.25">
      <c r="B103" s="7" t="str">
        <f t="shared" si="18"/>
        <v/>
      </c>
      <c r="C103" s="4"/>
      <c r="D103" s="4"/>
      <c r="E103" s="4"/>
      <c r="F103" s="230" t="str">
        <f>IF('תנאי סף'!AO103&lt;&gt;1,"",'תנאי סף'!F103)</f>
        <v/>
      </c>
      <c r="G103" s="159" t="str">
        <f>IF($F103="","",'תנאי סף'!Z103)</f>
        <v/>
      </c>
      <c r="H103" s="6"/>
      <c r="I103" s="6"/>
      <c r="J103" s="5"/>
      <c r="K103" s="6"/>
      <c r="L103" s="5"/>
      <c r="M103" s="6"/>
      <c r="N103" s="6"/>
      <c r="O103" s="158"/>
      <c r="P103" s="177"/>
      <c r="Q103" s="8"/>
      <c r="R103" s="8"/>
      <c r="S103" s="159" t="str">
        <f t="shared" si="19"/>
        <v/>
      </c>
      <c r="T103" s="159" t="str">
        <f t="shared" si="20"/>
        <v/>
      </c>
      <c r="U103" s="159" t="str">
        <f t="shared" si="21"/>
        <v/>
      </c>
      <c r="V103" s="159" t="str">
        <f>סיווג!Z103</f>
        <v/>
      </c>
      <c r="W103" s="8" t="str">
        <f t="shared" si="22"/>
        <v/>
      </c>
      <c r="X103" s="8">
        <v>1</v>
      </c>
      <c r="Y103" s="8" t="str">
        <f t="shared" si="23"/>
        <v/>
      </c>
      <c r="Z103" s="123" t="str">
        <f t="shared" si="24"/>
        <v/>
      </c>
      <c r="AA103" s="192">
        <f t="shared" si="25"/>
        <v>0</v>
      </c>
      <c r="AB103" s="192" t="str">
        <f t="shared" si="17"/>
        <v/>
      </c>
      <c r="AC103" s="192" t="str">
        <f t="shared" si="17"/>
        <v/>
      </c>
      <c r="AE103" s="192">
        <f t="shared" si="15"/>
        <v>0</v>
      </c>
    </row>
    <row r="104" spans="2:31" x14ac:dyDescent="0.25">
      <c r="B104" s="7" t="str">
        <f t="shared" si="18"/>
        <v/>
      </c>
      <c r="C104" s="4"/>
      <c r="D104" s="4"/>
      <c r="E104" s="4"/>
      <c r="F104" s="230" t="str">
        <f>IF('תנאי סף'!AO104&lt;&gt;1,"",'תנאי סף'!F104)</f>
        <v/>
      </c>
      <c r="G104" s="159" t="str">
        <f>IF($F104="","",'תנאי סף'!Z104)</f>
        <v/>
      </c>
      <c r="H104" s="6"/>
      <c r="I104" s="6"/>
      <c r="J104" s="5"/>
      <c r="K104" s="6"/>
      <c r="L104" s="5"/>
      <c r="M104" s="6"/>
      <c r="N104" s="6"/>
      <c r="O104" s="158"/>
      <c r="P104" s="177"/>
      <c r="Q104" s="8"/>
      <c r="R104" s="8"/>
      <c r="S104" s="159" t="str">
        <f t="shared" si="19"/>
        <v/>
      </c>
      <c r="T104" s="159" t="str">
        <f t="shared" si="20"/>
        <v/>
      </c>
      <c r="U104" s="159" t="str">
        <f t="shared" si="21"/>
        <v/>
      </c>
      <c r="V104" s="159" t="str">
        <f>סיווג!Z104</f>
        <v/>
      </c>
      <c r="W104" s="8" t="str">
        <f t="shared" si="22"/>
        <v/>
      </c>
      <c r="X104" s="8">
        <v>1</v>
      </c>
      <c r="Y104" s="8" t="str">
        <f t="shared" si="23"/>
        <v/>
      </c>
      <c r="Z104" s="123" t="str">
        <f t="shared" si="24"/>
        <v/>
      </c>
      <c r="AA104" s="192">
        <f t="shared" si="25"/>
        <v>0</v>
      </c>
      <c r="AB104" s="192" t="str">
        <f t="shared" si="17"/>
        <v/>
      </c>
      <c r="AC104" s="192" t="str">
        <f t="shared" si="17"/>
        <v/>
      </c>
      <c r="AE104" s="192">
        <f t="shared" si="15"/>
        <v>0</v>
      </c>
    </row>
    <row r="105" spans="2:31" x14ac:dyDescent="0.25">
      <c r="B105" s="7">
        <f t="shared" si="18"/>
        <v>75</v>
      </c>
      <c r="C105" s="4"/>
      <c r="D105" s="4"/>
      <c r="E105" s="4"/>
      <c r="F105" s="230" t="str">
        <f>IF('תנאי סף'!AO105&lt;&gt;1,"",'תנאי סף'!F105)</f>
        <v>לבונטין 7</v>
      </c>
      <c r="G105" s="159">
        <f>IF($F105="","",'תנאי סף'!Z105)</f>
        <v>20</v>
      </c>
      <c r="H105" s="6">
        <v>0</v>
      </c>
      <c r="I105" s="6"/>
      <c r="J105" s="5"/>
      <c r="K105" s="6"/>
      <c r="L105" s="5"/>
      <c r="M105" s="6"/>
      <c r="N105" s="6"/>
      <c r="O105" s="158"/>
      <c r="P105" s="177"/>
      <c r="Q105" s="8"/>
      <c r="R105" s="8"/>
      <c r="S105" s="159">
        <f t="shared" si="19"/>
        <v>20</v>
      </c>
      <c r="T105" s="159">
        <f t="shared" si="20"/>
        <v>0</v>
      </c>
      <c r="U105" s="159">
        <f t="shared" si="21"/>
        <v>20</v>
      </c>
      <c r="V105" s="159">
        <f>סיווג!Z105</f>
        <v>0.5</v>
      </c>
      <c r="W105" s="8">
        <f t="shared" si="22"/>
        <v>10</v>
      </c>
      <c r="X105" s="8">
        <v>1</v>
      </c>
      <c r="Y105" s="8">
        <f t="shared" si="23"/>
        <v>10</v>
      </c>
      <c r="Z105" s="123">
        <f t="shared" si="24"/>
        <v>1.8076808358716185E-2</v>
      </c>
      <c r="AA105" s="192">
        <f t="shared" si="25"/>
        <v>1</v>
      </c>
      <c r="AB105" s="192">
        <f t="shared" si="17"/>
        <v>0</v>
      </c>
      <c r="AC105" s="192">
        <f t="shared" si="17"/>
        <v>1</v>
      </c>
      <c r="AE105" s="192">
        <f t="shared" si="15"/>
        <v>1</v>
      </c>
    </row>
    <row r="106" spans="2:31" x14ac:dyDescent="0.25">
      <c r="B106" s="7">
        <f t="shared" si="18"/>
        <v>76</v>
      </c>
      <c r="C106" s="4"/>
      <c r="D106" s="4"/>
      <c r="E106" s="4"/>
      <c r="F106" s="230" t="str">
        <f>IF('תנאי סף'!AO106&lt;&gt;1,"",'תנאי סף'!F106)</f>
        <v>מולטי פיאנו- פליציה בלומנטל</v>
      </c>
      <c r="G106" s="159">
        <f>IF($F106="","",'תנאי סף'!Z106)</f>
        <v>10</v>
      </c>
      <c r="H106" s="6">
        <v>1</v>
      </c>
      <c r="I106" s="6"/>
      <c r="J106" s="5"/>
      <c r="K106" s="6"/>
      <c r="L106" s="5"/>
      <c r="M106" s="6"/>
      <c r="N106" s="6"/>
      <c r="O106" s="158"/>
      <c r="P106" s="177"/>
      <c r="Q106" s="8"/>
      <c r="R106" s="8"/>
      <c r="S106" s="159">
        <f t="shared" si="19"/>
        <v>10</v>
      </c>
      <c r="T106" s="159">
        <f t="shared" si="20"/>
        <v>1</v>
      </c>
      <c r="U106" s="159">
        <f t="shared" si="21"/>
        <v>11</v>
      </c>
      <c r="V106" s="159">
        <f>סיווג!Z106</f>
        <v>0.5</v>
      </c>
      <c r="W106" s="8">
        <f t="shared" si="22"/>
        <v>5.5</v>
      </c>
      <c r="X106" s="8">
        <v>1</v>
      </c>
      <c r="Y106" s="8">
        <f t="shared" si="23"/>
        <v>5.5</v>
      </c>
      <c r="Z106" s="123">
        <f t="shared" si="24"/>
        <v>9.9422445972939012E-3</v>
      </c>
      <c r="AA106" s="192">
        <f t="shared" si="25"/>
        <v>1</v>
      </c>
      <c r="AB106" s="192">
        <f t="shared" si="17"/>
        <v>0</v>
      </c>
      <c r="AC106" s="192">
        <f t="shared" si="17"/>
        <v>1</v>
      </c>
      <c r="AE106" s="192">
        <f t="shared" si="15"/>
        <v>1</v>
      </c>
    </row>
    <row r="107" spans="2:31" x14ac:dyDescent="0.25">
      <c r="B107" s="7">
        <f t="shared" si="18"/>
        <v>77</v>
      </c>
      <c r="C107" s="4"/>
      <c r="D107" s="4"/>
      <c r="E107" s="4"/>
      <c r="F107" s="230" t="str">
        <f>IF('תנאי סף'!AO107&lt;&gt;1,"",'תנאי סף'!F107)</f>
        <v>ארמון בזמן - העמותה לתרבות רב תחומית</v>
      </c>
      <c r="G107" s="159">
        <f>IF($F107="","",'תנאי סף'!Z107)</f>
        <v>7</v>
      </c>
      <c r="H107" s="6">
        <v>2</v>
      </c>
      <c r="I107" s="6"/>
      <c r="J107" s="5"/>
      <c r="K107" s="6"/>
      <c r="L107" s="5"/>
      <c r="M107" s="6"/>
      <c r="N107" s="6"/>
      <c r="O107" s="158"/>
      <c r="P107" s="177"/>
      <c r="Q107" s="8"/>
      <c r="R107" s="8"/>
      <c r="S107" s="159">
        <f t="shared" si="19"/>
        <v>7</v>
      </c>
      <c r="T107" s="159">
        <f t="shared" si="20"/>
        <v>1.05</v>
      </c>
      <c r="U107" s="159">
        <f t="shared" si="21"/>
        <v>8.0500000000000007</v>
      </c>
      <c r="V107" s="159">
        <f>סיווג!Z107</f>
        <v>1</v>
      </c>
      <c r="W107" s="8">
        <f t="shared" si="22"/>
        <v>8.0500000000000007</v>
      </c>
      <c r="X107" s="8">
        <v>1</v>
      </c>
      <c r="Y107" s="8">
        <f t="shared" si="23"/>
        <v>8.0500000000000007</v>
      </c>
      <c r="Z107" s="123">
        <f t="shared" si="24"/>
        <v>1.455183072876653E-2</v>
      </c>
      <c r="AA107" s="192">
        <f t="shared" si="25"/>
        <v>1</v>
      </c>
      <c r="AB107" s="192">
        <f t="shared" si="17"/>
        <v>0</v>
      </c>
      <c r="AC107" s="192">
        <f t="shared" si="17"/>
        <v>1</v>
      </c>
      <c r="AE107" s="192">
        <f t="shared" si="15"/>
        <v>1</v>
      </c>
    </row>
    <row r="108" spans="2:31" x14ac:dyDescent="0.25">
      <c r="B108" s="7" t="str">
        <f t="shared" si="18"/>
        <v/>
      </c>
      <c r="C108" s="4"/>
      <c r="D108" s="4"/>
      <c r="E108" s="4"/>
      <c r="F108" s="230" t="str">
        <f>IF('תנאי סף'!AO108&lt;&gt;1,"",'תנאי סף'!F108)</f>
        <v/>
      </c>
      <c r="G108" s="159" t="str">
        <f>IF($F108="","",'תנאי סף'!Z108)</f>
        <v/>
      </c>
      <c r="H108" s="6"/>
      <c r="I108" s="6"/>
      <c r="J108" s="5"/>
      <c r="K108" s="6"/>
      <c r="L108" s="5"/>
      <c r="M108" s="6"/>
      <c r="N108" s="6"/>
      <c r="O108" s="158"/>
      <c r="P108" s="177"/>
      <c r="Q108" s="8"/>
      <c r="R108" s="8"/>
      <c r="S108" s="159" t="str">
        <f t="shared" si="19"/>
        <v/>
      </c>
      <c r="T108" s="159" t="str">
        <f t="shared" si="20"/>
        <v/>
      </c>
      <c r="U108" s="159" t="str">
        <f t="shared" si="21"/>
        <v/>
      </c>
      <c r="V108" s="159" t="str">
        <f>סיווג!Z108</f>
        <v/>
      </c>
      <c r="W108" s="8" t="str">
        <f t="shared" si="22"/>
        <v/>
      </c>
      <c r="X108" s="8">
        <v>1</v>
      </c>
      <c r="Y108" s="8" t="str">
        <f t="shared" si="23"/>
        <v/>
      </c>
      <c r="Z108" s="123" t="str">
        <f t="shared" si="24"/>
        <v/>
      </c>
      <c r="AA108" s="192">
        <f t="shared" si="25"/>
        <v>0</v>
      </c>
      <c r="AB108" s="192" t="str">
        <f t="shared" si="17"/>
        <v/>
      </c>
      <c r="AC108" s="192" t="str">
        <f t="shared" si="17"/>
        <v/>
      </c>
      <c r="AE108" s="192">
        <f t="shared" si="15"/>
        <v>0</v>
      </c>
    </row>
    <row r="109" spans="2:31" x14ac:dyDescent="0.25">
      <c r="B109" s="7" t="str">
        <f t="shared" si="18"/>
        <v/>
      </c>
      <c r="C109" s="4"/>
      <c r="D109" s="4"/>
      <c r="E109" s="4"/>
      <c r="F109" s="230" t="str">
        <f>IF('תנאי סף'!AO109&lt;&gt;1,"",'תנאי סף'!F109)</f>
        <v/>
      </c>
      <c r="G109" s="159" t="str">
        <f>IF($F109="","",'תנאי סף'!Z109)</f>
        <v/>
      </c>
      <c r="H109" s="6"/>
      <c r="I109" s="6"/>
      <c r="J109" s="5"/>
      <c r="K109" s="6"/>
      <c r="L109" s="5"/>
      <c r="M109" s="6"/>
      <c r="N109" s="6"/>
      <c r="O109" s="158"/>
      <c r="P109" s="177"/>
      <c r="Q109" s="8"/>
      <c r="R109" s="8"/>
      <c r="S109" s="159" t="str">
        <f t="shared" si="19"/>
        <v/>
      </c>
      <c r="T109" s="159" t="str">
        <f t="shared" si="20"/>
        <v/>
      </c>
      <c r="U109" s="159" t="str">
        <f t="shared" si="21"/>
        <v/>
      </c>
      <c r="V109" s="159" t="str">
        <f>סיווג!Z109</f>
        <v/>
      </c>
      <c r="W109" s="8" t="str">
        <f t="shared" si="22"/>
        <v/>
      </c>
      <c r="X109" s="8">
        <v>1</v>
      </c>
      <c r="Y109" s="8" t="str">
        <f t="shared" si="23"/>
        <v/>
      </c>
      <c r="Z109" s="123" t="str">
        <f t="shared" si="24"/>
        <v/>
      </c>
      <c r="AA109" s="192">
        <f t="shared" si="25"/>
        <v>0</v>
      </c>
      <c r="AB109" s="192" t="str">
        <f t="shared" si="17"/>
        <v/>
      </c>
      <c r="AC109" s="192" t="str">
        <f t="shared" si="17"/>
        <v/>
      </c>
      <c r="AE109" s="192">
        <f t="shared" si="15"/>
        <v>0</v>
      </c>
    </row>
    <row r="110" spans="2:31" x14ac:dyDescent="0.25">
      <c r="B110" s="7" t="str">
        <f t="shared" si="18"/>
        <v/>
      </c>
      <c r="C110" s="4"/>
      <c r="D110" s="4"/>
      <c r="E110" s="4"/>
      <c r="F110" s="230" t="str">
        <f>IF('תנאי סף'!AO110&lt;&gt;1,"",'תנאי סף'!F110)</f>
        <v/>
      </c>
      <c r="G110" s="159" t="str">
        <f>IF($F110="","",'תנאי סף'!Z110)</f>
        <v/>
      </c>
      <c r="H110" s="6"/>
      <c r="I110" s="6"/>
      <c r="J110" s="5"/>
      <c r="K110" s="6"/>
      <c r="L110" s="5"/>
      <c r="M110" s="6"/>
      <c r="N110" s="6"/>
      <c r="O110" s="158"/>
      <c r="P110" s="177"/>
      <c r="Q110" s="8"/>
      <c r="R110" s="8"/>
      <c r="S110" s="159" t="str">
        <f t="shared" si="19"/>
        <v/>
      </c>
      <c r="T110" s="159" t="str">
        <f t="shared" si="20"/>
        <v/>
      </c>
      <c r="U110" s="159" t="str">
        <f t="shared" si="21"/>
        <v/>
      </c>
      <c r="V110" s="159" t="str">
        <f>סיווג!Z110</f>
        <v/>
      </c>
      <c r="W110" s="8" t="str">
        <f t="shared" si="22"/>
        <v/>
      </c>
      <c r="X110" s="8">
        <v>1</v>
      </c>
      <c r="Y110" s="8" t="str">
        <f t="shared" si="23"/>
        <v/>
      </c>
      <c r="Z110" s="123" t="str">
        <f t="shared" si="24"/>
        <v/>
      </c>
      <c r="AA110" s="192">
        <f t="shared" si="25"/>
        <v>0</v>
      </c>
      <c r="AB110" s="192" t="str">
        <f t="shared" si="17"/>
        <v/>
      </c>
      <c r="AC110" s="192" t="str">
        <f t="shared" si="17"/>
        <v/>
      </c>
      <c r="AE110" s="192">
        <f t="shared" ref="AE110:AE130" si="26">IF(H$30="",1,IF(H110="",0,IFERROR(CHOOSE(AE$28,IF(ISNA(MATCH(H110,$AB$30:$AC$30,0)),0,1),IF(ISNUMBER(H110),1,0),IF(H110=TRUNC(H110),1,0),IF(AND(H110*1=H110,H110&gt;=0),1,0),IF(AND(H110=TRUNC(H110),H110&gt;=0),1,0),IF(AND(H110*1=H110,H110&gt;0),1,0),IF(AND(H110=TRUNC(H110),H110&gt;0),1,0),1,IF(ISNA(HLOOKUP(H110,$AE$4:$AN$4,1,0)),0,1)),0)))</f>
        <v>0</v>
      </c>
    </row>
    <row r="111" spans="2:31" x14ac:dyDescent="0.25">
      <c r="B111" s="7" t="str">
        <f t="shared" si="18"/>
        <v/>
      </c>
      <c r="C111" s="4"/>
      <c r="D111" s="4"/>
      <c r="E111" s="4"/>
      <c r="F111" s="230" t="str">
        <f>IF('תנאי סף'!AO111&lt;&gt;1,"",'תנאי סף'!F111)</f>
        <v/>
      </c>
      <c r="G111" s="159" t="str">
        <f>IF($F111="","",'תנאי סף'!Z111)</f>
        <v/>
      </c>
      <c r="H111" s="6"/>
      <c r="I111" s="6"/>
      <c r="J111" s="5"/>
      <c r="K111" s="6"/>
      <c r="L111" s="5"/>
      <c r="M111" s="6"/>
      <c r="N111" s="6"/>
      <c r="O111" s="158"/>
      <c r="P111" s="177"/>
      <c r="Q111" s="8"/>
      <c r="R111" s="8"/>
      <c r="S111" s="159" t="str">
        <f t="shared" si="19"/>
        <v/>
      </c>
      <c r="T111" s="159" t="str">
        <f t="shared" si="20"/>
        <v/>
      </c>
      <c r="U111" s="159" t="str">
        <f t="shared" si="21"/>
        <v/>
      </c>
      <c r="V111" s="159" t="str">
        <f>סיווג!Z111</f>
        <v/>
      </c>
      <c r="W111" s="8" t="str">
        <f t="shared" si="22"/>
        <v/>
      </c>
      <c r="X111" s="8">
        <v>1</v>
      </c>
      <c r="Y111" s="8" t="str">
        <f t="shared" si="23"/>
        <v/>
      </c>
      <c r="Z111" s="123" t="str">
        <f t="shared" si="24"/>
        <v/>
      </c>
      <c r="AA111" s="192">
        <f t="shared" si="25"/>
        <v>0</v>
      </c>
      <c r="AB111" s="192" t="str">
        <f t="shared" si="17"/>
        <v/>
      </c>
      <c r="AC111" s="192" t="str">
        <f t="shared" si="17"/>
        <v/>
      </c>
      <c r="AE111" s="192">
        <f t="shared" si="26"/>
        <v>0</v>
      </c>
    </row>
    <row r="112" spans="2:31" x14ac:dyDescent="0.25">
      <c r="B112" s="7" t="str">
        <f t="shared" si="18"/>
        <v/>
      </c>
      <c r="C112" s="4"/>
      <c r="D112" s="4"/>
      <c r="E112" s="4"/>
      <c r="F112" s="230" t="str">
        <f>IF('תנאי סף'!AO112&lt;&gt;1,"",'תנאי סף'!F112)</f>
        <v/>
      </c>
      <c r="G112" s="159" t="str">
        <f>IF($F112="","",'תנאי סף'!Z112)</f>
        <v/>
      </c>
      <c r="H112" s="6"/>
      <c r="I112" s="6"/>
      <c r="J112" s="5"/>
      <c r="K112" s="6"/>
      <c r="L112" s="5"/>
      <c r="M112" s="6"/>
      <c r="N112" s="6"/>
      <c r="O112" s="158"/>
      <c r="P112" s="177"/>
      <c r="Q112" s="8"/>
      <c r="R112" s="8"/>
      <c r="S112" s="159" t="str">
        <f t="shared" si="19"/>
        <v/>
      </c>
      <c r="T112" s="159" t="str">
        <f t="shared" si="20"/>
        <v/>
      </c>
      <c r="U112" s="159" t="str">
        <f t="shared" si="21"/>
        <v/>
      </c>
      <c r="V112" s="159" t="str">
        <f>סיווג!Z112</f>
        <v/>
      </c>
      <c r="W112" s="8" t="str">
        <f t="shared" si="22"/>
        <v/>
      </c>
      <c r="X112" s="8">
        <v>1</v>
      </c>
      <c r="Y112" s="8" t="str">
        <f t="shared" si="23"/>
        <v/>
      </c>
      <c r="Z112" s="123" t="str">
        <f t="shared" si="24"/>
        <v/>
      </c>
      <c r="AA112" s="192">
        <f t="shared" si="25"/>
        <v>0</v>
      </c>
      <c r="AB112" s="192" t="str">
        <f t="shared" si="17"/>
        <v/>
      </c>
      <c r="AC112" s="192" t="str">
        <f t="shared" si="17"/>
        <v/>
      </c>
      <c r="AE112" s="192">
        <f t="shared" si="26"/>
        <v>0</v>
      </c>
    </row>
    <row r="113" spans="2:31" x14ac:dyDescent="0.25">
      <c r="B113" s="7" t="str">
        <f t="shared" si="18"/>
        <v/>
      </c>
      <c r="C113" s="4"/>
      <c r="D113" s="4"/>
      <c r="E113" s="4"/>
      <c r="F113" s="230" t="str">
        <f>IF('תנאי סף'!AO113&lt;&gt;1,"",'תנאי סף'!F113)</f>
        <v/>
      </c>
      <c r="G113" s="159" t="str">
        <f>IF($F113="","",'תנאי סף'!Z113)</f>
        <v/>
      </c>
      <c r="H113" s="6"/>
      <c r="I113" s="6"/>
      <c r="J113" s="5"/>
      <c r="K113" s="6"/>
      <c r="L113" s="5"/>
      <c r="M113" s="6"/>
      <c r="N113" s="6"/>
      <c r="O113" s="158"/>
      <c r="P113" s="177"/>
      <c r="Q113" s="8"/>
      <c r="R113" s="8"/>
      <c r="S113" s="159" t="str">
        <f t="shared" si="19"/>
        <v/>
      </c>
      <c r="T113" s="159" t="str">
        <f t="shared" si="20"/>
        <v/>
      </c>
      <c r="U113" s="159" t="str">
        <f t="shared" si="21"/>
        <v/>
      </c>
      <c r="V113" s="159" t="str">
        <f>סיווג!Z113</f>
        <v/>
      </c>
      <c r="W113" s="8" t="str">
        <f t="shared" si="22"/>
        <v/>
      </c>
      <c r="X113" s="8">
        <v>1</v>
      </c>
      <c r="Y113" s="8" t="str">
        <f t="shared" si="23"/>
        <v/>
      </c>
      <c r="Z113" s="123" t="str">
        <f t="shared" si="24"/>
        <v/>
      </c>
      <c r="AA113" s="192">
        <f t="shared" si="25"/>
        <v>0</v>
      </c>
      <c r="AB113" s="192" t="str">
        <f t="shared" si="17"/>
        <v/>
      </c>
      <c r="AC113" s="192" t="str">
        <f t="shared" si="17"/>
        <v/>
      </c>
      <c r="AE113" s="192">
        <f t="shared" si="26"/>
        <v>0</v>
      </c>
    </row>
    <row r="114" spans="2:31" x14ac:dyDescent="0.25">
      <c r="B114" s="7" t="str">
        <f t="shared" si="18"/>
        <v/>
      </c>
      <c r="C114" s="4"/>
      <c r="D114" s="4"/>
      <c r="E114" s="4"/>
      <c r="F114" s="230" t="str">
        <f>IF('תנאי סף'!AO114&lt;&gt;1,"",'תנאי סף'!F114)</f>
        <v/>
      </c>
      <c r="G114" s="159" t="str">
        <f>IF($F114="","",'תנאי סף'!Z114)</f>
        <v/>
      </c>
      <c r="H114" s="6"/>
      <c r="I114" s="6"/>
      <c r="J114" s="5"/>
      <c r="K114" s="6"/>
      <c r="L114" s="5"/>
      <c r="M114" s="6"/>
      <c r="N114" s="6"/>
      <c r="O114" s="158"/>
      <c r="P114" s="177"/>
      <c r="Q114" s="8"/>
      <c r="R114" s="8"/>
      <c r="S114" s="159" t="str">
        <f t="shared" si="19"/>
        <v/>
      </c>
      <c r="T114" s="159" t="str">
        <f t="shared" si="20"/>
        <v/>
      </c>
      <c r="U114" s="159" t="str">
        <f t="shared" si="21"/>
        <v/>
      </c>
      <c r="V114" s="159" t="str">
        <f>סיווג!Z114</f>
        <v/>
      </c>
      <c r="W114" s="8" t="str">
        <f t="shared" si="22"/>
        <v/>
      </c>
      <c r="X114" s="8">
        <v>1</v>
      </c>
      <c r="Y114" s="8" t="str">
        <f t="shared" si="23"/>
        <v/>
      </c>
      <c r="Z114" s="123" t="str">
        <f t="shared" si="24"/>
        <v/>
      </c>
      <c r="AA114" s="192">
        <f t="shared" si="25"/>
        <v>0</v>
      </c>
      <c r="AB114" s="192" t="str">
        <f t="shared" si="17"/>
        <v/>
      </c>
      <c r="AC114" s="192" t="str">
        <f t="shared" si="17"/>
        <v/>
      </c>
      <c r="AE114" s="192">
        <f t="shared" si="26"/>
        <v>0</v>
      </c>
    </row>
    <row r="115" spans="2:31" x14ac:dyDescent="0.25">
      <c r="B115" s="7" t="str">
        <f t="shared" si="18"/>
        <v/>
      </c>
      <c r="C115" s="4"/>
      <c r="D115" s="4"/>
      <c r="E115" s="4"/>
      <c r="F115" s="230" t="str">
        <f>IF('תנאי סף'!AO115&lt;&gt;1,"",'תנאי סף'!F115)</f>
        <v/>
      </c>
      <c r="G115" s="159" t="str">
        <f>IF($F115="","",'תנאי סף'!Z115)</f>
        <v/>
      </c>
      <c r="H115" s="6"/>
      <c r="I115" s="6"/>
      <c r="J115" s="5"/>
      <c r="K115" s="6"/>
      <c r="L115" s="5"/>
      <c r="M115" s="6"/>
      <c r="N115" s="6"/>
      <c r="O115" s="158"/>
      <c r="P115" s="177"/>
      <c r="Q115" s="8"/>
      <c r="R115" s="8"/>
      <c r="S115" s="159" t="str">
        <f t="shared" si="19"/>
        <v/>
      </c>
      <c r="T115" s="159" t="str">
        <f t="shared" si="20"/>
        <v/>
      </c>
      <c r="U115" s="159" t="str">
        <f t="shared" si="21"/>
        <v/>
      </c>
      <c r="V115" s="159" t="str">
        <f>סיווג!Z115</f>
        <v/>
      </c>
      <c r="W115" s="8" t="str">
        <f t="shared" si="22"/>
        <v/>
      </c>
      <c r="X115" s="8">
        <v>1</v>
      </c>
      <c r="Y115" s="8" t="str">
        <f t="shared" si="23"/>
        <v/>
      </c>
      <c r="Z115" s="123" t="str">
        <f t="shared" si="24"/>
        <v/>
      </c>
      <c r="AA115" s="192">
        <f t="shared" si="25"/>
        <v>0</v>
      </c>
      <c r="AB115" s="192" t="str">
        <f t="shared" si="17"/>
        <v/>
      </c>
      <c r="AC115" s="192" t="str">
        <f t="shared" si="17"/>
        <v/>
      </c>
      <c r="AE115" s="192">
        <f t="shared" si="26"/>
        <v>0</v>
      </c>
    </row>
    <row r="116" spans="2:31" x14ac:dyDescent="0.25">
      <c r="B116" s="7" t="str">
        <f t="shared" si="18"/>
        <v/>
      </c>
      <c r="C116" s="4"/>
      <c r="D116" s="4"/>
      <c r="E116" s="4"/>
      <c r="F116" s="230" t="str">
        <f>IF('תנאי סף'!AO116&lt;&gt;1,"",'תנאי סף'!F116)</f>
        <v/>
      </c>
      <c r="G116" s="159" t="str">
        <f>IF($F116="","",'תנאי סף'!Z116)</f>
        <v/>
      </c>
      <c r="H116" s="6"/>
      <c r="I116" s="6"/>
      <c r="J116" s="5"/>
      <c r="K116" s="6"/>
      <c r="L116" s="5"/>
      <c r="M116" s="6"/>
      <c r="N116" s="6"/>
      <c r="O116" s="158"/>
      <c r="P116" s="177"/>
      <c r="Q116" s="8"/>
      <c r="R116" s="8"/>
      <c r="S116" s="159" t="str">
        <f t="shared" si="19"/>
        <v/>
      </c>
      <c r="T116" s="159" t="str">
        <f t="shared" si="20"/>
        <v/>
      </c>
      <c r="U116" s="159" t="str">
        <f t="shared" si="21"/>
        <v/>
      </c>
      <c r="V116" s="159" t="str">
        <f>סיווג!Z116</f>
        <v/>
      </c>
      <c r="W116" s="8" t="str">
        <f t="shared" si="22"/>
        <v/>
      </c>
      <c r="X116" s="8">
        <v>1</v>
      </c>
      <c r="Y116" s="8" t="str">
        <f t="shared" si="23"/>
        <v/>
      </c>
      <c r="Z116" s="123" t="str">
        <f t="shared" si="24"/>
        <v/>
      </c>
      <c r="AA116" s="192">
        <f t="shared" si="25"/>
        <v>0</v>
      </c>
      <c r="AB116" s="192" t="str">
        <f t="shared" si="17"/>
        <v/>
      </c>
      <c r="AC116" s="192" t="str">
        <f t="shared" si="17"/>
        <v/>
      </c>
      <c r="AE116" s="192">
        <f t="shared" si="26"/>
        <v>0</v>
      </c>
    </row>
    <row r="117" spans="2:31" x14ac:dyDescent="0.25">
      <c r="B117" s="7" t="str">
        <f t="shared" si="18"/>
        <v/>
      </c>
      <c r="C117" s="4"/>
      <c r="D117" s="4"/>
      <c r="E117" s="4"/>
      <c r="F117" s="230" t="str">
        <f>IF('תנאי סף'!AO117&lt;&gt;1,"",'תנאי סף'!F117)</f>
        <v/>
      </c>
      <c r="G117" s="159" t="str">
        <f>IF($F117="","",'תנאי סף'!Z117)</f>
        <v/>
      </c>
      <c r="H117" s="6"/>
      <c r="I117" s="6"/>
      <c r="J117" s="5"/>
      <c r="K117" s="6"/>
      <c r="L117" s="5"/>
      <c r="M117" s="6"/>
      <c r="N117" s="6"/>
      <c r="O117" s="158"/>
      <c r="P117" s="177"/>
      <c r="Q117" s="8"/>
      <c r="R117" s="8"/>
      <c r="S117" s="159" t="str">
        <f t="shared" si="19"/>
        <v/>
      </c>
      <c r="T117" s="159" t="str">
        <f t="shared" si="20"/>
        <v/>
      </c>
      <c r="U117" s="159" t="str">
        <f t="shared" si="21"/>
        <v/>
      </c>
      <c r="V117" s="159" t="str">
        <f>סיווג!Z117</f>
        <v/>
      </c>
      <c r="W117" s="8" t="str">
        <f t="shared" si="22"/>
        <v/>
      </c>
      <c r="X117" s="8">
        <v>1</v>
      </c>
      <c r="Y117" s="8" t="str">
        <f t="shared" si="23"/>
        <v/>
      </c>
      <c r="Z117" s="123" t="str">
        <f t="shared" si="24"/>
        <v/>
      </c>
      <c r="AA117" s="192">
        <f t="shared" si="25"/>
        <v>0</v>
      </c>
      <c r="AB117" s="192" t="str">
        <f t="shared" si="17"/>
        <v/>
      </c>
      <c r="AC117" s="192" t="str">
        <f t="shared" si="17"/>
        <v/>
      </c>
      <c r="AE117" s="192">
        <f t="shared" si="26"/>
        <v>0</v>
      </c>
    </row>
    <row r="118" spans="2:31" x14ac:dyDescent="0.25">
      <c r="B118" s="7" t="str">
        <f t="shared" si="18"/>
        <v/>
      </c>
      <c r="C118" s="4"/>
      <c r="D118" s="4"/>
      <c r="E118" s="4"/>
      <c r="F118" s="230" t="str">
        <f>IF('תנאי סף'!AO118&lt;&gt;1,"",'תנאי סף'!F118)</f>
        <v/>
      </c>
      <c r="G118" s="159" t="str">
        <f>IF($F118="","",'תנאי סף'!Z118)</f>
        <v/>
      </c>
      <c r="H118" s="6"/>
      <c r="I118" s="6"/>
      <c r="J118" s="5"/>
      <c r="K118" s="6"/>
      <c r="L118" s="5"/>
      <c r="M118" s="6"/>
      <c r="N118" s="6"/>
      <c r="O118" s="158"/>
      <c r="P118" s="177"/>
      <c r="Q118" s="8"/>
      <c r="R118" s="8"/>
      <c r="S118" s="159" t="str">
        <f t="shared" si="19"/>
        <v/>
      </c>
      <c r="T118" s="159" t="str">
        <f t="shared" si="20"/>
        <v/>
      </c>
      <c r="U118" s="159" t="str">
        <f t="shared" si="21"/>
        <v/>
      </c>
      <c r="V118" s="159" t="str">
        <f>סיווג!Z118</f>
        <v/>
      </c>
      <c r="W118" s="8" t="str">
        <f t="shared" si="22"/>
        <v/>
      </c>
      <c r="X118" s="8">
        <v>1</v>
      </c>
      <c r="Y118" s="8" t="str">
        <f t="shared" si="23"/>
        <v/>
      </c>
      <c r="Z118" s="123" t="str">
        <f t="shared" si="24"/>
        <v/>
      </c>
      <c r="AA118" s="192">
        <f t="shared" si="25"/>
        <v>0</v>
      </c>
      <c r="AB118" s="192" t="str">
        <f t="shared" si="17"/>
        <v/>
      </c>
      <c r="AC118" s="192" t="str">
        <f t="shared" si="17"/>
        <v/>
      </c>
      <c r="AE118" s="192">
        <f t="shared" si="26"/>
        <v>0</v>
      </c>
    </row>
    <row r="119" spans="2:31" x14ac:dyDescent="0.25">
      <c r="B119" s="7" t="str">
        <f t="shared" si="18"/>
        <v/>
      </c>
      <c r="C119" s="4"/>
      <c r="D119" s="4"/>
      <c r="E119" s="4"/>
      <c r="F119" s="230" t="str">
        <f>IF('תנאי סף'!AO119&lt;&gt;1,"",'תנאי סף'!F119)</f>
        <v/>
      </c>
      <c r="G119" s="159" t="str">
        <f>IF($F119="","",'תנאי סף'!Z119)</f>
        <v/>
      </c>
      <c r="H119" s="6"/>
      <c r="I119" s="6"/>
      <c r="J119" s="5"/>
      <c r="K119" s="6"/>
      <c r="L119" s="5"/>
      <c r="M119" s="6"/>
      <c r="N119" s="6"/>
      <c r="O119" s="158"/>
      <c r="P119" s="177"/>
      <c r="Q119" s="8"/>
      <c r="R119" s="8"/>
      <c r="S119" s="159" t="str">
        <f t="shared" si="19"/>
        <v/>
      </c>
      <c r="T119" s="159" t="str">
        <f t="shared" si="20"/>
        <v/>
      </c>
      <c r="U119" s="159" t="str">
        <f t="shared" si="21"/>
        <v/>
      </c>
      <c r="V119" s="159" t="str">
        <f>סיווג!Z119</f>
        <v/>
      </c>
      <c r="W119" s="8" t="str">
        <f t="shared" si="22"/>
        <v/>
      </c>
      <c r="X119" s="8">
        <v>1</v>
      </c>
      <c r="Y119" s="8" t="str">
        <f t="shared" si="23"/>
        <v/>
      </c>
      <c r="Z119" s="123" t="str">
        <f t="shared" si="24"/>
        <v/>
      </c>
      <c r="AA119" s="192">
        <f t="shared" si="25"/>
        <v>0</v>
      </c>
      <c r="AB119" s="192" t="str">
        <f t="shared" si="17"/>
        <v/>
      </c>
      <c r="AC119" s="192" t="str">
        <f t="shared" si="17"/>
        <v/>
      </c>
      <c r="AE119" s="192">
        <f t="shared" si="26"/>
        <v>0</v>
      </c>
    </row>
    <row r="120" spans="2:31" x14ac:dyDescent="0.25">
      <c r="B120" s="7" t="str">
        <f t="shared" si="18"/>
        <v/>
      </c>
      <c r="C120" s="4"/>
      <c r="D120" s="4"/>
      <c r="E120" s="4"/>
      <c r="F120" s="230" t="str">
        <f>IF('תנאי סף'!AO120&lt;&gt;1,"",'תנאי סף'!F120)</f>
        <v/>
      </c>
      <c r="G120" s="159" t="str">
        <f>IF($F120="","",'תנאי סף'!Z120)</f>
        <v/>
      </c>
      <c r="H120" s="6"/>
      <c r="I120" s="6"/>
      <c r="J120" s="5"/>
      <c r="K120" s="6"/>
      <c r="L120" s="5"/>
      <c r="M120" s="6"/>
      <c r="N120" s="6"/>
      <c r="O120" s="158"/>
      <c r="P120" s="177"/>
      <c r="Q120" s="8"/>
      <c r="R120" s="8"/>
      <c r="S120" s="159" t="str">
        <f t="shared" si="19"/>
        <v/>
      </c>
      <c r="T120" s="159" t="str">
        <f t="shared" si="20"/>
        <v/>
      </c>
      <c r="U120" s="159" t="str">
        <f t="shared" si="21"/>
        <v/>
      </c>
      <c r="V120" s="159" t="str">
        <f>סיווג!Z120</f>
        <v/>
      </c>
      <c r="W120" s="8" t="str">
        <f t="shared" si="22"/>
        <v/>
      </c>
      <c r="X120" s="8">
        <v>1</v>
      </c>
      <c r="Y120" s="8" t="str">
        <f t="shared" si="23"/>
        <v/>
      </c>
      <c r="Z120" s="123" t="str">
        <f t="shared" si="24"/>
        <v/>
      </c>
      <c r="AA120" s="192">
        <f t="shared" si="25"/>
        <v>0</v>
      </c>
      <c r="AB120" s="192" t="str">
        <f t="shared" si="17"/>
        <v/>
      </c>
      <c r="AC120" s="192" t="str">
        <f t="shared" si="17"/>
        <v/>
      </c>
      <c r="AE120" s="192">
        <f t="shared" si="26"/>
        <v>0</v>
      </c>
    </row>
    <row r="121" spans="2:31" x14ac:dyDescent="0.25">
      <c r="B121" s="7" t="str">
        <f t="shared" si="18"/>
        <v/>
      </c>
      <c r="C121" s="4"/>
      <c r="D121" s="4"/>
      <c r="E121" s="4"/>
      <c r="F121" s="230" t="str">
        <f>IF('תנאי סף'!AO121&lt;&gt;1,"",'תנאי סף'!F121)</f>
        <v/>
      </c>
      <c r="G121" s="159" t="str">
        <f>IF($F121="","",'תנאי סף'!Z121)</f>
        <v/>
      </c>
      <c r="H121" s="6"/>
      <c r="I121" s="6"/>
      <c r="J121" s="5"/>
      <c r="K121" s="6"/>
      <c r="L121" s="5"/>
      <c r="M121" s="6"/>
      <c r="N121" s="6"/>
      <c r="O121" s="158"/>
      <c r="P121" s="177"/>
      <c r="Q121" s="8"/>
      <c r="R121" s="8"/>
      <c r="S121" s="159" t="str">
        <f t="shared" si="19"/>
        <v/>
      </c>
      <c r="T121" s="159" t="str">
        <f t="shared" si="20"/>
        <v/>
      </c>
      <c r="U121" s="159" t="str">
        <f t="shared" si="21"/>
        <v/>
      </c>
      <c r="V121" s="159" t="str">
        <f>סיווג!Z121</f>
        <v/>
      </c>
      <c r="W121" s="8" t="str">
        <f t="shared" si="22"/>
        <v/>
      </c>
      <c r="X121" s="8">
        <v>1</v>
      </c>
      <c r="Y121" s="8" t="str">
        <f t="shared" si="23"/>
        <v/>
      </c>
      <c r="Z121" s="123" t="str">
        <f t="shared" si="24"/>
        <v/>
      </c>
      <c r="AA121" s="192">
        <f t="shared" si="25"/>
        <v>0</v>
      </c>
      <c r="AB121" s="192" t="str">
        <f t="shared" si="17"/>
        <v/>
      </c>
      <c r="AC121" s="192" t="str">
        <f t="shared" si="17"/>
        <v/>
      </c>
      <c r="AE121" s="192">
        <f t="shared" si="26"/>
        <v>0</v>
      </c>
    </row>
    <row r="122" spans="2:31" x14ac:dyDescent="0.25">
      <c r="B122" s="7" t="str">
        <f t="shared" si="18"/>
        <v/>
      </c>
      <c r="C122" s="4"/>
      <c r="D122" s="4"/>
      <c r="E122" s="4"/>
      <c r="F122" s="230" t="str">
        <f>IF('תנאי סף'!AO122&lt;&gt;1,"",'תנאי סף'!F122)</f>
        <v/>
      </c>
      <c r="G122" s="159" t="str">
        <f>IF($F122="","",'תנאי סף'!Z122)</f>
        <v/>
      </c>
      <c r="H122" s="6"/>
      <c r="I122" s="6"/>
      <c r="J122" s="5"/>
      <c r="K122" s="6"/>
      <c r="L122" s="5"/>
      <c r="M122" s="6"/>
      <c r="N122" s="6"/>
      <c r="O122" s="158"/>
      <c r="P122" s="177"/>
      <c r="Q122" s="8"/>
      <c r="R122" s="8"/>
      <c r="S122" s="159" t="str">
        <f t="shared" si="19"/>
        <v/>
      </c>
      <c r="T122" s="159" t="str">
        <f t="shared" si="20"/>
        <v/>
      </c>
      <c r="U122" s="159" t="str">
        <f t="shared" si="21"/>
        <v/>
      </c>
      <c r="V122" s="159" t="str">
        <f>סיווג!Z122</f>
        <v/>
      </c>
      <c r="W122" s="8" t="str">
        <f t="shared" si="22"/>
        <v/>
      </c>
      <c r="X122" s="8">
        <v>1</v>
      </c>
      <c r="Y122" s="8" t="str">
        <f t="shared" si="23"/>
        <v/>
      </c>
      <c r="Z122" s="123" t="str">
        <f t="shared" si="24"/>
        <v/>
      </c>
      <c r="AA122" s="192">
        <f t="shared" si="25"/>
        <v>0</v>
      </c>
      <c r="AB122" s="192" t="str">
        <f t="shared" si="17"/>
        <v/>
      </c>
      <c r="AC122" s="192" t="str">
        <f t="shared" si="17"/>
        <v/>
      </c>
      <c r="AE122" s="192">
        <f t="shared" si="26"/>
        <v>0</v>
      </c>
    </row>
    <row r="123" spans="2:31" x14ac:dyDescent="0.25">
      <c r="B123" s="7" t="str">
        <f t="shared" si="18"/>
        <v/>
      </c>
      <c r="C123" s="4"/>
      <c r="D123" s="4"/>
      <c r="E123" s="4"/>
      <c r="F123" s="230" t="str">
        <f>IF('תנאי סף'!AO123&lt;&gt;1,"",'תנאי סף'!F123)</f>
        <v/>
      </c>
      <c r="G123" s="159" t="str">
        <f>IF($F123="","",'תנאי סף'!Z123)</f>
        <v/>
      </c>
      <c r="H123" s="6"/>
      <c r="I123" s="6"/>
      <c r="J123" s="5"/>
      <c r="K123" s="6"/>
      <c r="L123" s="5"/>
      <c r="M123" s="6"/>
      <c r="N123" s="6"/>
      <c r="O123" s="158"/>
      <c r="P123" s="177"/>
      <c r="Q123" s="8"/>
      <c r="R123" s="8"/>
      <c r="S123" s="159" t="str">
        <f t="shared" si="19"/>
        <v/>
      </c>
      <c r="T123" s="159" t="str">
        <f t="shared" si="20"/>
        <v/>
      </c>
      <c r="U123" s="159" t="str">
        <f t="shared" si="21"/>
        <v/>
      </c>
      <c r="V123" s="159" t="str">
        <f>סיווג!Z123</f>
        <v/>
      </c>
      <c r="W123" s="8" t="str">
        <f t="shared" si="22"/>
        <v/>
      </c>
      <c r="X123" s="8">
        <v>1</v>
      </c>
      <c r="Y123" s="8" t="str">
        <f t="shared" si="23"/>
        <v/>
      </c>
      <c r="Z123" s="123" t="str">
        <f t="shared" si="24"/>
        <v/>
      </c>
      <c r="AA123" s="192">
        <f t="shared" si="25"/>
        <v>0</v>
      </c>
      <c r="AB123" s="192" t="str">
        <f t="shared" si="17"/>
        <v/>
      </c>
      <c r="AC123" s="192" t="str">
        <f t="shared" si="17"/>
        <v/>
      </c>
      <c r="AE123" s="192">
        <f t="shared" si="26"/>
        <v>0</v>
      </c>
    </row>
    <row r="124" spans="2:31" x14ac:dyDescent="0.25">
      <c r="B124" s="7" t="str">
        <f t="shared" si="18"/>
        <v/>
      </c>
      <c r="C124" s="4"/>
      <c r="D124" s="4"/>
      <c r="E124" s="4"/>
      <c r="F124" s="230" t="str">
        <f>IF('תנאי סף'!AO124&lt;&gt;1,"",'תנאי סף'!F124)</f>
        <v/>
      </c>
      <c r="G124" s="159" t="str">
        <f>IF($F124="","",'תנאי סף'!Z124)</f>
        <v/>
      </c>
      <c r="H124" s="6"/>
      <c r="I124" s="6"/>
      <c r="J124" s="5"/>
      <c r="K124" s="6"/>
      <c r="L124" s="5"/>
      <c r="M124" s="6"/>
      <c r="N124" s="6"/>
      <c r="O124" s="158"/>
      <c r="P124" s="177"/>
      <c r="Q124" s="8"/>
      <c r="R124" s="8"/>
      <c r="S124" s="159" t="str">
        <f t="shared" si="19"/>
        <v/>
      </c>
      <c r="T124" s="159" t="str">
        <f t="shared" si="20"/>
        <v/>
      </c>
      <c r="U124" s="159" t="str">
        <f t="shared" si="21"/>
        <v/>
      </c>
      <c r="V124" s="159" t="str">
        <f>סיווג!Z124</f>
        <v/>
      </c>
      <c r="W124" s="8" t="str">
        <f t="shared" si="22"/>
        <v/>
      </c>
      <c r="X124" s="8">
        <v>1</v>
      </c>
      <c r="Y124" s="8" t="str">
        <f t="shared" si="23"/>
        <v/>
      </c>
      <c r="Z124" s="123" t="str">
        <f t="shared" si="24"/>
        <v/>
      </c>
      <c r="AA124" s="192">
        <f t="shared" si="25"/>
        <v>0</v>
      </c>
      <c r="AB124" s="192" t="str">
        <f t="shared" si="17"/>
        <v/>
      </c>
      <c r="AC124" s="192" t="str">
        <f t="shared" si="17"/>
        <v/>
      </c>
      <c r="AE124" s="192">
        <f t="shared" si="26"/>
        <v>0</v>
      </c>
    </row>
    <row r="125" spans="2:31" x14ac:dyDescent="0.25">
      <c r="B125" s="7" t="str">
        <f t="shared" si="18"/>
        <v/>
      </c>
      <c r="C125" s="4"/>
      <c r="D125" s="4"/>
      <c r="E125" s="4"/>
      <c r="F125" s="230" t="str">
        <f>IF('תנאי סף'!AO125&lt;&gt;1,"",'תנאי סף'!F125)</f>
        <v/>
      </c>
      <c r="G125" s="159" t="str">
        <f>IF($F125="","",'תנאי סף'!Z125)</f>
        <v/>
      </c>
      <c r="H125" s="6"/>
      <c r="I125" s="6"/>
      <c r="J125" s="5"/>
      <c r="K125" s="6"/>
      <c r="L125" s="5"/>
      <c r="M125" s="6"/>
      <c r="N125" s="6"/>
      <c r="O125" s="158"/>
      <c r="P125" s="177"/>
      <c r="Q125" s="8"/>
      <c r="R125" s="8"/>
      <c r="S125" s="159" t="str">
        <f t="shared" si="19"/>
        <v/>
      </c>
      <c r="T125" s="159" t="str">
        <f t="shared" si="20"/>
        <v/>
      </c>
      <c r="U125" s="159" t="str">
        <f t="shared" si="21"/>
        <v/>
      </c>
      <c r="V125" s="159" t="str">
        <f>סיווג!Z125</f>
        <v/>
      </c>
      <c r="W125" s="8" t="str">
        <f t="shared" si="22"/>
        <v/>
      </c>
      <c r="X125" s="8">
        <v>1</v>
      </c>
      <c r="Y125" s="8" t="str">
        <f t="shared" si="23"/>
        <v/>
      </c>
      <c r="Z125" s="123" t="str">
        <f t="shared" si="24"/>
        <v/>
      </c>
      <c r="AA125" s="192">
        <f t="shared" si="25"/>
        <v>0</v>
      </c>
      <c r="AB125" s="192" t="str">
        <f t="shared" si="17"/>
        <v/>
      </c>
      <c r="AC125" s="192" t="str">
        <f t="shared" si="17"/>
        <v/>
      </c>
      <c r="AE125" s="192">
        <f t="shared" si="26"/>
        <v>0</v>
      </c>
    </row>
    <row r="126" spans="2:31" x14ac:dyDescent="0.25">
      <c r="B126" s="7" t="str">
        <f t="shared" si="18"/>
        <v/>
      </c>
      <c r="C126" s="4"/>
      <c r="D126" s="4"/>
      <c r="E126" s="4"/>
      <c r="F126" s="230" t="str">
        <f>IF('תנאי סף'!AO126&lt;&gt;1,"",'תנאי סף'!F126)</f>
        <v/>
      </c>
      <c r="G126" s="159" t="str">
        <f>IF($F126="","",'תנאי סף'!Z126)</f>
        <v/>
      </c>
      <c r="H126" s="6"/>
      <c r="I126" s="6"/>
      <c r="J126" s="5"/>
      <c r="K126" s="6"/>
      <c r="L126" s="5"/>
      <c r="M126" s="6"/>
      <c r="N126" s="6"/>
      <c r="O126" s="158"/>
      <c r="P126" s="177"/>
      <c r="Q126" s="8"/>
      <c r="R126" s="8"/>
      <c r="S126" s="159" t="str">
        <f t="shared" si="19"/>
        <v/>
      </c>
      <c r="T126" s="159" t="str">
        <f t="shared" si="20"/>
        <v/>
      </c>
      <c r="U126" s="159" t="str">
        <f t="shared" si="21"/>
        <v/>
      </c>
      <c r="V126" s="159" t="str">
        <f>סיווג!Z126</f>
        <v/>
      </c>
      <c r="W126" s="8" t="str">
        <f t="shared" si="22"/>
        <v/>
      </c>
      <c r="X126" s="8">
        <v>1</v>
      </c>
      <c r="Y126" s="8" t="str">
        <f t="shared" si="23"/>
        <v/>
      </c>
      <c r="Z126" s="123" t="str">
        <f t="shared" si="24"/>
        <v/>
      </c>
      <c r="AA126" s="192">
        <f t="shared" si="25"/>
        <v>0</v>
      </c>
      <c r="AB126" s="192" t="str">
        <f t="shared" si="17"/>
        <v/>
      </c>
      <c r="AC126" s="192" t="str">
        <f t="shared" si="17"/>
        <v/>
      </c>
      <c r="AE126" s="192">
        <f t="shared" si="26"/>
        <v>0</v>
      </c>
    </row>
    <row r="127" spans="2:31" x14ac:dyDescent="0.25">
      <c r="B127" s="7" t="str">
        <f t="shared" si="18"/>
        <v/>
      </c>
      <c r="C127" s="4"/>
      <c r="D127" s="4"/>
      <c r="E127" s="4"/>
      <c r="F127" s="230" t="str">
        <f>IF('תנאי סף'!AO127&lt;&gt;1,"",'תנאי סף'!F127)</f>
        <v/>
      </c>
      <c r="G127" s="159" t="str">
        <f>IF($F127="","",'תנאי סף'!Z127)</f>
        <v/>
      </c>
      <c r="H127" s="6"/>
      <c r="I127" s="6"/>
      <c r="J127" s="5"/>
      <c r="K127" s="6"/>
      <c r="L127" s="5"/>
      <c r="M127" s="6"/>
      <c r="N127" s="6"/>
      <c r="O127" s="158"/>
      <c r="P127" s="177"/>
      <c r="Q127" s="8"/>
      <c r="R127" s="8"/>
      <c r="S127" s="159" t="str">
        <f t="shared" si="19"/>
        <v/>
      </c>
      <c r="T127" s="159" t="str">
        <f t="shared" si="20"/>
        <v/>
      </c>
      <c r="U127" s="159" t="str">
        <f t="shared" si="21"/>
        <v/>
      </c>
      <c r="V127" s="159" t="str">
        <f>סיווג!Z127</f>
        <v/>
      </c>
      <c r="W127" s="8" t="str">
        <f t="shared" si="22"/>
        <v/>
      </c>
      <c r="X127" s="8">
        <v>1</v>
      </c>
      <c r="Y127" s="8" t="str">
        <f t="shared" si="23"/>
        <v/>
      </c>
      <c r="Z127" s="123" t="str">
        <f t="shared" si="24"/>
        <v/>
      </c>
      <c r="AA127" s="192">
        <f t="shared" si="25"/>
        <v>0</v>
      </c>
      <c r="AB127" s="192" t="str">
        <f t="shared" si="17"/>
        <v/>
      </c>
      <c r="AC127" s="192" t="str">
        <f t="shared" si="17"/>
        <v/>
      </c>
      <c r="AE127" s="192">
        <f t="shared" si="26"/>
        <v>0</v>
      </c>
    </row>
    <row r="128" spans="2:31" x14ac:dyDescent="0.25">
      <c r="B128" s="7" t="str">
        <f t="shared" si="18"/>
        <v/>
      </c>
      <c r="C128" s="4"/>
      <c r="D128" s="4"/>
      <c r="E128" s="4"/>
      <c r="F128" s="230" t="str">
        <f>IF('תנאי סף'!AO128&lt;&gt;1,"",'תנאי סף'!F128)</f>
        <v/>
      </c>
      <c r="G128" s="159" t="str">
        <f>IF($F128="","",'תנאי סף'!Z128)</f>
        <v/>
      </c>
      <c r="H128" s="6"/>
      <c r="I128" s="6"/>
      <c r="J128" s="5"/>
      <c r="K128" s="6"/>
      <c r="L128" s="5"/>
      <c r="M128" s="6"/>
      <c r="N128" s="6"/>
      <c r="O128" s="158"/>
      <c r="P128" s="177"/>
      <c r="Q128" s="8"/>
      <c r="R128" s="8"/>
      <c r="S128" s="159" t="str">
        <f t="shared" si="19"/>
        <v/>
      </c>
      <c r="T128" s="159" t="str">
        <f t="shared" si="20"/>
        <v/>
      </c>
      <c r="U128" s="159" t="str">
        <f t="shared" si="21"/>
        <v/>
      </c>
      <c r="V128" s="159" t="str">
        <f>סיווג!Z128</f>
        <v/>
      </c>
      <c r="W128" s="8" t="str">
        <f t="shared" si="22"/>
        <v/>
      </c>
      <c r="X128" s="8">
        <v>1</v>
      </c>
      <c r="Y128" s="8" t="str">
        <f t="shared" si="23"/>
        <v/>
      </c>
      <c r="Z128" s="123" t="str">
        <f t="shared" si="24"/>
        <v/>
      </c>
      <c r="AA128" s="192">
        <f t="shared" si="25"/>
        <v>0</v>
      </c>
      <c r="AB128" s="192" t="str">
        <f t="shared" si="17"/>
        <v/>
      </c>
      <c r="AC128" s="192" t="str">
        <f t="shared" si="17"/>
        <v/>
      </c>
      <c r="AE128" s="192">
        <f t="shared" si="26"/>
        <v>0</v>
      </c>
    </row>
    <row r="129" spans="2:31" x14ac:dyDescent="0.25">
      <c r="B129" s="7" t="str">
        <f t="shared" si="18"/>
        <v/>
      </c>
      <c r="C129" s="4"/>
      <c r="D129" s="4"/>
      <c r="E129" s="4"/>
      <c r="F129" s="230" t="str">
        <f>IF('תנאי סף'!AO129&lt;&gt;1,"",'תנאי סף'!F129)</f>
        <v/>
      </c>
      <c r="G129" s="159" t="str">
        <f>IF($F129="","",'תנאי סף'!Z129)</f>
        <v/>
      </c>
      <c r="H129" s="6"/>
      <c r="I129" s="6"/>
      <c r="J129" s="5"/>
      <c r="K129" s="6"/>
      <c r="L129" s="5"/>
      <c r="M129" s="6"/>
      <c r="N129" s="6"/>
      <c r="O129" s="158"/>
      <c r="P129" s="177"/>
      <c r="Q129" s="8"/>
      <c r="R129" s="8"/>
      <c r="S129" s="159" t="str">
        <f t="shared" si="19"/>
        <v/>
      </c>
      <c r="T129" s="159" t="str">
        <f t="shared" si="20"/>
        <v/>
      </c>
      <c r="U129" s="159" t="str">
        <f t="shared" si="21"/>
        <v/>
      </c>
      <c r="V129" s="159" t="str">
        <f>סיווג!Z129</f>
        <v/>
      </c>
      <c r="W129" s="8" t="str">
        <f t="shared" si="22"/>
        <v/>
      </c>
      <c r="X129" s="8">
        <v>1</v>
      </c>
      <c r="Y129" s="8" t="str">
        <f t="shared" si="23"/>
        <v/>
      </c>
      <c r="Z129" s="123" t="str">
        <f t="shared" si="24"/>
        <v/>
      </c>
      <c r="AA129" s="192">
        <f t="shared" si="25"/>
        <v>0</v>
      </c>
      <c r="AB129" s="192" t="str">
        <f t="shared" si="17"/>
        <v/>
      </c>
      <c r="AC129" s="192" t="str">
        <f t="shared" si="17"/>
        <v/>
      </c>
      <c r="AE129" s="192">
        <f t="shared" si="26"/>
        <v>0</v>
      </c>
    </row>
    <row r="130" spans="2:31" ht="16.5" thickBot="1" x14ac:dyDescent="0.3">
      <c r="B130" s="7" t="str">
        <f t="shared" si="18"/>
        <v/>
      </c>
      <c r="C130" s="4"/>
      <c r="D130" s="4"/>
      <c r="E130" s="4"/>
      <c r="F130" s="230" t="str">
        <f>IF('תנאי סף'!AO130&lt;&gt;1,"",'תנאי סף'!F130)</f>
        <v/>
      </c>
      <c r="G130" s="159" t="str">
        <f>IF($F130="","",'תנאי סף'!Z130)</f>
        <v/>
      </c>
      <c r="H130" s="6"/>
      <c r="I130" s="6"/>
      <c r="J130" s="5"/>
      <c r="K130" s="6"/>
      <c r="L130" s="5"/>
      <c r="M130" s="6"/>
      <c r="N130" s="6"/>
      <c r="O130" s="158"/>
      <c r="P130" s="177"/>
      <c r="Q130" s="8"/>
      <c r="R130" s="8"/>
      <c r="S130" s="159" t="str">
        <f t="shared" si="19"/>
        <v/>
      </c>
      <c r="T130" s="159" t="str">
        <f t="shared" si="20"/>
        <v/>
      </c>
      <c r="U130" s="159" t="str">
        <f t="shared" si="21"/>
        <v/>
      </c>
      <c r="V130" s="159" t="str">
        <f>סיווג!Z130</f>
        <v/>
      </c>
      <c r="W130" s="8" t="str">
        <f t="shared" si="22"/>
        <v/>
      </c>
      <c r="X130" s="8">
        <v>1</v>
      </c>
      <c r="Y130" s="8" t="str">
        <f t="shared" si="23"/>
        <v/>
      </c>
      <c r="Z130" s="123" t="str">
        <f t="shared" si="24"/>
        <v/>
      </c>
      <c r="AA130" s="192">
        <f t="shared" si="25"/>
        <v>0</v>
      </c>
      <c r="AB130" s="192" t="str">
        <f t="shared" si="17"/>
        <v/>
      </c>
      <c r="AC130" s="192" t="str">
        <f t="shared" si="17"/>
        <v/>
      </c>
      <c r="AE130" s="192">
        <f t="shared" si="26"/>
        <v>0</v>
      </c>
    </row>
    <row r="131" spans="2:31" ht="19.5" thickBot="1" x14ac:dyDescent="0.35">
      <c r="B131" s="555" t="s">
        <v>77</v>
      </c>
      <c r="C131" s="556"/>
      <c r="D131" s="556"/>
      <c r="E131" s="556"/>
      <c r="F131" s="557"/>
      <c r="G131" s="9">
        <f>SUM(G31:G130)</f>
        <v>617</v>
      </c>
      <c r="H131" s="9">
        <f>SUM(H31:H130)</f>
        <v>119</v>
      </c>
      <c r="I131" s="9">
        <f t="shared" ref="I131:Z131" si="27">SUM(I31:I130)</f>
        <v>0</v>
      </c>
      <c r="J131" s="9">
        <f t="shared" si="27"/>
        <v>0</v>
      </c>
      <c r="K131" s="9">
        <f t="shared" si="27"/>
        <v>0</v>
      </c>
      <c r="L131" s="9">
        <f t="shared" si="27"/>
        <v>0</v>
      </c>
      <c r="M131" s="9">
        <f t="shared" si="27"/>
        <v>0</v>
      </c>
      <c r="N131" s="9">
        <f t="shared" si="27"/>
        <v>0</v>
      </c>
      <c r="O131" s="9">
        <f t="shared" si="27"/>
        <v>0</v>
      </c>
      <c r="P131" s="9">
        <f t="shared" si="27"/>
        <v>0</v>
      </c>
      <c r="Q131" s="9">
        <f t="shared" si="27"/>
        <v>0</v>
      </c>
      <c r="R131" s="9">
        <f t="shared" si="27"/>
        <v>0</v>
      </c>
      <c r="S131" s="9">
        <f t="shared" si="27"/>
        <v>617</v>
      </c>
      <c r="T131" s="9">
        <f t="shared" si="27"/>
        <v>33.849999999999994</v>
      </c>
      <c r="U131" s="9">
        <f>SUM(U31:U130)</f>
        <v>650.84999999999991</v>
      </c>
      <c r="V131" s="9">
        <f t="shared" si="27"/>
        <v>28.5</v>
      </c>
      <c r="W131" s="9">
        <f t="shared" si="27"/>
        <v>553.19500000000005</v>
      </c>
      <c r="X131" s="9">
        <f t="shared" si="27"/>
        <v>100</v>
      </c>
      <c r="Y131" s="9">
        <f t="shared" si="27"/>
        <v>553.19500000000005</v>
      </c>
      <c r="Z131" s="125">
        <f t="shared" si="27"/>
        <v>0.99999999999999956</v>
      </c>
      <c r="AD131" s="193"/>
    </row>
    <row r="132" spans="2:31" x14ac:dyDescent="0.25">
      <c r="AD132" s="193"/>
    </row>
    <row r="133" spans="2:31" x14ac:dyDescent="0.25">
      <c r="AD133" s="193"/>
    </row>
    <row r="134" spans="2:31" x14ac:dyDescent="0.25">
      <c r="AD134" s="193"/>
    </row>
    <row r="135" spans="2:31" x14ac:dyDescent="0.25">
      <c r="AD135" s="193"/>
    </row>
    <row r="136" spans="2:31" x14ac:dyDescent="0.25">
      <c r="AD136" s="193"/>
    </row>
    <row r="137" spans="2:31" x14ac:dyDescent="0.25">
      <c r="AD137" s="193"/>
    </row>
    <row r="138" spans="2:31" x14ac:dyDescent="0.25">
      <c r="AD138" s="193"/>
    </row>
    <row r="139" spans="2:31" x14ac:dyDescent="0.25">
      <c r="AD139" s="193"/>
    </row>
    <row r="140" spans="2:31" x14ac:dyDescent="0.25">
      <c r="AD140" s="193"/>
    </row>
    <row r="141" spans="2:31" x14ac:dyDescent="0.25">
      <c r="AD141" s="193"/>
    </row>
    <row r="142" spans="2:31" x14ac:dyDescent="0.25">
      <c r="AD142" s="193"/>
    </row>
    <row r="143" spans="2:31" x14ac:dyDescent="0.25">
      <c r="AD143" s="193"/>
    </row>
    <row r="144" spans="2:31"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8aUjCBfx9MdB/BtI6/p3e3Cnu3LNXNbyFCq482nIAwIzeR8zmzlEmKf8Aul+lOLkEZoWLd39PausNOODSoAGrw==" saltValue="vgQsF39hzYPH3x67L3pMhg==" spinCount="100000" sheet="1" scenarios="1" formatCells="0" formatColumns="0" formatRows="0" autoFilter="0"/>
  <mergeCells count="18">
    <mergeCell ref="Y29:Y30"/>
    <mergeCell ref="B1:Z1"/>
    <mergeCell ref="U29:U30"/>
    <mergeCell ref="V29:V30"/>
    <mergeCell ref="W29:W30"/>
    <mergeCell ref="C29:C30"/>
    <mergeCell ref="E29:E30"/>
    <mergeCell ref="D29:D30"/>
    <mergeCell ref="B29:B30"/>
    <mergeCell ref="F29:F30"/>
    <mergeCell ref="Z29:Z30"/>
    <mergeCell ref="T29:T30"/>
    <mergeCell ref="G29:G30"/>
    <mergeCell ref="B131:F131"/>
    <mergeCell ref="Q29:Q30"/>
    <mergeCell ref="R29:R30"/>
    <mergeCell ref="S29:S30"/>
    <mergeCell ref="X29:X30"/>
  </mergeCells>
  <conditionalFormatting sqref="B31:G130">
    <cfRule type="expression" dxfId="168" priority="17">
      <formula>B$30&lt;&gt;""</formula>
    </cfRule>
  </conditionalFormatting>
  <conditionalFormatting sqref="B31:Z72">
    <cfRule type="expression" dxfId="167" priority="11" stopIfTrue="1">
      <formula>AND($F31="",B31&lt;&gt;"")</formula>
    </cfRule>
    <cfRule type="expression" dxfId="166" priority="12">
      <formula>$F31=""</formula>
    </cfRule>
  </conditionalFormatting>
  <conditionalFormatting sqref="B73:Z130">
    <cfRule type="expression" dxfId="165" priority="5" stopIfTrue="1">
      <formula>AND($F73="",B73&lt;&gt;"")</formula>
    </cfRule>
    <cfRule type="expression" dxfId="164" priority="6">
      <formula>$F73=""</formula>
    </cfRule>
  </conditionalFormatting>
  <conditionalFormatting sqref="H31:H72">
    <cfRule type="expression" dxfId="163" priority="8">
      <formula>$F31=""</formula>
    </cfRule>
    <cfRule type="expression" dxfId="162" priority="9">
      <formula>H$30&lt;&gt;""</formula>
    </cfRule>
  </conditionalFormatting>
  <conditionalFormatting sqref="H73">
    <cfRule type="expression" dxfId="161" priority="1" stopIfTrue="1">
      <formula>AND($F73="",H73&lt;&gt;"")</formula>
    </cfRule>
    <cfRule type="expression" dxfId="160" priority="2">
      <formula>$F73=""</formula>
    </cfRule>
    <cfRule type="expression" dxfId="159" priority="3">
      <formula>H$30&lt;&gt;""</formula>
    </cfRule>
  </conditionalFormatting>
  <conditionalFormatting sqref="H31:R72">
    <cfRule type="expression" dxfId="158" priority="7" stopIfTrue="1">
      <formula>AND($F31="",H31&lt;&gt;"")</formula>
    </cfRule>
  </conditionalFormatting>
  <conditionalFormatting sqref="I31:R73 H74:R130">
    <cfRule type="expression" dxfId="157" priority="42">
      <formula>H$30&lt;&gt;""</formula>
    </cfRule>
  </conditionalFormatting>
  <conditionalFormatting sqref="I31:R73">
    <cfRule type="expression" dxfId="156" priority="41">
      <formula>$F31=""</formula>
    </cfRule>
  </conditionalFormatting>
  <conditionalFormatting sqref="S31:Z130">
    <cfRule type="expression" dxfId="155" priority="13">
      <formula>S$30&lt;&gt;""</formula>
    </cfRule>
  </conditionalFormatting>
  <dataValidations count="8">
    <dataValidation type="whole" operator="notBetween" allowBlank="1" showInputMessage="1" showErrorMessage="1" errorTitle="נתון שגוי." error="ניתן להזין רק מספר שלם" sqref="I31:I130" xr:uid="{00000000-0002-0000-0600-000000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600-000001000000}">
      <formula1>0</formula1>
    </dataValidation>
    <dataValidation type="whole" operator="greaterThanOrEqual" allowBlank="1" showInputMessage="1" showErrorMessage="1" errorTitle="נתון שגוי." error="ניתן להזין רק מספר שלם גדול או שווה ל-0." sqref="K31:K130 H31:H130" xr:uid="{00000000-0002-0000-0600-000002000000}">
      <formula1>0</formula1>
    </dataValidation>
    <dataValidation type="decimal" operator="greaterThan" allowBlank="1" showInputMessage="1" showErrorMessage="1" errorTitle="נתון שגוי." error="ניתן להזין רק מספר גדול מ-0" sqref="L31:L130" xr:uid="{00000000-0002-0000-0600-000003000000}">
      <formula1>0</formula1>
    </dataValidation>
    <dataValidation type="whole" operator="greaterThan" allowBlank="1" showInputMessage="1" showErrorMessage="1" errorTitle="נתון שגוי." error="ניתן להזין רק מספר שלם גדול מ-0" sqref="M31:M130" xr:uid="{00000000-0002-0000-0600-000004000000}">
      <formula1>0</formula1>
    </dataValidation>
    <dataValidation type="list" allowBlank="1" showInputMessage="1" showErrorMessage="1" sqref="H30:P30" xr:uid="{00000000-0002-0000-06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600-000006000000}">
      <formula1>$AB31:$AC31</formula1>
    </dataValidation>
    <dataValidation type="list" allowBlank="1" showInputMessage="1" showErrorMessage="1" errorTitle="נתון לא מרשימה" error="יש לבחור מתוך הרשימה הסגורה בלבד" sqref="O31:O130" xr:uid="{00000000-0002-0000-0600-000007000000}">
      <formula1>OFFSET($BA31,0,0,1,COUNTA($BA31:$BJ31))</formula1>
    </dataValidation>
  </dataValidations>
  <printOptions horizontalCentered="1"/>
  <pageMargins left="0.34" right="0.28000000000000003" top="0.57999999999999996" bottom="0.49" header="0.31496062992125984" footer="0.17"/>
  <pageSetup paperSize="9" scale="30"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8" operator="containsText" id="{728AEE07-9C7D-4227-A572-CD16AAE96B68}">
            <xm:f>NOT(ISERROR(SEARCH($AB$1,B31)))</xm:f>
            <xm:f>$AB$1</xm:f>
            <x14:dxf>
              <fill>
                <patternFill>
                  <bgColor rgb="FFFF0000"/>
                </patternFill>
              </fill>
            </x14:dxf>
          </x14:cfRule>
          <xm:sqref>B31:G130</xm:sqref>
        </x14:conditionalFormatting>
        <x14:conditionalFormatting xmlns:xm="http://schemas.microsoft.com/office/excel/2006/main">
          <x14:cfRule type="containsText" priority="10" operator="containsText" id="{191D136F-AC54-4E1C-948D-488550DAC39A}">
            <xm:f>NOT(ISERROR(SEARCH($AB$1,H31)))</xm:f>
            <xm:f>$AB$1</xm:f>
            <x14:dxf>
              <fill>
                <patternFill>
                  <bgColor rgb="FFFF0000"/>
                </patternFill>
              </fill>
            </x14:dxf>
          </x14:cfRule>
          <xm:sqref>H31:H72</xm:sqref>
        </x14:conditionalFormatting>
        <x14:conditionalFormatting xmlns:xm="http://schemas.microsoft.com/office/excel/2006/main">
          <x14:cfRule type="containsText" priority="4" operator="containsText" id="{FF40722E-FB9D-4A27-BD13-72E14F06A998}">
            <xm:f>NOT(ISERROR(SEARCH($AB$1,H73)))</xm:f>
            <xm:f>$AB$1</xm:f>
            <x14:dxf>
              <fill>
                <patternFill>
                  <bgColor rgb="FFFF0000"/>
                </patternFill>
              </fill>
            </x14:dxf>
          </x14:cfRule>
          <xm:sqref>H73</xm:sqref>
        </x14:conditionalFormatting>
        <x14:conditionalFormatting xmlns:xm="http://schemas.microsoft.com/office/excel/2006/main">
          <x14:cfRule type="containsText" priority="43" operator="containsText" id="{F5E971BF-13D2-4FE2-8FB6-3B36D5EA4EA6}">
            <xm:f>NOT(ISERROR(SEARCH($AB$1,H31)))</xm:f>
            <xm:f>$AB$1</xm:f>
            <x14:dxf>
              <fill>
                <patternFill>
                  <bgColor rgb="FFFF0000"/>
                </patternFill>
              </fill>
            </x14:dxf>
          </x14:cfRule>
          <xm:sqref>I31:R73 H74:R130</xm:sqref>
        </x14:conditionalFormatting>
        <x14:conditionalFormatting xmlns:xm="http://schemas.microsoft.com/office/excel/2006/main">
          <x14:cfRule type="containsText" priority="14" operator="containsText" id="{03D245F4-4E6B-48A7-ABFE-A1EC58DFFDB4}">
            <xm:f>NOT(ISERROR(SEARCH($AB$1,S31)))</xm:f>
            <xm:f>$AB$1</xm:f>
            <x14:dxf>
              <fill>
                <patternFill>
                  <bgColor rgb="FFFF0000"/>
                </patternFill>
              </fill>
            </x14:dxf>
          </x14:cfRule>
          <xm:sqref>S31:Z130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orksheet______5">
    <tabColor theme="4" tint="-0.249977111117893"/>
  </sheetPr>
  <dimension ref="A1:BJ180"/>
  <sheetViews>
    <sheetView rightToLeft="1" view="pageBreakPreview" zoomScale="115" zoomScaleNormal="100" zoomScaleSheetLayoutView="115" workbookViewId="0">
      <pane xSplit="6" ySplit="30" topLeftCell="G31" activePane="bottomRight" state="frozen"/>
      <selection pane="topRight" activeCell="G58" sqref="G58"/>
      <selection pane="bottomLeft" activeCell="G58" sqref="G58"/>
      <selection pane="bottomRight" activeCell="G31" sqref="G3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26.85546875" style="193" customWidth="1"/>
    <col min="7" max="7" width="15" style="193" customWidth="1"/>
    <col min="8" max="8" width="33.28515625" style="193" customWidth="1"/>
    <col min="9" max="19" width="21.42578125" style="193" hidden="1" customWidth="1"/>
    <col min="20" max="20" width="17.5703125" style="193" hidden="1" customWidth="1"/>
    <col min="21" max="21" width="13" style="193" customWidth="1"/>
    <col min="22" max="23" width="21.42578125" style="193" customWidth="1"/>
    <col min="24" max="25" width="21.42578125" style="193" hidden="1" customWidth="1"/>
    <col min="26" max="26" width="15.5703125" style="193"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1" customHeight="1" thickBot="1" x14ac:dyDescent="0.3">
      <c r="B1" s="534" t="str">
        <f ca="1">MID(CELL("filename",AC2),FIND("]",CELL("filename",AC2),1)+1,99)</f>
        <v>מספר מבצעים בתשלום</v>
      </c>
      <c r="C1" s="536"/>
      <c r="D1" s="536"/>
      <c r="E1" s="536"/>
      <c r="F1" s="536"/>
      <c r="G1" s="536"/>
      <c r="H1" s="536"/>
      <c r="I1" s="536"/>
      <c r="J1" s="536"/>
      <c r="K1" s="536"/>
      <c r="L1" s="536"/>
      <c r="M1" s="536"/>
      <c r="N1" s="536"/>
      <c r="O1" s="536"/>
      <c r="P1" s="536"/>
      <c r="Q1" s="536"/>
      <c r="R1" s="536"/>
      <c r="S1" s="536"/>
      <c r="T1" s="536"/>
      <c r="U1" s="536"/>
      <c r="V1" s="536"/>
      <c r="W1" s="536"/>
      <c r="X1" s="536"/>
      <c r="Y1" s="536"/>
      <c r="Z1" s="536"/>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W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0</v>
      </c>
    </row>
    <row r="3" spans="2:52" ht="19.5" thickBot="1" x14ac:dyDescent="0.3">
      <c r="W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לקריטריונים'!B81</f>
        <v>סעיף</v>
      </c>
      <c r="G4" s="406" t="str">
        <f>'פרמטרים לקריטריונים'!C81</f>
        <v>ניקוד</v>
      </c>
      <c r="AD4" s="192" t="s">
        <v>128</v>
      </c>
      <c r="AE4" s="234">
        <v>1</v>
      </c>
      <c r="AF4" s="235">
        <v>2</v>
      </c>
      <c r="AG4" s="235">
        <v>3</v>
      </c>
      <c r="AH4" s="235">
        <v>4</v>
      </c>
      <c r="AI4" s="235">
        <v>5</v>
      </c>
      <c r="AJ4" s="235">
        <v>6</v>
      </c>
      <c r="AK4" s="235">
        <v>7</v>
      </c>
      <c r="AL4" s="235">
        <v>8</v>
      </c>
      <c r="AM4" s="235">
        <v>9</v>
      </c>
      <c r="AN4" s="236">
        <v>10</v>
      </c>
    </row>
    <row r="5" spans="2:52" x14ac:dyDescent="0.25">
      <c r="F5" s="407" t="str">
        <f>'פרמטרים לקריטריונים'!B82</f>
        <v>בעד כל מבצע</v>
      </c>
      <c r="G5" s="411">
        <f>'פרמטרים לקריטריונים'!C82</f>
        <v>1</v>
      </c>
    </row>
    <row r="7" spans="2:52" ht="15" hidden="1" customHeight="1" x14ac:dyDescent="0.25"/>
    <row r="8" spans="2:52" ht="15" hidden="1" customHeight="1" x14ac:dyDescent="0.25"/>
    <row r="9" spans="2:52" ht="15" hidden="1" customHeight="1" x14ac:dyDescent="0.25"/>
    <row r="10" spans="2:52" ht="15" hidden="1" customHeight="1" x14ac:dyDescent="0.25"/>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62" ht="15" hidden="1" customHeight="1" x14ac:dyDescent="0.25"/>
    <row r="18" spans="1:62" ht="15" hidden="1" customHeight="1" x14ac:dyDescent="0.25"/>
    <row r="19" spans="1:62" ht="15" hidden="1" customHeight="1" x14ac:dyDescent="0.25"/>
    <row r="20" spans="1:62" ht="15" hidden="1" customHeight="1" x14ac:dyDescent="0.25"/>
    <row r="21" spans="1:62" ht="9.75" hidden="1" customHeight="1" x14ac:dyDescent="0.25"/>
    <row r="22" spans="1:62" ht="15" hidden="1" customHeight="1" x14ac:dyDescent="0.25"/>
    <row r="23" spans="1:62" x14ac:dyDescent="0.25">
      <c r="F23" s="410" t="str">
        <f>'פרמטרים לקריטריונים'!$D$31</f>
        <v>החלת מקדם תלוי משתנה</v>
      </c>
      <c r="G23" s="411">
        <f ca="1">VLOOKUP(B1,'פרמטרים לקריטריונים'!$B$32:$D$46,3,0)</f>
        <v>1</v>
      </c>
    </row>
    <row r="24" spans="1:62" ht="15" hidden="1" customHeight="1" x14ac:dyDescent="0.25"/>
    <row r="25" spans="1:62" ht="15" hidden="1" customHeight="1" x14ac:dyDescent="0.25"/>
    <row r="26" spans="1:62" ht="15" hidden="1" customHeight="1" x14ac:dyDescent="0.25">
      <c r="F26" s="3"/>
      <c r="G26" s="3"/>
      <c r="H26" s="3"/>
      <c r="I26" s="3"/>
      <c r="J26" s="3"/>
      <c r="K26" s="3"/>
      <c r="L26" s="3"/>
      <c r="M26" s="3"/>
      <c r="N26" s="3"/>
      <c r="O26" s="3"/>
      <c r="P26" s="3"/>
      <c r="Q26" s="3"/>
      <c r="R26" s="3"/>
      <c r="S26" s="3"/>
      <c r="T26" s="3"/>
      <c r="U26" s="3"/>
      <c r="V26" s="3"/>
      <c r="W26" s="3"/>
      <c r="X26" s="3"/>
      <c r="Y26" s="3"/>
    </row>
    <row r="27" spans="1:62" ht="15" hidden="1" customHeight="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62" ht="16.5"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167"/>
      <c r="AD28" s="192" t="e">
        <f>MATCH(G$30,$AE$1:$AM$1,0)</f>
        <v>#N/A</v>
      </c>
      <c r="AE28" s="192">
        <f t="shared" ref="AE28:AV28" si="0">MATCH(H$30,$AE$1:$AM$1,0)</f>
        <v>5</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48" thickBot="1" x14ac:dyDescent="0.3">
      <c r="A29" s="221">
        <v>100</v>
      </c>
      <c r="B29" s="544" t="s">
        <v>132</v>
      </c>
      <c r="C29" s="546">
        <f>COLUMN()</f>
        <v>3</v>
      </c>
      <c r="D29" s="546">
        <f>COLUMN()</f>
        <v>4</v>
      </c>
      <c r="E29" s="546">
        <f>COLUMN()</f>
        <v>5</v>
      </c>
      <c r="F29" s="542" t="s">
        <v>133</v>
      </c>
      <c r="G29" s="542" t="str">
        <f>'תנאי סף'!O29</f>
        <v>סך מספר המבצעים בקבוצה</v>
      </c>
      <c r="H29" s="239" t="s">
        <v>200</v>
      </c>
      <c r="I29" s="232" t="s">
        <v>201</v>
      </c>
      <c r="J29" s="232" t="s">
        <v>202</v>
      </c>
      <c r="K29" s="232" t="s">
        <v>203</v>
      </c>
      <c r="L29" s="232" t="s">
        <v>204</v>
      </c>
      <c r="M29" s="232" t="s">
        <v>205</v>
      </c>
      <c r="N29" s="232" t="s">
        <v>206</v>
      </c>
      <c r="O29" s="232" t="s">
        <v>207</v>
      </c>
      <c r="P29" s="232" t="s">
        <v>117</v>
      </c>
      <c r="Q29" s="546">
        <f>COLUMN()</f>
        <v>17</v>
      </c>
      <c r="R29" s="546">
        <f>COLUMN()</f>
        <v>18</v>
      </c>
      <c r="S29" s="546">
        <f>COLUMN()</f>
        <v>19</v>
      </c>
      <c r="T29" s="546">
        <f>COLUMN()</f>
        <v>20</v>
      </c>
      <c r="U29" s="542" t="s">
        <v>197</v>
      </c>
      <c r="V29" s="542" t="s">
        <v>193</v>
      </c>
      <c r="W29" s="542" t="s">
        <v>198</v>
      </c>
      <c r="X29" s="546" t="s">
        <v>190</v>
      </c>
      <c r="Y29" s="546" t="s">
        <v>192</v>
      </c>
      <c r="Z29" s="553" t="s">
        <v>199</v>
      </c>
      <c r="AA29" s="224" t="s">
        <v>159</v>
      </c>
      <c r="AD29" s="192" t="str">
        <f>"בקרת "&amp;G29</f>
        <v>בקרת סך מספר המבצעים בקבוצה</v>
      </c>
      <c r="AE29" s="192" t="str">
        <f t="shared" ref="AE29:AV29" si="1">"בקרת "&amp;H29</f>
        <v>בקרת מספר מבצעים שהשתתפו ב-75% לפחות מהרצות הקבוצה בשנת ההערכה</v>
      </c>
      <c r="AF29" s="192" t="str">
        <f t="shared" si="1"/>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 t="shared" si="1"/>
        <v>בקרת 0/1</v>
      </c>
      <c r="AN29" s="192" t="str">
        <f t="shared" si="1"/>
        <v>בקרת 17</v>
      </c>
      <c r="AO29" s="192" t="str">
        <f t="shared" si="1"/>
        <v>בקרת 18</v>
      </c>
      <c r="AP29" s="192" t="str">
        <f t="shared" si="1"/>
        <v>בקרת 19</v>
      </c>
      <c r="AQ29" s="192" t="str">
        <f t="shared" si="1"/>
        <v>בקרת 20</v>
      </c>
      <c r="AR29" s="192" t="str">
        <f t="shared" si="1"/>
        <v>בקרת סה"כ ניקוד</v>
      </c>
      <c r="AS29" s="192" t="str">
        <f t="shared" si="1"/>
        <v>בקרת מקדם גודל</v>
      </c>
      <c r="AT29" s="192" t="str">
        <f t="shared" si="1"/>
        <v>בקרת ניקוד לאחר מקדם גודל</v>
      </c>
      <c r="AU29" s="192" t="str">
        <f t="shared" si="1"/>
        <v>בקרת נתון למכפיל1</v>
      </c>
      <c r="AV29" s="192" t="str">
        <f t="shared" si="1"/>
        <v>בקרת ניקוד לאחר מכפיל2</v>
      </c>
      <c r="BA29" s="192" t="s">
        <v>128</v>
      </c>
    </row>
    <row r="30" spans="1:62" ht="23.25" customHeight="1" thickBot="1" x14ac:dyDescent="0.3">
      <c r="A30" s="225"/>
      <c r="B30" s="545"/>
      <c r="C30" s="547"/>
      <c r="D30" s="547"/>
      <c r="E30" s="547"/>
      <c r="F30" s="543"/>
      <c r="G30" s="550"/>
      <c r="H30" s="353" t="s">
        <v>121</v>
      </c>
      <c r="I30" s="233"/>
      <c r="J30" s="233"/>
      <c r="K30" s="233"/>
      <c r="L30" s="233"/>
      <c r="M30" s="233"/>
      <c r="N30" s="233"/>
      <c r="O30" s="233"/>
      <c r="P30" s="233"/>
      <c r="Q30" s="547"/>
      <c r="R30" s="547"/>
      <c r="S30" s="547"/>
      <c r="T30" s="547"/>
      <c r="U30" s="543"/>
      <c r="V30" s="543"/>
      <c r="W30" s="543"/>
      <c r="X30" s="547"/>
      <c r="Y30" s="547"/>
      <c r="Z30" s="554"/>
      <c r="AB30" s="192">
        <v>0</v>
      </c>
      <c r="AC30" s="192">
        <v>1</v>
      </c>
      <c r="AD30" s="192">
        <f>G30</f>
        <v>0</v>
      </c>
      <c r="AE30" s="192" t="str">
        <f t="shared" ref="AE30:AV30" si="2">H30</f>
        <v>מספר שלם שאינו שלילי</v>
      </c>
      <c r="AF30" s="192">
        <f t="shared" si="2"/>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31.5" customHeight="1" x14ac:dyDescent="0.25">
      <c r="B31" s="160">
        <f>IF(F31="","",ROW()-30)</f>
        <v>1</v>
      </c>
      <c r="C31" s="157"/>
      <c r="D31" s="157"/>
      <c r="E31" s="157"/>
      <c r="F31" s="349" t="str">
        <f>IF('תנאי סף'!AO31&lt;&gt;1,"",'תנאי סף'!F31)</f>
        <v>אנסמבל פרץ אליהו</v>
      </c>
      <c r="G31" s="159">
        <f>IF($F31="","",IF($AA31&lt;&gt;1,$AB$1,'תנאי סף'!O31))</f>
        <v>13</v>
      </c>
      <c r="H31" s="158">
        <v>3</v>
      </c>
      <c r="I31" s="158"/>
      <c r="J31" s="176"/>
      <c r="K31" s="158"/>
      <c r="L31" s="176"/>
      <c r="M31" s="158"/>
      <c r="N31" s="158"/>
      <c r="O31" s="158"/>
      <c r="P31" s="177"/>
      <c r="Q31" s="159"/>
      <c r="R31" s="159"/>
      <c r="S31" s="159"/>
      <c r="T31" s="159"/>
      <c r="U31" s="159">
        <f>IF($F31="","",IF(OR(H31&gt;G31,$AA31&lt;&gt;1),$AB$1,IFERROR(H31*$G$5,$AB$1)))</f>
        <v>3</v>
      </c>
      <c r="V31" s="159">
        <f>סיווג!Z31</f>
        <v>1</v>
      </c>
      <c r="W31" s="159">
        <f>IF($F31="","",IF($AA31&lt;&gt;1,$AB$1,IFERROR(U31*V31,$AB$1)))</f>
        <v>3</v>
      </c>
      <c r="X31" s="159">
        <v>1</v>
      </c>
      <c r="Y31" s="159">
        <f>IF($F31="","",IF($AA31&lt;&gt;1,$AB$1,IFERROR(W31*X31,$AB$1)))</f>
        <v>3</v>
      </c>
      <c r="Z31" s="343">
        <f>IF($F31="","",IF(OR($AA31&lt;&gt;1,Y31=$AB$1),$AB$1,IFERROR(Y31/SUM($Y$31:$Y$130),0)))</f>
        <v>2.4271844660194174E-2</v>
      </c>
      <c r="AA31" s="192">
        <f>IF(SUM(AD31:AV31)=COUNT(AD31:AV31),1,0)</f>
        <v>1</v>
      </c>
      <c r="AB31" s="192">
        <f>IF($F31="","",AB$30)</f>
        <v>0</v>
      </c>
      <c r="AC31" s="192">
        <f>IF($F31="","",AC$30)</f>
        <v>1</v>
      </c>
      <c r="BA31" s="192">
        <f>IF($F31="","",BA$30)</f>
        <v>1</v>
      </c>
      <c r="BB31" s="192">
        <f t="shared" ref="BB31:BJ31" si="4">IF($F31="","",BB$30)</f>
        <v>2</v>
      </c>
      <c r="BC31" s="192">
        <f t="shared" si="4"/>
        <v>3</v>
      </c>
      <c r="BD31" s="192">
        <f t="shared" si="4"/>
        <v>4</v>
      </c>
      <c r="BE31" s="192">
        <f t="shared" si="4"/>
        <v>5</v>
      </c>
      <c r="BF31" s="192">
        <f t="shared" si="4"/>
        <v>6</v>
      </c>
      <c r="BG31" s="192">
        <f t="shared" si="4"/>
        <v>7</v>
      </c>
      <c r="BH31" s="192">
        <f t="shared" si="4"/>
        <v>8</v>
      </c>
      <c r="BI31" s="192">
        <f t="shared" si="4"/>
        <v>9</v>
      </c>
      <c r="BJ31" s="192">
        <f t="shared" si="4"/>
        <v>10</v>
      </c>
    </row>
    <row r="32" spans="1:62" ht="31.5" customHeight="1" x14ac:dyDescent="0.25">
      <c r="B32" s="242" t="str">
        <f t="shared" ref="B32:B95" si="5">IF(F32="","",ROW()-30)</f>
        <v/>
      </c>
      <c r="C32" s="4"/>
      <c r="D32" s="4"/>
      <c r="E32" s="4"/>
      <c r="F32" s="350" t="str">
        <f>IF('תנאי סף'!AO32&lt;&gt;1,"",'תנאי סף'!F32)</f>
        <v/>
      </c>
      <c r="G32" s="159" t="str">
        <f>IF($F32="","",IF($AA32&lt;&gt;1,$AB$1,'תנאי סף'!O32))</f>
        <v/>
      </c>
      <c r="H32" s="6"/>
      <c r="I32" s="6"/>
      <c r="J32" s="5"/>
      <c r="K32" s="6"/>
      <c r="L32" s="5"/>
      <c r="M32" s="6"/>
      <c r="N32" s="6"/>
      <c r="O32" s="158"/>
      <c r="P32" s="177"/>
      <c r="Q32" s="8"/>
      <c r="R32" s="8"/>
      <c r="S32" s="8"/>
      <c r="T32" s="8"/>
      <c r="U32" s="159" t="str">
        <f t="shared" ref="U32:U95" si="6">IF($F32="","",IF(OR(H32&gt;G32,$AA32&lt;&gt;1),$AB$1,IFERROR(H32*$G$5,$AB$1)))</f>
        <v/>
      </c>
      <c r="V32" s="159" t="str">
        <f>סיווג!Z32</f>
        <v/>
      </c>
      <c r="W32" s="8" t="str">
        <f t="shared" ref="W32:W95" si="7">IF($F32="","",IF($AA32&lt;&gt;1,$AB$1,IFERROR(U32*V32,$AB$1)))</f>
        <v/>
      </c>
      <c r="X32" s="8">
        <v>1</v>
      </c>
      <c r="Y32" s="8" t="str">
        <f t="shared" ref="Y32:Y95" si="8">IF($F32="","",IF($AA32&lt;&gt;1,$AB$1,IFERROR(W32*X32,$AB$1)))</f>
        <v/>
      </c>
      <c r="Z32" s="351" t="str">
        <f t="shared" ref="Z32:Z95" si="9">IF($F32="","",IF(OR($AA32&lt;&gt;1,Y32=$AB$1),$AB$1,IFERROR(Y32/SUM($Y$31:$Y$130),0)))</f>
        <v/>
      </c>
      <c r="AA32" s="192">
        <f t="shared" ref="AA32:AA95" si="10">IF(SUM(AD32:AV32)=COUNT(AD32:AV32),1,0)</f>
        <v>1</v>
      </c>
      <c r="AB32" s="192" t="str">
        <f t="shared" ref="AB32:AC63" si="11">IF($F32="","",AB$30)</f>
        <v/>
      </c>
      <c r="AC32" s="192" t="str">
        <f t="shared" si="11"/>
        <v/>
      </c>
    </row>
    <row r="33" spans="2:29" ht="31.5" customHeight="1" x14ac:dyDescent="0.25">
      <c r="B33" s="242" t="str">
        <f t="shared" si="5"/>
        <v/>
      </c>
      <c r="C33" s="4"/>
      <c r="D33" s="4"/>
      <c r="E33" s="4"/>
      <c r="F33" s="350" t="str">
        <f>IF('תנאי סף'!AO33&lt;&gt;1,"",'תנאי סף'!F33)</f>
        <v/>
      </c>
      <c r="G33" s="159" t="str">
        <f>IF($F33="","",IF($AA33&lt;&gt;1,$AB$1,'תנאי סף'!O33))</f>
        <v/>
      </c>
      <c r="H33" s="6"/>
      <c r="I33" s="6"/>
      <c r="J33" s="5"/>
      <c r="K33" s="6"/>
      <c r="L33" s="5"/>
      <c r="M33" s="6"/>
      <c r="N33" s="6"/>
      <c r="O33" s="158"/>
      <c r="P33" s="177"/>
      <c r="Q33" s="8"/>
      <c r="R33" s="8"/>
      <c r="S33" s="8"/>
      <c r="T33" s="8"/>
      <c r="U33" s="159" t="str">
        <f t="shared" si="6"/>
        <v/>
      </c>
      <c r="V33" s="159" t="str">
        <f>סיווג!Z33</f>
        <v/>
      </c>
      <c r="W33" s="8" t="str">
        <f t="shared" si="7"/>
        <v/>
      </c>
      <c r="X33" s="8">
        <v>1</v>
      </c>
      <c r="Y33" s="8" t="str">
        <f t="shared" si="8"/>
        <v/>
      </c>
      <c r="Z33" s="351" t="str">
        <f t="shared" si="9"/>
        <v/>
      </c>
      <c r="AA33" s="192">
        <f t="shared" si="10"/>
        <v>1</v>
      </c>
      <c r="AB33" s="192" t="str">
        <f t="shared" si="11"/>
        <v/>
      </c>
      <c r="AC33" s="192" t="str">
        <f t="shared" si="11"/>
        <v/>
      </c>
    </row>
    <row r="34" spans="2:29" ht="31.5" customHeight="1" x14ac:dyDescent="0.25">
      <c r="B34" s="242">
        <f t="shared" si="5"/>
        <v>4</v>
      </c>
      <c r="C34" s="4"/>
      <c r="D34" s="4"/>
      <c r="E34" s="4"/>
      <c r="F34" s="350" t="str">
        <f>IF('תנאי סף'!AO34&lt;&gt;1,"",'תנאי סף'!F34)</f>
        <v>יניב ד'אור - אנסמבל נאיה</v>
      </c>
      <c r="G34" s="159">
        <f>IF($F34="","",IF($AA34&lt;&gt;1,$AB$1,'תנאי סף'!O34))</f>
        <v>7</v>
      </c>
      <c r="H34" s="6">
        <v>7</v>
      </c>
      <c r="I34" s="6"/>
      <c r="J34" s="5"/>
      <c r="K34" s="6"/>
      <c r="L34" s="5"/>
      <c r="M34" s="6"/>
      <c r="N34" s="6"/>
      <c r="O34" s="158"/>
      <c r="P34" s="177"/>
      <c r="Q34" s="8"/>
      <c r="R34" s="8"/>
      <c r="S34" s="8"/>
      <c r="T34" s="8"/>
      <c r="U34" s="159">
        <f t="shared" si="6"/>
        <v>7</v>
      </c>
      <c r="V34" s="159">
        <f>סיווג!Z34</f>
        <v>0.8</v>
      </c>
      <c r="W34" s="8">
        <f t="shared" si="7"/>
        <v>5.6000000000000005</v>
      </c>
      <c r="X34" s="8">
        <v>1</v>
      </c>
      <c r="Y34" s="8">
        <f t="shared" si="8"/>
        <v>5.6000000000000005</v>
      </c>
      <c r="Z34" s="351">
        <f t="shared" si="9"/>
        <v>4.5307443365695796E-2</v>
      </c>
      <c r="AA34" s="192">
        <f t="shared" si="10"/>
        <v>1</v>
      </c>
      <c r="AB34" s="192">
        <f t="shared" si="11"/>
        <v>0</v>
      </c>
      <c r="AC34" s="192">
        <f t="shared" si="11"/>
        <v>1</v>
      </c>
    </row>
    <row r="35" spans="2:29" ht="31.5" customHeight="1" x14ac:dyDescent="0.25">
      <c r="B35" s="242" t="str">
        <f t="shared" si="5"/>
        <v/>
      </c>
      <c r="C35" s="4"/>
      <c r="D35" s="4"/>
      <c r="E35" s="4"/>
      <c r="F35" s="350" t="str">
        <f>IF('תנאי סף'!AO35&lt;&gt;1,"",'תנאי סף'!F35)</f>
        <v/>
      </c>
      <c r="G35" s="159" t="str">
        <f>IF($F35="","",IF($AA35&lt;&gt;1,$AB$1,'תנאי סף'!O35))</f>
        <v/>
      </c>
      <c r="H35" s="6"/>
      <c r="I35" s="6"/>
      <c r="J35" s="5"/>
      <c r="K35" s="6"/>
      <c r="L35" s="5"/>
      <c r="M35" s="6"/>
      <c r="N35" s="6"/>
      <c r="O35" s="158"/>
      <c r="P35" s="177"/>
      <c r="Q35" s="8"/>
      <c r="R35" s="8"/>
      <c r="S35" s="8"/>
      <c r="T35" s="8"/>
      <c r="U35" s="159" t="str">
        <f t="shared" si="6"/>
        <v/>
      </c>
      <c r="V35" s="159" t="str">
        <f>סיווג!Z35</f>
        <v/>
      </c>
      <c r="W35" s="8" t="str">
        <f t="shared" si="7"/>
        <v/>
      </c>
      <c r="X35" s="8">
        <v>1</v>
      </c>
      <c r="Y35" s="8" t="str">
        <f t="shared" si="8"/>
        <v/>
      </c>
      <c r="Z35" s="351" t="str">
        <f t="shared" si="9"/>
        <v/>
      </c>
      <c r="AA35" s="192">
        <f t="shared" si="10"/>
        <v>1</v>
      </c>
      <c r="AB35" s="192" t="str">
        <f t="shared" si="11"/>
        <v/>
      </c>
      <c r="AC35" s="192" t="str">
        <f t="shared" si="11"/>
        <v/>
      </c>
    </row>
    <row r="36" spans="2:29" ht="31.5" customHeight="1" x14ac:dyDescent="0.25">
      <c r="B36" s="242">
        <f t="shared" si="5"/>
        <v>6</v>
      </c>
      <c r="C36" s="4"/>
      <c r="D36" s="4"/>
      <c r="E36" s="4"/>
      <c r="F36" s="350" t="str">
        <f>IF('תנאי סף'!AO36&lt;&gt;1,"",'תנאי סף'!F36)</f>
        <v>הפרויקט הקאמרי הישראלי</v>
      </c>
      <c r="G36" s="159">
        <f>IF($F36="","",IF($AA36&lt;&gt;1,$AB$1,'תנאי סף'!O36))</f>
        <v>18</v>
      </c>
      <c r="H36" s="6">
        <v>3</v>
      </c>
      <c r="I36" s="6"/>
      <c r="J36" s="5"/>
      <c r="K36" s="6"/>
      <c r="L36" s="5"/>
      <c r="M36" s="6"/>
      <c r="N36" s="6"/>
      <c r="O36" s="158"/>
      <c r="P36" s="177"/>
      <c r="Q36" s="8"/>
      <c r="R36" s="8"/>
      <c r="S36" s="8"/>
      <c r="T36" s="8"/>
      <c r="U36" s="159">
        <f t="shared" si="6"/>
        <v>3</v>
      </c>
      <c r="V36" s="159">
        <f>סיווג!Z36</f>
        <v>1</v>
      </c>
      <c r="W36" s="8">
        <f t="shared" si="7"/>
        <v>3</v>
      </c>
      <c r="X36" s="8">
        <v>1</v>
      </c>
      <c r="Y36" s="8">
        <f t="shared" si="8"/>
        <v>3</v>
      </c>
      <c r="Z36" s="351">
        <f t="shared" si="9"/>
        <v>2.4271844660194174E-2</v>
      </c>
      <c r="AA36" s="192">
        <f t="shared" si="10"/>
        <v>1</v>
      </c>
      <c r="AB36" s="192">
        <f t="shared" si="11"/>
        <v>0</v>
      </c>
      <c r="AC36" s="192">
        <f t="shared" si="11"/>
        <v>1</v>
      </c>
    </row>
    <row r="37" spans="2:29" ht="31.5" customHeight="1" x14ac:dyDescent="0.25">
      <c r="B37" s="242">
        <f t="shared" si="5"/>
        <v>7</v>
      </c>
      <c r="C37" s="4"/>
      <c r="D37" s="4"/>
      <c r="E37" s="4"/>
      <c r="F37" s="350" t="str">
        <f>IF('תנאי סף'!AO37&lt;&gt;1,"",'תנאי סף'!F37)</f>
        <v>מארש דונדורמה</v>
      </c>
      <c r="G37" s="159">
        <f>IF($F37="","",IF($AA37&lt;&gt;1,$AB$1,'תנאי סף'!O37))</f>
        <v>17</v>
      </c>
      <c r="H37" s="6">
        <v>13</v>
      </c>
      <c r="I37" s="6"/>
      <c r="J37" s="5"/>
      <c r="K37" s="6"/>
      <c r="L37" s="5"/>
      <c r="M37" s="6"/>
      <c r="N37" s="6"/>
      <c r="O37" s="158"/>
      <c r="P37" s="177"/>
      <c r="Q37" s="8"/>
      <c r="R37" s="8"/>
      <c r="S37" s="8"/>
      <c r="T37" s="8"/>
      <c r="U37" s="159">
        <f t="shared" si="6"/>
        <v>13</v>
      </c>
      <c r="V37" s="159">
        <f>סיווג!Z37</f>
        <v>1</v>
      </c>
      <c r="W37" s="8">
        <f t="shared" si="7"/>
        <v>13</v>
      </c>
      <c r="X37" s="8">
        <v>1</v>
      </c>
      <c r="Y37" s="8">
        <f t="shared" si="8"/>
        <v>13</v>
      </c>
      <c r="Z37" s="351">
        <f t="shared" si="9"/>
        <v>0.10517799352750809</v>
      </c>
      <c r="AA37" s="192">
        <f t="shared" si="10"/>
        <v>1</v>
      </c>
      <c r="AB37" s="192">
        <f t="shared" si="11"/>
        <v>0</v>
      </c>
      <c r="AC37" s="192">
        <f t="shared" si="11"/>
        <v>1</v>
      </c>
    </row>
    <row r="38" spans="2:29" ht="31.5" customHeight="1" x14ac:dyDescent="0.25">
      <c r="B38" s="242">
        <f t="shared" si="5"/>
        <v>8</v>
      </c>
      <c r="C38" s="4"/>
      <c r="D38" s="4"/>
      <c r="E38" s="4"/>
      <c r="F38" s="350" t="str">
        <f>IF('תנאי סף'!AO38&lt;&gt;1,"",'תנאי סף'!F38)</f>
        <v>להקת מורין נהדר</v>
      </c>
      <c r="G38" s="159">
        <f>IF($F38="","",IF($AA38&lt;&gt;1,$AB$1,'תנאי סף'!O38))</f>
        <v>11</v>
      </c>
      <c r="H38" s="6">
        <v>1</v>
      </c>
      <c r="I38" s="6"/>
      <c r="J38" s="5"/>
      <c r="K38" s="6"/>
      <c r="L38" s="5"/>
      <c r="M38" s="6"/>
      <c r="N38" s="6"/>
      <c r="O38" s="158"/>
      <c r="P38" s="177"/>
      <c r="Q38" s="8"/>
      <c r="R38" s="8"/>
      <c r="S38" s="8"/>
      <c r="T38" s="8"/>
      <c r="U38" s="159">
        <f t="shared" si="6"/>
        <v>1</v>
      </c>
      <c r="V38" s="159">
        <f>סיווג!Z38</f>
        <v>0.5</v>
      </c>
      <c r="W38" s="8">
        <f t="shared" si="7"/>
        <v>0.5</v>
      </c>
      <c r="X38" s="8">
        <v>1</v>
      </c>
      <c r="Y38" s="8">
        <f t="shared" si="8"/>
        <v>0.5</v>
      </c>
      <c r="Z38" s="351">
        <f t="shared" si="9"/>
        <v>4.0453074433656963E-3</v>
      </c>
      <c r="AA38" s="192">
        <f t="shared" si="10"/>
        <v>1</v>
      </c>
      <c r="AB38" s="192">
        <f t="shared" si="11"/>
        <v>0</v>
      </c>
      <c r="AC38" s="192">
        <f t="shared" si="11"/>
        <v>1</v>
      </c>
    </row>
    <row r="39" spans="2:29" ht="31.5" customHeight="1" x14ac:dyDescent="0.25">
      <c r="B39" s="242" t="str">
        <f t="shared" si="5"/>
        <v/>
      </c>
      <c r="C39" s="4"/>
      <c r="D39" s="4"/>
      <c r="E39" s="4"/>
      <c r="F39" s="350" t="str">
        <f>IF('תנאי סף'!AO39&lt;&gt;1,"",'תנאי סף'!F39)</f>
        <v/>
      </c>
      <c r="G39" s="159" t="str">
        <f>IF($F39="","",IF($AA39&lt;&gt;1,$AB$1,'תנאי סף'!O39))</f>
        <v/>
      </c>
      <c r="H39" s="6"/>
      <c r="I39" s="6"/>
      <c r="J39" s="5"/>
      <c r="K39" s="6"/>
      <c r="L39" s="5"/>
      <c r="M39" s="6"/>
      <c r="N39" s="6"/>
      <c r="O39" s="158"/>
      <c r="P39" s="177"/>
      <c r="Q39" s="8"/>
      <c r="R39" s="8"/>
      <c r="S39" s="8"/>
      <c r="T39" s="8"/>
      <c r="U39" s="159" t="str">
        <f t="shared" si="6"/>
        <v/>
      </c>
      <c r="V39" s="159" t="str">
        <f>סיווג!Z39</f>
        <v/>
      </c>
      <c r="W39" s="8" t="str">
        <f t="shared" si="7"/>
        <v/>
      </c>
      <c r="X39" s="8">
        <v>1</v>
      </c>
      <c r="Y39" s="8" t="str">
        <f t="shared" si="8"/>
        <v/>
      </c>
      <c r="Z39" s="351" t="str">
        <f t="shared" si="9"/>
        <v/>
      </c>
      <c r="AA39" s="192">
        <f t="shared" si="10"/>
        <v>1</v>
      </c>
      <c r="AB39" s="192" t="str">
        <f t="shared" si="11"/>
        <v/>
      </c>
      <c r="AC39" s="192" t="str">
        <f t="shared" si="11"/>
        <v/>
      </c>
    </row>
    <row r="40" spans="2:29" ht="31.5" customHeight="1" x14ac:dyDescent="0.25">
      <c r="B40" s="243">
        <f t="shared" si="5"/>
        <v>10</v>
      </c>
      <c r="C40" s="365"/>
      <c r="D40" s="365"/>
      <c r="E40" s="365"/>
      <c r="F40" s="366" t="str">
        <f>IF('תנאי סף'!AO40&lt;&gt;1,"",'תנאי סף'!F40)</f>
        <v>אנסמבל גלעד אפרת</v>
      </c>
      <c r="G40" s="159">
        <f>IF($F40="","",IF($AA40&lt;&gt;1,$AB$1,'תנאי סף'!O40))</f>
        <v>23</v>
      </c>
      <c r="H40" s="367">
        <v>4</v>
      </c>
      <c r="I40" s="367"/>
      <c r="J40" s="368"/>
      <c r="K40" s="367"/>
      <c r="L40" s="368"/>
      <c r="M40" s="367"/>
      <c r="N40" s="367"/>
      <c r="O40" s="412"/>
      <c r="P40" s="413"/>
      <c r="Q40" s="369"/>
      <c r="R40" s="369"/>
      <c r="S40" s="369"/>
      <c r="T40" s="369"/>
      <c r="U40" s="159">
        <f t="shared" si="6"/>
        <v>4</v>
      </c>
      <c r="V40" s="159">
        <f>סיווג!Z40</f>
        <v>1</v>
      </c>
      <c r="W40" s="369">
        <f t="shared" si="7"/>
        <v>4</v>
      </c>
      <c r="X40" s="369">
        <v>1</v>
      </c>
      <c r="Y40" s="369">
        <f t="shared" si="8"/>
        <v>4</v>
      </c>
      <c r="Z40" s="370">
        <f t="shared" si="9"/>
        <v>3.236245954692557E-2</v>
      </c>
      <c r="AA40" s="192">
        <f t="shared" si="10"/>
        <v>1</v>
      </c>
      <c r="AB40" s="192">
        <f t="shared" si="11"/>
        <v>0</v>
      </c>
      <c r="AC40" s="192">
        <f t="shared" si="11"/>
        <v>1</v>
      </c>
    </row>
    <row r="41" spans="2:29" ht="31.5" customHeight="1" x14ac:dyDescent="0.25">
      <c r="B41" s="7">
        <f t="shared" si="5"/>
        <v>11</v>
      </c>
      <c r="C41" s="4"/>
      <c r="D41" s="4"/>
      <c r="E41" s="4"/>
      <c r="F41" s="350" t="str">
        <f>IF('תנאי סף'!AO41&lt;&gt;1,"",'תנאי סף'!F41)</f>
        <v>רביעיית כרמל</v>
      </c>
      <c r="G41" s="159">
        <f>IF($F41="","",IF($AA41&lt;&gt;1,$AB$1,'תנאי סף'!O41))</f>
        <v>10</v>
      </c>
      <c r="H41" s="6">
        <v>4</v>
      </c>
      <c r="I41" s="6"/>
      <c r="J41" s="5"/>
      <c r="K41" s="6"/>
      <c r="L41" s="5"/>
      <c r="M41" s="6"/>
      <c r="N41" s="6"/>
      <c r="O41" s="158"/>
      <c r="P41" s="177"/>
      <c r="Q41" s="8"/>
      <c r="R41" s="8"/>
      <c r="S41" s="8"/>
      <c r="T41" s="8"/>
      <c r="U41" s="159">
        <f t="shared" si="6"/>
        <v>4</v>
      </c>
      <c r="V41" s="159">
        <f>סיווג!Z41</f>
        <v>1</v>
      </c>
      <c r="W41" s="8">
        <f t="shared" si="7"/>
        <v>4</v>
      </c>
      <c r="X41" s="8">
        <v>1</v>
      </c>
      <c r="Y41" s="8">
        <f t="shared" si="8"/>
        <v>4</v>
      </c>
      <c r="Z41" s="352">
        <f t="shared" si="9"/>
        <v>3.236245954692557E-2</v>
      </c>
      <c r="AA41" s="192">
        <f t="shared" si="10"/>
        <v>1</v>
      </c>
      <c r="AB41" s="192">
        <f t="shared" si="11"/>
        <v>0</v>
      </c>
      <c r="AC41" s="192">
        <f t="shared" si="11"/>
        <v>1</v>
      </c>
    </row>
    <row r="42" spans="2:29" ht="31.5" customHeight="1" x14ac:dyDescent="0.25">
      <c r="B42" s="7">
        <f t="shared" si="5"/>
        <v>12</v>
      </c>
      <c r="C42" s="4"/>
      <c r="D42" s="4"/>
      <c r="E42" s="4"/>
      <c r="F42" s="350" t="str">
        <f>IF('תנאי סף'!AO42&lt;&gt;1,"",'תנאי סף'!F42)</f>
        <v>שורולה</v>
      </c>
      <c r="G42" s="159">
        <f>IF($F42="","",IF($AA42&lt;&gt;1,$AB$1,'תנאי סף'!O42))</f>
        <v>11</v>
      </c>
      <c r="H42" s="6">
        <v>5</v>
      </c>
      <c r="I42" s="6"/>
      <c r="J42" s="5"/>
      <c r="K42" s="6"/>
      <c r="L42" s="5"/>
      <c r="M42" s="6"/>
      <c r="N42" s="6"/>
      <c r="O42" s="158"/>
      <c r="P42" s="177"/>
      <c r="Q42" s="8"/>
      <c r="R42" s="8"/>
      <c r="S42" s="8"/>
      <c r="T42" s="8"/>
      <c r="U42" s="159">
        <f t="shared" si="6"/>
        <v>5</v>
      </c>
      <c r="V42" s="159">
        <f>סיווג!Z42</f>
        <v>0.5</v>
      </c>
      <c r="W42" s="8">
        <f t="shared" si="7"/>
        <v>2.5</v>
      </c>
      <c r="X42" s="8">
        <v>1</v>
      </c>
      <c r="Y42" s="8">
        <f t="shared" si="8"/>
        <v>2.5</v>
      </c>
      <c r="Z42" s="352">
        <f t="shared" si="9"/>
        <v>2.0226537216828482E-2</v>
      </c>
      <c r="AA42" s="192">
        <f t="shared" si="10"/>
        <v>1</v>
      </c>
      <c r="AB42" s="192">
        <f t="shared" si="11"/>
        <v>0</v>
      </c>
      <c r="AC42" s="192">
        <f t="shared" si="11"/>
        <v>1</v>
      </c>
    </row>
    <row r="43" spans="2:29" ht="31.5" customHeight="1" x14ac:dyDescent="0.25">
      <c r="B43" s="7" t="str">
        <f t="shared" si="5"/>
        <v/>
      </c>
      <c r="C43" s="4"/>
      <c r="D43" s="4"/>
      <c r="E43" s="4"/>
      <c r="F43" s="350" t="str">
        <f>IF('תנאי סף'!AO43&lt;&gt;1,"",'תנאי סף'!F43)</f>
        <v/>
      </c>
      <c r="G43" s="159" t="str">
        <f>IF($F43="","",IF($AA43&lt;&gt;1,$AB$1,'תנאי סף'!O43))</f>
        <v/>
      </c>
      <c r="H43" s="6"/>
      <c r="I43" s="6"/>
      <c r="J43" s="5"/>
      <c r="K43" s="6"/>
      <c r="L43" s="5"/>
      <c r="M43" s="6"/>
      <c r="N43" s="6"/>
      <c r="O43" s="158"/>
      <c r="P43" s="177"/>
      <c r="Q43" s="8"/>
      <c r="R43" s="8"/>
      <c r="S43" s="8"/>
      <c r="T43" s="8"/>
      <c r="U43" s="159" t="str">
        <f t="shared" si="6"/>
        <v/>
      </c>
      <c r="V43" s="159" t="str">
        <f>סיווג!Z43</f>
        <v/>
      </c>
      <c r="W43" s="8" t="str">
        <f t="shared" si="7"/>
        <v/>
      </c>
      <c r="X43" s="8">
        <v>1</v>
      </c>
      <c r="Y43" s="8" t="str">
        <f t="shared" si="8"/>
        <v/>
      </c>
      <c r="Z43" s="352" t="str">
        <f t="shared" si="9"/>
        <v/>
      </c>
      <c r="AA43" s="192">
        <f t="shared" si="10"/>
        <v>1</v>
      </c>
      <c r="AB43" s="192" t="str">
        <f t="shared" si="11"/>
        <v/>
      </c>
      <c r="AC43" s="192" t="str">
        <f t="shared" si="11"/>
        <v/>
      </c>
    </row>
    <row r="44" spans="2:29" ht="31.5" customHeight="1" x14ac:dyDescent="0.25">
      <c r="B44" s="7" t="str">
        <f t="shared" si="5"/>
        <v/>
      </c>
      <c r="C44" s="4"/>
      <c r="D44" s="4"/>
      <c r="E44" s="4"/>
      <c r="F44" s="350" t="str">
        <f>IF('תנאי סף'!AO44&lt;&gt;1,"",'תנאי סף'!F44)</f>
        <v/>
      </c>
      <c r="G44" s="159" t="str">
        <f>IF($F44="","",IF($AA44&lt;&gt;1,$AB$1,'תנאי סף'!O44))</f>
        <v/>
      </c>
      <c r="H44" s="6"/>
      <c r="I44" s="6"/>
      <c r="J44" s="5"/>
      <c r="K44" s="6"/>
      <c r="L44" s="5"/>
      <c r="M44" s="6"/>
      <c r="N44" s="6"/>
      <c r="O44" s="158"/>
      <c r="P44" s="177"/>
      <c r="Q44" s="8"/>
      <c r="R44" s="8"/>
      <c r="S44" s="8"/>
      <c r="T44" s="8"/>
      <c r="U44" s="159" t="str">
        <f t="shared" si="6"/>
        <v/>
      </c>
      <c r="V44" s="159" t="str">
        <f>סיווג!Z44</f>
        <v/>
      </c>
      <c r="W44" s="8" t="str">
        <f t="shared" si="7"/>
        <v/>
      </c>
      <c r="X44" s="8">
        <v>1</v>
      </c>
      <c r="Y44" s="8" t="str">
        <f t="shared" si="8"/>
        <v/>
      </c>
      <c r="Z44" s="352" t="str">
        <f t="shared" si="9"/>
        <v/>
      </c>
      <c r="AA44" s="192">
        <f t="shared" si="10"/>
        <v>1</v>
      </c>
      <c r="AB44" s="192" t="str">
        <f t="shared" si="11"/>
        <v/>
      </c>
      <c r="AC44" s="192" t="str">
        <f t="shared" si="11"/>
        <v/>
      </c>
    </row>
    <row r="45" spans="2:29" ht="31.5" customHeight="1" x14ac:dyDescent="0.25">
      <c r="B45" s="7" t="str">
        <f t="shared" si="5"/>
        <v/>
      </c>
      <c r="C45" s="4"/>
      <c r="D45" s="4"/>
      <c r="E45" s="4"/>
      <c r="F45" s="350" t="str">
        <f>IF('תנאי סף'!AO45&lt;&gt;1,"",'תנאי סף'!F45)</f>
        <v/>
      </c>
      <c r="G45" s="159" t="str">
        <f>IF($F45="","",IF($AA45&lt;&gt;1,$AB$1,'תנאי סף'!O45))</f>
        <v/>
      </c>
      <c r="H45" s="6"/>
      <c r="I45" s="6"/>
      <c r="J45" s="5"/>
      <c r="K45" s="6"/>
      <c r="L45" s="5"/>
      <c r="M45" s="6"/>
      <c r="N45" s="6"/>
      <c r="O45" s="158"/>
      <c r="P45" s="177"/>
      <c r="Q45" s="8"/>
      <c r="R45" s="8"/>
      <c r="S45" s="8"/>
      <c r="T45" s="8"/>
      <c r="U45" s="159" t="str">
        <f t="shared" si="6"/>
        <v/>
      </c>
      <c r="V45" s="159" t="str">
        <f>סיווג!Z45</f>
        <v/>
      </c>
      <c r="W45" s="8" t="str">
        <f t="shared" si="7"/>
        <v/>
      </c>
      <c r="X45" s="8">
        <v>1</v>
      </c>
      <c r="Y45" s="8" t="str">
        <f t="shared" si="8"/>
        <v/>
      </c>
      <c r="Z45" s="352" t="str">
        <f t="shared" si="9"/>
        <v/>
      </c>
      <c r="AA45" s="192">
        <f t="shared" si="10"/>
        <v>1</v>
      </c>
      <c r="AB45" s="192" t="str">
        <f t="shared" si="11"/>
        <v/>
      </c>
      <c r="AC45" s="192" t="str">
        <f t="shared" si="11"/>
        <v/>
      </c>
    </row>
    <row r="46" spans="2:29" ht="31.5" customHeight="1" x14ac:dyDescent="0.25">
      <c r="B46" s="7" t="str">
        <f t="shared" si="5"/>
        <v/>
      </c>
      <c r="C46" s="4"/>
      <c r="D46" s="4"/>
      <c r="E46" s="4"/>
      <c r="F46" s="350" t="str">
        <f>IF('תנאי סף'!AO46&lt;&gt;1,"",'תנאי סף'!F46)</f>
        <v/>
      </c>
      <c r="G46" s="159" t="str">
        <f>IF($F46="","",IF($AA46&lt;&gt;1,$AB$1,'תנאי סף'!O46))</f>
        <v/>
      </c>
      <c r="H46" s="6"/>
      <c r="I46" s="6"/>
      <c r="J46" s="5"/>
      <c r="K46" s="6"/>
      <c r="L46" s="5"/>
      <c r="M46" s="6"/>
      <c r="N46" s="6"/>
      <c r="O46" s="158"/>
      <c r="P46" s="177"/>
      <c r="Q46" s="8"/>
      <c r="R46" s="8"/>
      <c r="S46" s="8"/>
      <c r="T46" s="8"/>
      <c r="U46" s="159" t="str">
        <f t="shared" si="6"/>
        <v/>
      </c>
      <c r="V46" s="159" t="str">
        <f>סיווג!Z46</f>
        <v/>
      </c>
      <c r="W46" s="8" t="str">
        <f t="shared" si="7"/>
        <v/>
      </c>
      <c r="X46" s="8">
        <v>1</v>
      </c>
      <c r="Y46" s="8" t="str">
        <f t="shared" si="8"/>
        <v/>
      </c>
      <c r="Z46" s="352" t="str">
        <f t="shared" si="9"/>
        <v/>
      </c>
      <c r="AA46" s="192">
        <f t="shared" si="10"/>
        <v>1</v>
      </c>
      <c r="AB46" s="192" t="str">
        <f t="shared" si="11"/>
        <v/>
      </c>
      <c r="AC46" s="192" t="str">
        <f t="shared" si="11"/>
        <v/>
      </c>
    </row>
    <row r="47" spans="2:29" ht="31.5" customHeight="1" x14ac:dyDescent="0.25">
      <c r="B47" s="7">
        <f t="shared" si="5"/>
        <v>17</v>
      </c>
      <c r="C47" s="4"/>
      <c r="D47" s="4"/>
      <c r="E47" s="4"/>
      <c r="F47" s="350" t="str">
        <f>IF('תנאי סף'!AO47&lt;&gt;1,"",'תנאי סף'!F47)</f>
        <v>הרכב עמית פרידמן</v>
      </c>
      <c r="G47" s="159">
        <f>IF($F47="","",IF($AA47&lt;&gt;1,$AB$1,'תנאי סף'!O47))</f>
        <v>21</v>
      </c>
      <c r="H47" s="6">
        <v>1</v>
      </c>
      <c r="I47" s="6"/>
      <c r="J47" s="5"/>
      <c r="K47" s="6"/>
      <c r="L47" s="5"/>
      <c r="M47" s="6"/>
      <c r="N47" s="6"/>
      <c r="O47" s="158"/>
      <c r="P47" s="177"/>
      <c r="Q47" s="8"/>
      <c r="R47" s="8"/>
      <c r="S47" s="8"/>
      <c r="T47" s="8"/>
      <c r="U47" s="159">
        <f t="shared" si="6"/>
        <v>1</v>
      </c>
      <c r="V47" s="159">
        <f>סיווג!Z47</f>
        <v>0.8</v>
      </c>
      <c r="W47" s="8">
        <f t="shared" si="7"/>
        <v>0.8</v>
      </c>
      <c r="X47" s="8">
        <v>1</v>
      </c>
      <c r="Y47" s="8">
        <f t="shared" si="8"/>
        <v>0.8</v>
      </c>
      <c r="Z47" s="352">
        <f t="shared" si="9"/>
        <v>6.4724919093851136E-3</v>
      </c>
      <c r="AA47" s="192">
        <f t="shared" si="10"/>
        <v>1</v>
      </c>
      <c r="AB47" s="192">
        <f t="shared" si="11"/>
        <v>0</v>
      </c>
      <c r="AC47" s="192">
        <f t="shared" si="11"/>
        <v>1</v>
      </c>
    </row>
    <row r="48" spans="2:29" ht="31.5" customHeight="1" x14ac:dyDescent="0.25">
      <c r="B48" s="7" t="str">
        <f t="shared" si="5"/>
        <v/>
      </c>
      <c r="C48" s="4"/>
      <c r="D48" s="4"/>
      <c r="E48" s="4"/>
      <c r="F48" s="350" t="str">
        <f>IF('תנאי סף'!AO48&lt;&gt;1,"",'תנאי סף'!F48)</f>
        <v/>
      </c>
      <c r="G48" s="159" t="str">
        <f>IF($F48="","",IF($AA48&lt;&gt;1,$AB$1,'תנאי סף'!O48))</f>
        <v/>
      </c>
      <c r="H48" s="6"/>
      <c r="I48" s="6"/>
      <c r="J48" s="5"/>
      <c r="K48" s="6"/>
      <c r="L48" s="5"/>
      <c r="M48" s="6"/>
      <c r="N48" s="6"/>
      <c r="O48" s="158"/>
      <c r="P48" s="177"/>
      <c r="Q48" s="8"/>
      <c r="R48" s="8"/>
      <c r="S48" s="8"/>
      <c r="T48" s="8"/>
      <c r="U48" s="159" t="str">
        <f t="shared" si="6"/>
        <v/>
      </c>
      <c r="V48" s="159" t="str">
        <f>סיווג!Z48</f>
        <v/>
      </c>
      <c r="W48" s="8" t="str">
        <f t="shared" si="7"/>
        <v/>
      </c>
      <c r="X48" s="8">
        <v>1</v>
      </c>
      <c r="Y48" s="8" t="str">
        <f t="shared" si="8"/>
        <v/>
      </c>
      <c r="Z48" s="352" t="str">
        <f t="shared" si="9"/>
        <v/>
      </c>
      <c r="AA48" s="192">
        <f t="shared" si="10"/>
        <v>1</v>
      </c>
      <c r="AB48" s="192" t="str">
        <f t="shared" si="11"/>
        <v/>
      </c>
      <c r="AC48" s="192" t="str">
        <f t="shared" si="11"/>
        <v/>
      </c>
    </row>
    <row r="49" spans="2:29" ht="31.5" customHeight="1" x14ac:dyDescent="0.25">
      <c r="B49" s="7" t="str">
        <f t="shared" si="5"/>
        <v/>
      </c>
      <c r="C49" s="4"/>
      <c r="D49" s="4"/>
      <c r="E49" s="4"/>
      <c r="F49" s="350" t="str">
        <f>IF('תנאי סף'!AO49&lt;&gt;1,"",'תנאי סף'!F49)</f>
        <v/>
      </c>
      <c r="G49" s="159" t="str">
        <f>IF($F49="","",IF($AA49&lt;&gt;1,$AB$1,'תנאי סף'!O49))</f>
        <v/>
      </c>
      <c r="H49" s="6"/>
      <c r="I49" s="6"/>
      <c r="J49" s="5"/>
      <c r="K49" s="6"/>
      <c r="L49" s="5"/>
      <c r="M49" s="6"/>
      <c r="N49" s="6"/>
      <c r="O49" s="158"/>
      <c r="P49" s="177"/>
      <c r="Q49" s="8"/>
      <c r="R49" s="8"/>
      <c r="S49" s="8"/>
      <c r="T49" s="8"/>
      <c r="U49" s="159" t="str">
        <f t="shared" si="6"/>
        <v/>
      </c>
      <c r="V49" s="159" t="str">
        <f>סיווג!Z49</f>
        <v/>
      </c>
      <c r="W49" s="8" t="str">
        <f t="shared" si="7"/>
        <v/>
      </c>
      <c r="X49" s="8">
        <v>1</v>
      </c>
      <c r="Y49" s="8" t="str">
        <f t="shared" si="8"/>
        <v/>
      </c>
      <c r="Z49" s="352" t="str">
        <f t="shared" si="9"/>
        <v/>
      </c>
      <c r="AA49" s="192">
        <f t="shared" si="10"/>
        <v>1</v>
      </c>
      <c r="AB49" s="192" t="str">
        <f t="shared" si="11"/>
        <v/>
      </c>
      <c r="AC49" s="192" t="str">
        <f t="shared" si="11"/>
        <v/>
      </c>
    </row>
    <row r="50" spans="2:29" ht="31.5" customHeight="1" x14ac:dyDescent="0.25">
      <c r="B50" s="7" t="str">
        <f t="shared" si="5"/>
        <v/>
      </c>
      <c r="C50" s="4"/>
      <c r="D50" s="4"/>
      <c r="E50" s="4"/>
      <c r="F50" s="350" t="str">
        <f>IF('תנאי סף'!AO50&lt;&gt;1,"",'תנאי סף'!F50)</f>
        <v/>
      </c>
      <c r="G50" s="159" t="str">
        <f>IF($F50="","",IF($AA50&lt;&gt;1,$AB$1,'תנאי סף'!O50))</f>
        <v/>
      </c>
      <c r="H50" s="6"/>
      <c r="I50" s="6"/>
      <c r="J50" s="5"/>
      <c r="K50" s="6"/>
      <c r="L50" s="5"/>
      <c r="M50" s="6"/>
      <c r="N50" s="6"/>
      <c r="O50" s="158"/>
      <c r="P50" s="177"/>
      <c r="Q50" s="8"/>
      <c r="R50" s="8"/>
      <c r="S50" s="8"/>
      <c r="T50" s="8"/>
      <c r="U50" s="159" t="str">
        <f t="shared" si="6"/>
        <v/>
      </c>
      <c r="V50" s="159" t="str">
        <f>סיווג!Z50</f>
        <v/>
      </c>
      <c r="W50" s="8" t="str">
        <f t="shared" si="7"/>
        <v/>
      </c>
      <c r="X50" s="8">
        <v>1</v>
      </c>
      <c r="Y50" s="8" t="str">
        <f t="shared" si="8"/>
        <v/>
      </c>
      <c r="Z50" s="352" t="str">
        <f t="shared" si="9"/>
        <v/>
      </c>
      <c r="AA50" s="192">
        <f t="shared" si="10"/>
        <v>1</v>
      </c>
      <c r="AB50" s="192" t="str">
        <f t="shared" si="11"/>
        <v/>
      </c>
      <c r="AC50" s="192" t="str">
        <f t="shared" si="11"/>
        <v/>
      </c>
    </row>
    <row r="51" spans="2:29" ht="31.5" customHeight="1" x14ac:dyDescent="0.25">
      <c r="B51" s="7">
        <f t="shared" si="5"/>
        <v>21</v>
      </c>
      <c r="C51" s="4"/>
      <c r="D51" s="4"/>
      <c r="E51" s="4"/>
      <c r="F51" s="350" t="str">
        <f>IF('תנאי סף'!AO51&lt;&gt;1,"",'תנאי סף'!F51)</f>
        <v>חמישיית תל אביב לכלי נשיפה</v>
      </c>
      <c r="G51" s="159">
        <f>IF($F51="","",IF($AA51&lt;&gt;1,$AB$1,'תנאי סף'!O51))</f>
        <v>15</v>
      </c>
      <c r="H51" s="6">
        <v>5</v>
      </c>
      <c r="I51" s="6"/>
      <c r="J51" s="5"/>
      <c r="K51" s="6"/>
      <c r="L51" s="5"/>
      <c r="M51" s="6"/>
      <c r="N51" s="6"/>
      <c r="O51" s="158"/>
      <c r="P51" s="177"/>
      <c r="Q51" s="8"/>
      <c r="R51" s="8"/>
      <c r="S51" s="8"/>
      <c r="T51" s="8"/>
      <c r="U51" s="159">
        <f t="shared" si="6"/>
        <v>5</v>
      </c>
      <c r="V51" s="159">
        <f>סיווג!Z51</f>
        <v>1</v>
      </c>
      <c r="W51" s="8">
        <f t="shared" si="7"/>
        <v>5</v>
      </c>
      <c r="X51" s="8">
        <v>1</v>
      </c>
      <c r="Y51" s="8">
        <f t="shared" si="8"/>
        <v>5</v>
      </c>
      <c r="Z51" s="352">
        <f t="shared" si="9"/>
        <v>4.0453074433656963E-2</v>
      </c>
      <c r="AA51" s="192">
        <f t="shared" si="10"/>
        <v>1</v>
      </c>
      <c r="AB51" s="192">
        <f t="shared" si="11"/>
        <v>0</v>
      </c>
      <c r="AC51" s="192">
        <f t="shared" si="11"/>
        <v>1</v>
      </c>
    </row>
    <row r="52" spans="2:29" ht="31.5" customHeight="1" x14ac:dyDescent="0.25">
      <c r="B52" s="7">
        <f t="shared" si="5"/>
        <v>22</v>
      </c>
      <c r="C52" s="4"/>
      <c r="D52" s="4"/>
      <c r="E52" s="4"/>
      <c r="F52" s="350" t="str">
        <f>IF('תנאי סף'!AO52&lt;&gt;1,"",'תנאי סף'!F52)</f>
        <v>הרכב אקוט</v>
      </c>
      <c r="G52" s="159">
        <f>IF($F52="","",IF($AA52&lt;&gt;1,$AB$1,'תנאי סף'!O52))</f>
        <v>8</v>
      </c>
      <c r="H52" s="6">
        <v>2</v>
      </c>
      <c r="I52" s="6"/>
      <c r="J52" s="5"/>
      <c r="K52" s="6"/>
      <c r="L52" s="5"/>
      <c r="M52" s="6"/>
      <c r="N52" s="6"/>
      <c r="O52" s="158"/>
      <c r="P52" s="177"/>
      <c r="Q52" s="8"/>
      <c r="R52" s="8"/>
      <c r="S52" s="8"/>
      <c r="T52" s="8"/>
      <c r="U52" s="159">
        <f t="shared" si="6"/>
        <v>2</v>
      </c>
      <c r="V52" s="159">
        <f>סיווג!Z52</f>
        <v>1</v>
      </c>
      <c r="W52" s="8">
        <f t="shared" si="7"/>
        <v>2</v>
      </c>
      <c r="X52" s="8">
        <v>1</v>
      </c>
      <c r="Y52" s="8">
        <f t="shared" si="8"/>
        <v>2</v>
      </c>
      <c r="Z52" s="352">
        <f t="shared" si="9"/>
        <v>1.6181229773462785E-2</v>
      </c>
      <c r="AA52" s="192">
        <f t="shared" si="10"/>
        <v>1</v>
      </c>
      <c r="AB52" s="192">
        <f t="shared" si="11"/>
        <v>0</v>
      </c>
      <c r="AC52" s="192">
        <f t="shared" si="11"/>
        <v>1</v>
      </c>
    </row>
    <row r="53" spans="2:29" ht="31.5" customHeight="1" x14ac:dyDescent="0.25">
      <c r="B53" s="7">
        <f t="shared" si="5"/>
        <v>23</v>
      </c>
      <c r="C53" s="4"/>
      <c r="D53" s="4"/>
      <c r="E53" s="4"/>
      <c r="F53" s="350" t="str">
        <f>IF('תנאי סף'!AO53&lt;&gt;1,"",'תנאי סף'!F53)</f>
        <v>שלישיית עתר</v>
      </c>
      <c r="G53" s="159">
        <f>IF($F53="","",IF($AA53&lt;&gt;1,$AB$1,'תנאי סף'!O53))</f>
        <v>3</v>
      </c>
      <c r="H53" s="6">
        <v>3</v>
      </c>
      <c r="I53" s="6"/>
      <c r="J53" s="5"/>
      <c r="K53" s="6"/>
      <c r="L53" s="5"/>
      <c r="M53" s="6"/>
      <c r="N53" s="6"/>
      <c r="O53" s="158"/>
      <c r="P53" s="177"/>
      <c r="Q53" s="8"/>
      <c r="R53" s="8"/>
      <c r="S53" s="8"/>
      <c r="T53" s="8"/>
      <c r="U53" s="159">
        <f t="shared" si="6"/>
        <v>3</v>
      </c>
      <c r="V53" s="159">
        <f>סיווג!Z53</f>
        <v>0.5</v>
      </c>
      <c r="W53" s="8">
        <f t="shared" si="7"/>
        <v>1.5</v>
      </c>
      <c r="X53" s="8">
        <v>1</v>
      </c>
      <c r="Y53" s="8">
        <f t="shared" si="8"/>
        <v>1.5</v>
      </c>
      <c r="Z53" s="352">
        <f t="shared" si="9"/>
        <v>1.2135922330097087E-2</v>
      </c>
      <c r="AA53" s="192">
        <f t="shared" si="10"/>
        <v>1</v>
      </c>
      <c r="AB53" s="192">
        <f t="shared" si="11"/>
        <v>0</v>
      </c>
      <c r="AC53" s="192">
        <f t="shared" si="11"/>
        <v>1</v>
      </c>
    </row>
    <row r="54" spans="2:29" ht="31.5" customHeight="1" x14ac:dyDescent="0.25">
      <c r="B54" s="7" t="str">
        <f t="shared" si="5"/>
        <v/>
      </c>
      <c r="C54" s="4"/>
      <c r="D54" s="4"/>
      <c r="E54" s="4"/>
      <c r="F54" s="350" t="str">
        <f>IF('תנאי סף'!AO54&lt;&gt;1,"",'תנאי סף'!F54)</f>
        <v/>
      </c>
      <c r="G54" s="159" t="str">
        <f>IF($F54="","",IF($AA54&lt;&gt;1,$AB$1,'תנאי סף'!O54))</f>
        <v/>
      </c>
      <c r="H54" s="6"/>
      <c r="I54" s="6"/>
      <c r="J54" s="5"/>
      <c r="K54" s="6"/>
      <c r="L54" s="5"/>
      <c r="M54" s="6"/>
      <c r="N54" s="6"/>
      <c r="O54" s="158"/>
      <c r="P54" s="177"/>
      <c r="Q54" s="8"/>
      <c r="R54" s="8"/>
      <c r="S54" s="8"/>
      <c r="T54" s="8"/>
      <c r="U54" s="159" t="str">
        <f t="shared" si="6"/>
        <v/>
      </c>
      <c r="V54" s="159" t="str">
        <f>סיווג!Z54</f>
        <v/>
      </c>
      <c r="W54" s="8" t="str">
        <f t="shared" si="7"/>
        <v/>
      </c>
      <c r="X54" s="8">
        <v>1</v>
      </c>
      <c r="Y54" s="8" t="str">
        <f t="shared" si="8"/>
        <v/>
      </c>
      <c r="Z54" s="352" t="str">
        <f t="shared" si="9"/>
        <v/>
      </c>
      <c r="AA54" s="192">
        <f t="shared" si="10"/>
        <v>1</v>
      </c>
      <c r="AB54" s="192" t="str">
        <f t="shared" si="11"/>
        <v/>
      </c>
      <c r="AC54" s="192" t="str">
        <f t="shared" si="11"/>
        <v/>
      </c>
    </row>
    <row r="55" spans="2:29" ht="31.5" customHeight="1" x14ac:dyDescent="0.25">
      <c r="B55" s="7" t="str">
        <f t="shared" si="5"/>
        <v/>
      </c>
      <c r="C55" s="4"/>
      <c r="D55" s="4"/>
      <c r="E55" s="4"/>
      <c r="F55" s="350" t="str">
        <f>IF('תנאי סף'!AO55&lt;&gt;1,"",'תנאי סף'!F55)</f>
        <v/>
      </c>
      <c r="G55" s="159" t="str">
        <f>IF($F55="","",IF($AA55&lt;&gt;1,$AB$1,'תנאי סף'!O55))</f>
        <v/>
      </c>
      <c r="H55" s="6"/>
      <c r="I55" s="6"/>
      <c r="J55" s="5"/>
      <c r="K55" s="6"/>
      <c r="L55" s="5"/>
      <c r="M55" s="6"/>
      <c r="N55" s="6"/>
      <c r="O55" s="158"/>
      <c r="P55" s="177"/>
      <c r="Q55" s="8"/>
      <c r="R55" s="8"/>
      <c r="S55" s="8"/>
      <c r="T55" s="8"/>
      <c r="U55" s="159" t="str">
        <f t="shared" si="6"/>
        <v/>
      </c>
      <c r="V55" s="159" t="str">
        <f>סיווג!Z55</f>
        <v/>
      </c>
      <c r="W55" s="8" t="str">
        <f t="shared" si="7"/>
        <v/>
      </c>
      <c r="X55" s="8">
        <v>1</v>
      </c>
      <c r="Y55" s="8" t="str">
        <f t="shared" si="8"/>
        <v/>
      </c>
      <c r="Z55" s="352" t="str">
        <f t="shared" si="9"/>
        <v/>
      </c>
      <c r="AA55" s="192">
        <f t="shared" si="10"/>
        <v>1</v>
      </c>
      <c r="AB55" s="192" t="str">
        <f t="shared" si="11"/>
        <v/>
      </c>
      <c r="AC55" s="192" t="str">
        <f t="shared" si="11"/>
        <v/>
      </c>
    </row>
    <row r="56" spans="2:29" ht="31.5" customHeight="1" x14ac:dyDescent="0.25">
      <c r="B56" s="7">
        <f t="shared" si="5"/>
        <v>26</v>
      </c>
      <c r="C56" s="4"/>
      <c r="D56" s="4"/>
      <c r="E56" s="4"/>
      <c r="F56" s="350" t="str">
        <f>IF('תנאי סף'!AO56&lt;&gt;1,"",'תנאי סף'!F56)</f>
        <v>אנסמבל מצו</v>
      </c>
      <c r="G56" s="159">
        <f>IF($F56="","",IF($AA56&lt;&gt;1,$AB$1,'תנאי סף'!O56))</f>
        <v>31</v>
      </c>
      <c r="H56" s="6">
        <v>3</v>
      </c>
      <c r="I56" s="6"/>
      <c r="J56" s="5"/>
      <c r="K56" s="6"/>
      <c r="L56" s="5"/>
      <c r="M56" s="6"/>
      <c r="N56" s="6"/>
      <c r="O56" s="158"/>
      <c r="P56" s="177"/>
      <c r="Q56" s="8"/>
      <c r="R56" s="8"/>
      <c r="S56" s="8"/>
      <c r="T56" s="8"/>
      <c r="U56" s="159">
        <f t="shared" si="6"/>
        <v>3</v>
      </c>
      <c r="V56" s="159">
        <f>סיווג!Z56</f>
        <v>1</v>
      </c>
      <c r="W56" s="8">
        <f t="shared" si="7"/>
        <v>3</v>
      </c>
      <c r="X56" s="8">
        <v>1</v>
      </c>
      <c r="Y56" s="8">
        <f t="shared" si="8"/>
        <v>3</v>
      </c>
      <c r="Z56" s="352">
        <f t="shared" si="9"/>
        <v>2.4271844660194174E-2</v>
      </c>
      <c r="AA56" s="192">
        <f t="shared" si="10"/>
        <v>1</v>
      </c>
      <c r="AB56" s="192">
        <f t="shared" si="11"/>
        <v>0</v>
      </c>
      <c r="AC56" s="192">
        <f t="shared" si="11"/>
        <v>1</v>
      </c>
    </row>
    <row r="57" spans="2:29" ht="31.5" customHeight="1" x14ac:dyDescent="0.25">
      <c r="B57" s="7" t="str">
        <f t="shared" si="5"/>
        <v/>
      </c>
      <c r="C57" s="4"/>
      <c r="D57" s="4"/>
      <c r="E57" s="4"/>
      <c r="F57" s="350" t="str">
        <f>IF('תנאי סף'!AO57&lt;&gt;1,"",'תנאי סף'!F57)</f>
        <v/>
      </c>
      <c r="G57" s="159" t="str">
        <f>IF($F57="","",IF($AA57&lt;&gt;1,$AB$1,'תנאי סף'!O57))</f>
        <v/>
      </c>
      <c r="H57" s="6"/>
      <c r="I57" s="6"/>
      <c r="J57" s="5"/>
      <c r="K57" s="6"/>
      <c r="L57" s="5"/>
      <c r="M57" s="6"/>
      <c r="N57" s="6"/>
      <c r="O57" s="158"/>
      <c r="P57" s="177"/>
      <c r="Q57" s="8"/>
      <c r="R57" s="8"/>
      <c r="S57" s="8"/>
      <c r="T57" s="8"/>
      <c r="U57" s="159" t="str">
        <f t="shared" si="6"/>
        <v/>
      </c>
      <c r="V57" s="159" t="str">
        <f>סיווג!Z57</f>
        <v/>
      </c>
      <c r="W57" s="8" t="str">
        <f t="shared" si="7"/>
        <v/>
      </c>
      <c r="X57" s="8">
        <v>1</v>
      </c>
      <c r="Y57" s="8" t="str">
        <f t="shared" si="8"/>
        <v/>
      </c>
      <c r="Z57" s="352" t="str">
        <f t="shared" si="9"/>
        <v/>
      </c>
      <c r="AA57" s="192">
        <f t="shared" si="10"/>
        <v>1</v>
      </c>
      <c r="AB57" s="192" t="str">
        <f t="shared" si="11"/>
        <v/>
      </c>
      <c r="AC57" s="192" t="str">
        <f t="shared" si="11"/>
        <v/>
      </c>
    </row>
    <row r="58" spans="2:29" ht="31.5" customHeight="1" x14ac:dyDescent="0.25">
      <c r="B58" s="7">
        <f t="shared" si="5"/>
        <v>28</v>
      </c>
      <c r="C58" s="4"/>
      <c r="D58" s="4"/>
      <c r="E58" s="4"/>
      <c r="F58" s="350" t="str">
        <f>IF('תנאי סף'!AO58&lt;&gt;1,"",'תנאי סף'!F58)</f>
        <v>תמיכה שותפת- קבוצת מוסיקה נובה</v>
      </c>
      <c r="G58" s="159">
        <f>IF($F58="","",IF($AA58&lt;&gt;1,$AB$1,'תנאי סף'!O58))</f>
        <v>14</v>
      </c>
      <c r="H58" s="6">
        <v>3</v>
      </c>
      <c r="I58" s="6"/>
      <c r="J58" s="5"/>
      <c r="K58" s="6"/>
      <c r="L58" s="5"/>
      <c r="M58" s="6"/>
      <c r="N58" s="6"/>
      <c r="O58" s="158"/>
      <c r="P58" s="177"/>
      <c r="Q58" s="8"/>
      <c r="R58" s="8"/>
      <c r="S58" s="8"/>
      <c r="T58" s="8"/>
      <c r="U58" s="159">
        <f t="shared" si="6"/>
        <v>3</v>
      </c>
      <c r="V58" s="159">
        <f>סיווג!Z58</f>
        <v>1</v>
      </c>
      <c r="W58" s="8">
        <f t="shared" si="7"/>
        <v>3</v>
      </c>
      <c r="X58" s="8">
        <v>1</v>
      </c>
      <c r="Y58" s="8">
        <f t="shared" si="8"/>
        <v>3</v>
      </c>
      <c r="Z58" s="352">
        <f t="shared" si="9"/>
        <v>2.4271844660194174E-2</v>
      </c>
      <c r="AA58" s="192">
        <f t="shared" si="10"/>
        <v>1</v>
      </c>
      <c r="AB58" s="192">
        <f t="shared" si="11"/>
        <v>0</v>
      </c>
      <c r="AC58" s="192">
        <f t="shared" si="11"/>
        <v>1</v>
      </c>
    </row>
    <row r="59" spans="2:29" ht="31.5" customHeight="1" x14ac:dyDescent="0.25">
      <c r="B59" s="7" t="str">
        <f t="shared" si="5"/>
        <v/>
      </c>
      <c r="C59" s="4"/>
      <c r="D59" s="4"/>
      <c r="E59" s="4"/>
      <c r="F59" s="350" t="str">
        <f>IF('תנאי סף'!AO59&lt;&gt;1,"",'תנאי סף'!F59)</f>
        <v/>
      </c>
      <c r="G59" s="159" t="str">
        <f>IF($F59="","",IF($AA59&lt;&gt;1,$AB$1,'תנאי סף'!O59))</f>
        <v/>
      </c>
      <c r="H59" s="6"/>
      <c r="I59" s="6"/>
      <c r="J59" s="5"/>
      <c r="K59" s="6"/>
      <c r="L59" s="5"/>
      <c r="M59" s="6"/>
      <c r="N59" s="6"/>
      <c r="O59" s="158"/>
      <c r="P59" s="177"/>
      <c r="Q59" s="8"/>
      <c r="R59" s="8"/>
      <c r="S59" s="8"/>
      <c r="T59" s="8"/>
      <c r="U59" s="159" t="str">
        <f t="shared" si="6"/>
        <v/>
      </c>
      <c r="V59" s="159" t="str">
        <f>סיווג!Z59</f>
        <v/>
      </c>
      <c r="W59" s="8" t="str">
        <f t="shared" si="7"/>
        <v/>
      </c>
      <c r="X59" s="8">
        <v>1</v>
      </c>
      <c r="Y59" s="8" t="str">
        <f t="shared" si="8"/>
        <v/>
      </c>
      <c r="Z59" s="352" t="str">
        <f t="shared" si="9"/>
        <v/>
      </c>
      <c r="AA59" s="192">
        <f t="shared" si="10"/>
        <v>1</v>
      </c>
      <c r="AB59" s="192" t="str">
        <f t="shared" si="11"/>
        <v/>
      </c>
      <c r="AC59" s="192" t="str">
        <f t="shared" si="11"/>
        <v/>
      </c>
    </row>
    <row r="60" spans="2:29" ht="31.5" customHeight="1" x14ac:dyDescent="0.25">
      <c r="B60" s="7" t="str">
        <f t="shared" si="5"/>
        <v/>
      </c>
      <c r="C60" s="4"/>
      <c r="D60" s="4"/>
      <c r="E60" s="4"/>
      <c r="F60" s="350" t="str">
        <f>IF('תנאי סף'!AO60&lt;&gt;1,"",'תנאי סף'!F60)</f>
        <v/>
      </c>
      <c r="G60" s="159" t="str">
        <f>IF($F60="","",IF($AA60&lt;&gt;1,$AB$1,'תנאי סף'!O60))</f>
        <v/>
      </c>
      <c r="H60" s="6"/>
      <c r="I60" s="6"/>
      <c r="J60" s="5"/>
      <c r="K60" s="6"/>
      <c r="L60" s="5"/>
      <c r="M60" s="6"/>
      <c r="N60" s="6"/>
      <c r="O60" s="158"/>
      <c r="P60" s="177"/>
      <c r="Q60" s="8"/>
      <c r="R60" s="8"/>
      <c r="S60" s="8"/>
      <c r="T60" s="8"/>
      <c r="U60" s="159" t="str">
        <f t="shared" si="6"/>
        <v/>
      </c>
      <c r="V60" s="159" t="str">
        <f>סיווג!Z60</f>
        <v/>
      </c>
      <c r="W60" s="8" t="str">
        <f t="shared" si="7"/>
        <v/>
      </c>
      <c r="X60" s="8">
        <v>1</v>
      </c>
      <c r="Y60" s="8" t="str">
        <f t="shared" si="8"/>
        <v/>
      </c>
      <c r="Z60" s="352" t="str">
        <f t="shared" si="9"/>
        <v/>
      </c>
      <c r="AA60" s="192">
        <f t="shared" si="10"/>
        <v>1</v>
      </c>
      <c r="AB60" s="192" t="str">
        <f t="shared" si="11"/>
        <v/>
      </c>
      <c r="AC60" s="192" t="str">
        <f t="shared" si="11"/>
        <v/>
      </c>
    </row>
    <row r="61" spans="2:29" ht="31.5" customHeight="1" x14ac:dyDescent="0.25">
      <c r="B61" s="7" t="str">
        <f t="shared" si="5"/>
        <v/>
      </c>
      <c r="C61" s="4"/>
      <c r="D61" s="4"/>
      <c r="E61" s="4"/>
      <c r="F61" s="350" t="str">
        <f>IF('תנאי סף'!AO61&lt;&gt;1,"",'תנאי סף'!F61)</f>
        <v/>
      </c>
      <c r="G61" s="159" t="str">
        <f>IF($F61="","",IF($AA61&lt;&gt;1,$AB$1,'תנאי סף'!O61))</f>
        <v/>
      </c>
      <c r="H61" s="6"/>
      <c r="I61" s="6"/>
      <c r="J61" s="5"/>
      <c r="K61" s="6"/>
      <c r="L61" s="5"/>
      <c r="M61" s="6"/>
      <c r="N61" s="6"/>
      <c r="O61" s="158"/>
      <c r="P61" s="177"/>
      <c r="Q61" s="8"/>
      <c r="R61" s="8"/>
      <c r="S61" s="8"/>
      <c r="T61" s="8"/>
      <c r="U61" s="159" t="str">
        <f t="shared" si="6"/>
        <v/>
      </c>
      <c r="V61" s="159" t="str">
        <f>סיווג!Z61</f>
        <v/>
      </c>
      <c r="W61" s="8" t="str">
        <f t="shared" si="7"/>
        <v/>
      </c>
      <c r="X61" s="8">
        <v>1</v>
      </c>
      <c r="Y61" s="8" t="str">
        <f t="shared" si="8"/>
        <v/>
      </c>
      <c r="Z61" s="352" t="str">
        <f t="shared" si="9"/>
        <v/>
      </c>
      <c r="AA61" s="192">
        <f t="shared" si="10"/>
        <v>1</v>
      </c>
      <c r="AB61" s="192" t="str">
        <f t="shared" si="11"/>
        <v/>
      </c>
      <c r="AC61" s="192" t="str">
        <f t="shared" si="11"/>
        <v/>
      </c>
    </row>
    <row r="62" spans="2:29" ht="31.5" customHeight="1" x14ac:dyDescent="0.25">
      <c r="B62" s="7" t="str">
        <f t="shared" si="5"/>
        <v/>
      </c>
      <c r="C62" s="4"/>
      <c r="D62" s="4"/>
      <c r="E62" s="4"/>
      <c r="F62" s="350" t="str">
        <f>IF('תנאי סף'!AO62&lt;&gt;1,"",'תנאי סף'!F62)</f>
        <v/>
      </c>
      <c r="G62" s="159" t="str">
        <f>IF($F62="","",IF($AA62&lt;&gt;1,$AB$1,'תנאי סף'!O62))</f>
        <v/>
      </c>
      <c r="H62" s="6"/>
      <c r="I62" s="6"/>
      <c r="J62" s="5"/>
      <c r="K62" s="6"/>
      <c r="L62" s="5"/>
      <c r="M62" s="6"/>
      <c r="N62" s="6"/>
      <c r="O62" s="158"/>
      <c r="P62" s="177"/>
      <c r="Q62" s="8"/>
      <c r="R62" s="8"/>
      <c r="S62" s="8"/>
      <c r="T62" s="8"/>
      <c r="U62" s="159" t="str">
        <f t="shared" si="6"/>
        <v/>
      </c>
      <c r="V62" s="159" t="str">
        <f>סיווג!Z62</f>
        <v/>
      </c>
      <c r="W62" s="8" t="str">
        <f t="shared" si="7"/>
        <v/>
      </c>
      <c r="X62" s="8">
        <v>1</v>
      </c>
      <c r="Y62" s="8" t="str">
        <f t="shared" si="8"/>
        <v/>
      </c>
      <c r="Z62" s="352" t="str">
        <f t="shared" si="9"/>
        <v/>
      </c>
      <c r="AA62" s="192">
        <f t="shared" si="10"/>
        <v>1</v>
      </c>
      <c r="AB62" s="192" t="str">
        <f t="shared" si="11"/>
        <v/>
      </c>
      <c r="AC62" s="192" t="str">
        <f t="shared" si="11"/>
        <v/>
      </c>
    </row>
    <row r="63" spans="2:29" ht="31.5" customHeight="1" x14ac:dyDescent="0.25">
      <c r="B63" s="7" t="str">
        <f t="shared" si="5"/>
        <v/>
      </c>
      <c r="C63" s="4"/>
      <c r="D63" s="4"/>
      <c r="E63" s="4"/>
      <c r="F63" s="350" t="str">
        <f>IF('תנאי סף'!AO63&lt;&gt;1,"",'תנאי סף'!F63)</f>
        <v/>
      </c>
      <c r="G63" s="159" t="str">
        <f>IF($F63="","",IF($AA63&lt;&gt;1,$AB$1,'תנאי סף'!O63))</f>
        <v/>
      </c>
      <c r="H63" s="6"/>
      <c r="I63" s="6"/>
      <c r="J63" s="5"/>
      <c r="K63" s="6"/>
      <c r="L63" s="5"/>
      <c r="M63" s="6"/>
      <c r="N63" s="6"/>
      <c r="O63" s="158"/>
      <c r="P63" s="177"/>
      <c r="Q63" s="8"/>
      <c r="R63" s="8"/>
      <c r="S63" s="8"/>
      <c r="T63" s="8"/>
      <c r="U63" s="159" t="str">
        <f t="shared" si="6"/>
        <v/>
      </c>
      <c r="V63" s="159" t="str">
        <f>סיווג!Z63</f>
        <v/>
      </c>
      <c r="W63" s="8" t="str">
        <f t="shared" si="7"/>
        <v/>
      </c>
      <c r="X63" s="8">
        <v>1</v>
      </c>
      <c r="Y63" s="8" t="str">
        <f t="shared" si="8"/>
        <v/>
      </c>
      <c r="Z63" s="352" t="str">
        <f t="shared" si="9"/>
        <v/>
      </c>
      <c r="AA63" s="192">
        <f t="shared" si="10"/>
        <v>1</v>
      </c>
      <c r="AB63" s="192" t="str">
        <f t="shared" si="11"/>
        <v/>
      </c>
      <c r="AC63" s="192" t="str">
        <f t="shared" si="11"/>
        <v/>
      </c>
    </row>
    <row r="64" spans="2:29" ht="31.5" customHeight="1" x14ac:dyDescent="0.25">
      <c r="B64" s="7" t="str">
        <f t="shared" si="5"/>
        <v/>
      </c>
      <c r="C64" s="4"/>
      <c r="D64" s="4"/>
      <c r="E64" s="4"/>
      <c r="F64" s="350" t="str">
        <f>IF('תנאי סף'!AO64&lt;&gt;1,"",'תנאי סף'!F64)</f>
        <v/>
      </c>
      <c r="G64" s="159" t="str">
        <f>IF($F64="","",IF($AA64&lt;&gt;1,$AB$1,'תנאי סף'!O64))</f>
        <v/>
      </c>
      <c r="H64" s="6"/>
      <c r="I64" s="6"/>
      <c r="J64" s="5"/>
      <c r="K64" s="6"/>
      <c r="L64" s="5"/>
      <c r="M64" s="6"/>
      <c r="N64" s="6"/>
      <c r="O64" s="158"/>
      <c r="P64" s="177"/>
      <c r="Q64" s="8"/>
      <c r="R64" s="8"/>
      <c r="S64" s="8"/>
      <c r="T64" s="8"/>
      <c r="U64" s="159" t="str">
        <f t="shared" si="6"/>
        <v/>
      </c>
      <c r="V64" s="159" t="str">
        <f>סיווג!Z64</f>
        <v/>
      </c>
      <c r="W64" s="8" t="str">
        <f t="shared" si="7"/>
        <v/>
      </c>
      <c r="X64" s="8">
        <v>1</v>
      </c>
      <c r="Y64" s="8" t="str">
        <f t="shared" si="8"/>
        <v/>
      </c>
      <c r="Z64" s="352" t="str">
        <f t="shared" si="9"/>
        <v/>
      </c>
      <c r="AA64" s="192">
        <f t="shared" si="10"/>
        <v>1</v>
      </c>
      <c r="AB64" s="192" t="str">
        <f t="shared" ref="AB64:AC91" si="12">IF($F64="","",AB$30)</f>
        <v/>
      </c>
      <c r="AC64" s="192" t="str">
        <f t="shared" si="12"/>
        <v/>
      </c>
    </row>
    <row r="65" spans="2:29" ht="31.5" customHeight="1" x14ac:dyDescent="0.25">
      <c r="B65" s="7">
        <f t="shared" si="5"/>
        <v>35</v>
      </c>
      <c r="C65" s="4"/>
      <c r="D65" s="4"/>
      <c r="E65" s="4"/>
      <c r="F65" s="350" t="str">
        <f>IF('תנאי סף'!AO65&lt;&gt;1,"",'תנאי סף'!F65)</f>
        <v>אנסמבל מיתר</v>
      </c>
      <c r="G65" s="159">
        <f>IF($F65="","",IF($AA65&lt;&gt;1,$AB$1,'תנאי סף'!O65))</f>
        <v>40</v>
      </c>
      <c r="H65" s="6">
        <v>6</v>
      </c>
      <c r="I65" s="6"/>
      <c r="J65" s="5"/>
      <c r="K65" s="6"/>
      <c r="L65" s="5"/>
      <c r="M65" s="6"/>
      <c r="N65" s="6"/>
      <c r="O65" s="158"/>
      <c r="P65" s="177"/>
      <c r="Q65" s="8"/>
      <c r="R65" s="8"/>
      <c r="S65" s="8"/>
      <c r="T65" s="8"/>
      <c r="U65" s="159">
        <f t="shared" si="6"/>
        <v>6</v>
      </c>
      <c r="V65" s="159">
        <f>סיווג!Z65</f>
        <v>1</v>
      </c>
      <c r="W65" s="8">
        <f t="shared" si="7"/>
        <v>6</v>
      </c>
      <c r="X65" s="8">
        <v>1</v>
      </c>
      <c r="Y65" s="8">
        <f t="shared" si="8"/>
        <v>6</v>
      </c>
      <c r="Z65" s="352">
        <f t="shared" si="9"/>
        <v>4.8543689320388349E-2</v>
      </c>
      <c r="AA65" s="192">
        <f t="shared" si="10"/>
        <v>1</v>
      </c>
      <c r="AB65" s="192">
        <f t="shared" si="12"/>
        <v>0</v>
      </c>
      <c r="AC65" s="192">
        <f t="shared" si="12"/>
        <v>1</v>
      </c>
    </row>
    <row r="66" spans="2:29" ht="31.5" customHeight="1" x14ac:dyDescent="0.25">
      <c r="B66" s="7" t="str">
        <f t="shared" si="5"/>
        <v/>
      </c>
      <c r="C66" s="4"/>
      <c r="D66" s="4"/>
      <c r="E66" s="4"/>
      <c r="F66" s="350" t="str">
        <f>IF('תנאי סף'!AO66&lt;&gt;1,"",'תנאי סף'!F66)</f>
        <v/>
      </c>
      <c r="G66" s="159" t="str">
        <f>IF($F66="","",IF($AA66&lt;&gt;1,$AB$1,'תנאי סף'!O66))</f>
        <v/>
      </c>
      <c r="H66" s="6"/>
      <c r="I66" s="6"/>
      <c r="J66" s="5"/>
      <c r="K66" s="6"/>
      <c r="L66" s="5"/>
      <c r="M66" s="6"/>
      <c r="N66" s="6"/>
      <c r="O66" s="158"/>
      <c r="P66" s="177"/>
      <c r="Q66" s="8"/>
      <c r="R66" s="8"/>
      <c r="S66" s="8"/>
      <c r="T66" s="8"/>
      <c r="U66" s="159" t="str">
        <f t="shared" si="6"/>
        <v/>
      </c>
      <c r="V66" s="159" t="str">
        <f>סיווג!Z66</f>
        <v/>
      </c>
      <c r="W66" s="8" t="str">
        <f t="shared" si="7"/>
        <v/>
      </c>
      <c r="X66" s="8">
        <v>1</v>
      </c>
      <c r="Y66" s="8" t="str">
        <f t="shared" si="8"/>
        <v/>
      </c>
      <c r="Z66" s="352" t="str">
        <f t="shared" si="9"/>
        <v/>
      </c>
      <c r="AA66" s="192">
        <f t="shared" si="10"/>
        <v>1</v>
      </c>
      <c r="AB66" s="192" t="str">
        <f t="shared" si="12"/>
        <v/>
      </c>
      <c r="AC66" s="192" t="str">
        <f t="shared" si="12"/>
        <v/>
      </c>
    </row>
    <row r="67" spans="2:29" ht="31.5" customHeight="1" x14ac:dyDescent="0.25">
      <c r="B67" s="7">
        <f t="shared" si="5"/>
        <v>37</v>
      </c>
      <c r="C67" s="4"/>
      <c r="D67" s="4"/>
      <c r="E67" s="4"/>
      <c r="F67" s="350" t="str">
        <f>IF('תנאי סף'!AO67&lt;&gt;1,"",'תנאי סף'!F67)</f>
        <v>אנסמבל ארז נטף</v>
      </c>
      <c r="G67" s="159">
        <f>IF($F67="","",IF($AA67&lt;&gt;1,$AB$1,'תנאי סף'!O67))</f>
        <v>15</v>
      </c>
      <c r="H67" s="6">
        <v>5</v>
      </c>
      <c r="I67" s="6"/>
      <c r="J67" s="5"/>
      <c r="K67" s="6"/>
      <c r="L67" s="5"/>
      <c r="M67" s="6"/>
      <c r="N67" s="6"/>
      <c r="O67" s="158"/>
      <c r="P67" s="177"/>
      <c r="Q67" s="8"/>
      <c r="R67" s="8"/>
      <c r="S67" s="8"/>
      <c r="T67" s="8"/>
      <c r="U67" s="159">
        <f t="shared" si="6"/>
        <v>5</v>
      </c>
      <c r="V67" s="159">
        <f>סיווג!Z67</f>
        <v>1</v>
      </c>
      <c r="W67" s="8">
        <f t="shared" si="7"/>
        <v>5</v>
      </c>
      <c r="X67" s="8">
        <v>1</v>
      </c>
      <c r="Y67" s="8">
        <f t="shared" si="8"/>
        <v>5</v>
      </c>
      <c r="Z67" s="352">
        <f t="shared" si="9"/>
        <v>4.0453074433656963E-2</v>
      </c>
      <c r="AA67" s="192">
        <f t="shared" si="10"/>
        <v>1</v>
      </c>
      <c r="AB67" s="192">
        <f t="shared" si="12"/>
        <v>0</v>
      </c>
      <c r="AC67" s="192">
        <f t="shared" si="12"/>
        <v>1</v>
      </c>
    </row>
    <row r="68" spans="2:29" ht="31.5" customHeight="1" x14ac:dyDescent="0.25">
      <c r="B68" s="7" t="str">
        <f t="shared" si="5"/>
        <v/>
      </c>
      <c r="C68" s="4"/>
      <c r="D68" s="4"/>
      <c r="E68" s="4"/>
      <c r="F68" s="350" t="str">
        <f>IF('תנאי סף'!AO68&lt;&gt;1,"",'תנאי סף'!F68)</f>
        <v/>
      </c>
      <c r="G68" s="159" t="str">
        <f>IF($F68="","",IF($AA68&lt;&gt;1,$AB$1,'תנאי סף'!O68))</f>
        <v/>
      </c>
      <c r="H68" s="6"/>
      <c r="I68" s="6"/>
      <c r="J68" s="5"/>
      <c r="K68" s="6"/>
      <c r="L68" s="5"/>
      <c r="M68" s="6"/>
      <c r="N68" s="6"/>
      <c r="O68" s="158"/>
      <c r="P68" s="177"/>
      <c r="Q68" s="8"/>
      <c r="R68" s="8"/>
      <c r="S68" s="8"/>
      <c r="T68" s="8"/>
      <c r="U68" s="159" t="str">
        <f t="shared" si="6"/>
        <v/>
      </c>
      <c r="V68" s="159" t="str">
        <f>סיווג!Z68</f>
        <v/>
      </c>
      <c r="W68" s="8" t="str">
        <f t="shared" si="7"/>
        <v/>
      </c>
      <c r="X68" s="8">
        <v>1</v>
      </c>
      <c r="Y68" s="8" t="str">
        <f t="shared" si="8"/>
        <v/>
      </c>
      <c r="Z68" s="352" t="str">
        <f t="shared" si="9"/>
        <v/>
      </c>
      <c r="AA68" s="192">
        <f t="shared" si="10"/>
        <v>1</v>
      </c>
      <c r="AB68" s="192" t="str">
        <f t="shared" si="12"/>
        <v/>
      </c>
      <c r="AC68" s="192" t="str">
        <f t="shared" si="12"/>
        <v/>
      </c>
    </row>
    <row r="69" spans="2:29" ht="31.5" customHeight="1" x14ac:dyDescent="0.25">
      <c r="B69" s="7" t="str">
        <f t="shared" si="5"/>
        <v/>
      </c>
      <c r="C69" s="4"/>
      <c r="D69" s="4"/>
      <c r="E69" s="4"/>
      <c r="F69" s="350" t="str">
        <f>IF('תנאי סף'!AO69&lt;&gt;1,"",'תנאי סף'!F69)</f>
        <v/>
      </c>
      <c r="G69" s="159" t="str">
        <f>IF($F69="","",IF($AA69&lt;&gt;1,$AB$1,'תנאי סף'!O69))</f>
        <v/>
      </c>
      <c r="H69" s="6"/>
      <c r="I69" s="6"/>
      <c r="J69" s="5"/>
      <c r="K69" s="6"/>
      <c r="L69" s="5"/>
      <c r="M69" s="6"/>
      <c r="N69" s="6"/>
      <c r="O69" s="158"/>
      <c r="P69" s="177"/>
      <c r="Q69" s="8"/>
      <c r="R69" s="8"/>
      <c r="S69" s="8"/>
      <c r="T69" s="8"/>
      <c r="U69" s="159" t="str">
        <f t="shared" si="6"/>
        <v/>
      </c>
      <c r="V69" s="159" t="str">
        <f>סיווג!Z69</f>
        <v/>
      </c>
      <c r="W69" s="8" t="str">
        <f t="shared" si="7"/>
        <v/>
      </c>
      <c r="X69" s="8">
        <v>1</v>
      </c>
      <c r="Y69" s="8" t="str">
        <f t="shared" si="8"/>
        <v/>
      </c>
      <c r="Z69" s="352" t="str">
        <f t="shared" si="9"/>
        <v/>
      </c>
      <c r="AA69" s="192">
        <f t="shared" si="10"/>
        <v>1</v>
      </c>
      <c r="AB69" s="192" t="str">
        <f t="shared" si="12"/>
        <v/>
      </c>
      <c r="AC69" s="192" t="str">
        <f t="shared" si="12"/>
        <v/>
      </c>
    </row>
    <row r="70" spans="2:29" ht="31.5" customHeight="1" x14ac:dyDescent="0.25">
      <c r="B70" s="7">
        <f t="shared" si="5"/>
        <v>40</v>
      </c>
      <c r="C70" s="4"/>
      <c r="D70" s="4"/>
      <c r="E70" s="4"/>
      <c r="F70" s="350" t="str">
        <f>IF('תנאי סף'!AO70&lt;&gt;1,"",'תנאי סף'!F70)</f>
        <v>תו המשווה (ע"ר)</v>
      </c>
      <c r="G70" s="159">
        <f>IF($F70="","",IF($AA70&lt;&gt;1,$AB$1,'תנאי סף'!O70))</f>
        <v>43</v>
      </c>
      <c r="H70" s="6">
        <v>1</v>
      </c>
      <c r="I70" s="6"/>
      <c r="J70" s="5"/>
      <c r="K70" s="6"/>
      <c r="L70" s="5"/>
      <c r="M70" s="6"/>
      <c r="N70" s="6"/>
      <c r="O70" s="158"/>
      <c r="P70" s="177"/>
      <c r="Q70" s="8"/>
      <c r="R70" s="8"/>
      <c r="S70" s="8"/>
      <c r="T70" s="8"/>
      <c r="U70" s="159">
        <f t="shared" si="6"/>
        <v>1</v>
      </c>
      <c r="V70" s="159">
        <f>סיווג!Z70</f>
        <v>1</v>
      </c>
      <c r="W70" s="8">
        <f t="shared" si="7"/>
        <v>1</v>
      </c>
      <c r="X70" s="8">
        <v>1</v>
      </c>
      <c r="Y70" s="8">
        <f t="shared" si="8"/>
        <v>1</v>
      </c>
      <c r="Z70" s="352">
        <f t="shared" si="9"/>
        <v>8.0906148867313926E-3</v>
      </c>
      <c r="AA70" s="192">
        <f t="shared" si="10"/>
        <v>1</v>
      </c>
      <c r="AB70" s="192">
        <f t="shared" si="12"/>
        <v>0</v>
      </c>
      <c r="AC70" s="192">
        <f t="shared" si="12"/>
        <v>1</v>
      </c>
    </row>
    <row r="71" spans="2:29" ht="31.5" customHeight="1" x14ac:dyDescent="0.25">
      <c r="B71" s="7" t="str">
        <f t="shared" si="5"/>
        <v/>
      </c>
      <c r="C71" s="4"/>
      <c r="D71" s="4"/>
      <c r="E71" s="4"/>
      <c r="F71" s="230" t="str">
        <f>IF('תנאי סף'!AO71&lt;&gt;1,"",'תנאי סף'!F71)</f>
        <v/>
      </c>
      <c r="G71" s="159" t="str">
        <f>IF($F71="","",IF($AA71&lt;&gt;1,$AB$1,'תנאי סף'!O71))</f>
        <v/>
      </c>
      <c r="H71" s="6"/>
      <c r="I71" s="6"/>
      <c r="J71" s="5"/>
      <c r="K71" s="6"/>
      <c r="L71" s="5"/>
      <c r="M71" s="6"/>
      <c r="N71" s="6"/>
      <c r="O71" s="158"/>
      <c r="P71" s="177"/>
      <c r="Q71" s="8"/>
      <c r="R71" s="8"/>
      <c r="S71" s="8"/>
      <c r="T71" s="8"/>
      <c r="U71" s="159" t="str">
        <f t="shared" si="6"/>
        <v/>
      </c>
      <c r="V71" s="159" t="str">
        <f>סיווג!Z71</f>
        <v/>
      </c>
      <c r="W71" s="8" t="str">
        <f t="shared" si="7"/>
        <v/>
      </c>
      <c r="X71" s="8">
        <v>1</v>
      </c>
      <c r="Y71" s="8" t="str">
        <f t="shared" si="8"/>
        <v/>
      </c>
      <c r="Z71" s="123" t="str">
        <f t="shared" si="9"/>
        <v/>
      </c>
      <c r="AA71" s="192">
        <f t="shared" si="10"/>
        <v>1</v>
      </c>
      <c r="AB71" s="192" t="str">
        <f t="shared" si="12"/>
        <v/>
      </c>
      <c r="AC71" s="192" t="str">
        <f t="shared" si="12"/>
        <v/>
      </c>
    </row>
    <row r="72" spans="2:29" ht="31.5" customHeight="1" x14ac:dyDescent="0.25">
      <c r="B72" s="7" t="str">
        <f t="shared" si="5"/>
        <v/>
      </c>
      <c r="C72" s="4"/>
      <c r="D72" s="4"/>
      <c r="E72" s="4"/>
      <c r="F72" s="230" t="str">
        <f>IF('תנאי סף'!AO72&lt;&gt;1,"",'תנאי סף'!F72)</f>
        <v/>
      </c>
      <c r="G72" s="159" t="str">
        <f>IF($F72="","",IF($AA72&lt;&gt;1,$AB$1,'תנאי סף'!O72))</f>
        <v/>
      </c>
      <c r="H72" s="6"/>
      <c r="I72" s="6"/>
      <c r="J72" s="5"/>
      <c r="K72" s="6"/>
      <c r="L72" s="5"/>
      <c r="M72" s="6"/>
      <c r="N72" s="6"/>
      <c r="O72" s="158"/>
      <c r="P72" s="177"/>
      <c r="Q72" s="8"/>
      <c r="R72" s="8"/>
      <c r="S72" s="8"/>
      <c r="T72" s="8"/>
      <c r="U72" s="159" t="str">
        <f t="shared" si="6"/>
        <v/>
      </c>
      <c r="V72" s="159" t="str">
        <f>סיווג!Z72</f>
        <v/>
      </c>
      <c r="W72" s="8" t="str">
        <f t="shared" si="7"/>
        <v/>
      </c>
      <c r="X72" s="8">
        <v>1</v>
      </c>
      <c r="Y72" s="8" t="str">
        <f t="shared" si="8"/>
        <v/>
      </c>
      <c r="Z72" s="123" t="str">
        <f t="shared" si="9"/>
        <v/>
      </c>
      <c r="AA72" s="192">
        <f t="shared" si="10"/>
        <v>1</v>
      </c>
      <c r="AB72" s="192" t="str">
        <f t="shared" si="12"/>
        <v/>
      </c>
      <c r="AC72" s="192" t="str">
        <f t="shared" si="12"/>
        <v/>
      </c>
    </row>
    <row r="73" spans="2:29" ht="31.5" customHeight="1" x14ac:dyDescent="0.25">
      <c r="B73" s="7">
        <f t="shared" si="5"/>
        <v>43</v>
      </c>
      <c r="C73" s="4"/>
      <c r="D73" s="4"/>
      <c r="E73" s="4"/>
      <c r="F73" s="230" t="str">
        <f>IF('תנאי סף'!AO73&lt;&gt;1,"",'תנאי סף'!F73)</f>
        <v>בר קיימא ואקלקוטנטקט</v>
      </c>
      <c r="G73" s="159">
        <f>IF($F73="","",IF($AA73&lt;&gt;1,$AB$1,'תנאי סף'!O73))</f>
        <v>9</v>
      </c>
      <c r="H73" s="6">
        <v>8</v>
      </c>
      <c r="I73" s="6"/>
      <c r="J73" s="5"/>
      <c r="K73" s="6"/>
      <c r="L73" s="5"/>
      <c r="M73" s="6"/>
      <c r="N73" s="6"/>
      <c r="O73" s="158"/>
      <c r="P73" s="177"/>
      <c r="Q73" s="8"/>
      <c r="R73" s="8"/>
      <c r="S73" s="8"/>
      <c r="T73" s="8"/>
      <c r="U73" s="159">
        <f t="shared" si="6"/>
        <v>8</v>
      </c>
      <c r="V73" s="159">
        <f>סיווג!Z73</f>
        <v>0.8</v>
      </c>
      <c r="W73" s="8">
        <f t="shared" si="7"/>
        <v>6.4</v>
      </c>
      <c r="X73" s="8">
        <v>1</v>
      </c>
      <c r="Y73" s="8">
        <f t="shared" si="8"/>
        <v>6.4</v>
      </c>
      <c r="Z73" s="123">
        <f t="shared" si="9"/>
        <v>5.1779935275080909E-2</v>
      </c>
      <c r="AA73" s="192">
        <f t="shared" si="10"/>
        <v>1</v>
      </c>
      <c r="AB73" s="192">
        <f t="shared" si="12"/>
        <v>0</v>
      </c>
      <c r="AC73" s="192">
        <f t="shared" si="12"/>
        <v>1</v>
      </c>
    </row>
    <row r="74" spans="2:29" ht="31.5" customHeight="1" x14ac:dyDescent="0.25">
      <c r="B74" s="7" t="str">
        <f t="shared" si="5"/>
        <v/>
      </c>
      <c r="C74" s="4"/>
      <c r="D74" s="4"/>
      <c r="E74" s="4"/>
      <c r="F74" s="230" t="str">
        <f>IF('תנאי סף'!AO74&lt;&gt;1,"",'תנאי סף'!F74)</f>
        <v/>
      </c>
      <c r="G74" s="159" t="str">
        <f>IF($F74="","",IF($AA74&lt;&gt;1,$AB$1,'תנאי סף'!O74))</f>
        <v/>
      </c>
      <c r="H74" s="6"/>
      <c r="I74" s="6"/>
      <c r="J74" s="5"/>
      <c r="K74" s="6"/>
      <c r="L74" s="5"/>
      <c r="M74" s="6"/>
      <c r="N74" s="6"/>
      <c r="O74" s="158"/>
      <c r="P74" s="177"/>
      <c r="Q74" s="8"/>
      <c r="R74" s="8"/>
      <c r="S74" s="8"/>
      <c r="T74" s="8"/>
      <c r="U74" s="159" t="str">
        <f t="shared" si="6"/>
        <v/>
      </c>
      <c r="V74" s="159" t="str">
        <f>סיווג!Z74</f>
        <v/>
      </c>
      <c r="W74" s="8" t="str">
        <f t="shared" si="7"/>
        <v/>
      </c>
      <c r="X74" s="8">
        <v>1</v>
      </c>
      <c r="Y74" s="8" t="str">
        <f t="shared" si="8"/>
        <v/>
      </c>
      <c r="Z74" s="123" t="str">
        <f t="shared" si="9"/>
        <v/>
      </c>
      <c r="AA74" s="192">
        <f t="shared" si="10"/>
        <v>1</v>
      </c>
      <c r="AB74" s="192" t="str">
        <f t="shared" si="12"/>
        <v/>
      </c>
      <c r="AC74" s="192" t="str">
        <f t="shared" si="12"/>
        <v/>
      </c>
    </row>
    <row r="75" spans="2:29" ht="31.5" customHeight="1" x14ac:dyDescent="0.25">
      <c r="B75" s="7">
        <f t="shared" si="5"/>
        <v>45</v>
      </c>
      <c r="C75" s="4"/>
      <c r="D75" s="4"/>
      <c r="E75" s="4"/>
      <c r="F75" s="230" t="str">
        <f>IF('תנאי סף'!AO75&lt;&gt;1,"",'תנאי סף'!F75)</f>
        <v>אלקאת התזמורת התימנית</v>
      </c>
      <c r="G75" s="159">
        <f>IF($F75="","",IF($AA75&lt;&gt;1,$AB$1,'תנאי סף'!O75))</f>
        <v>21</v>
      </c>
      <c r="H75" s="6">
        <v>2</v>
      </c>
      <c r="I75" s="6"/>
      <c r="J75" s="5"/>
      <c r="K75" s="6"/>
      <c r="L75" s="5"/>
      <c r="M75" s="6"/>
      <c r="N75" s="6"/>
      <c r="O75" s="158"/>
      <c r="P75" s="177"/>
      <c r="Q75" s="8"/>
      <c r="R75" s="8"/>
      <c r="S75" s="8"/>
      <c r="T75" s="8"/>
      <c r="U75" s="159">
        <f t="shared" si="6"/>
        <v>2</v>
      </c>
      <c r="V75" s="159">
        <f>סיווג!Z75</f>
        <v>1</v>
      </c>
      <c r="W75" s="8">
        <f t="shared" si="7"/>
        <v>2</v>
      </c>
      <c r="X75" s="8">
        <v>1</v>
      </c>
      <c r="Y75" s="8">
        <f t="shared" si="8"/>
        <v>2</v>
      </c>
      <c r="Z75" s="123">
        <f t="shared" si="9"/>
        <v>1.6181229773462785E-2</v>
      </c>
      <c r="AA75" s="192">
        <f t="shared" si="10"/>
        <v>1</v>
      </c>
      <c r="AB75" s="192">
        <f t="shared" si="12"/>
        <v>0</v>
      </c>
      <c r="AC75" s="192">
        <f t="shared" si="12"/>
        <v>1</v>
      </c>
    </row>
    <row r="76" spans="2:29" ht="31.5" customHeight="1" x14ac:dyDescent="0.25">
      <c r="B76" s="7" t="str">
        <f t="shared" si="5"/>
        <v/>
      </c>
      <c r="C76" s="4"/>
      <c r="D76" s="4"/>
      <c r="E76" s="4"/>
      <c r="F76" s="230" t="str">
        <f>IF('תנאי סף'!AO76&lt;&gt;1,"",'תנאי סף'!F76)</f>
        <v/>
      </c>
      <c r="G76" s="159" t="str">
        <f>IF($F76="","",IF($AA76&lt;&gt;1,$AB$1,'תנאי סף'!O76))</f>
        <v/>
      </c>
      <c r="H76" s="6"/>
      <c r="I76" s="6"/>
      <c r="J76" s="5"/>
      <c r="K76" s="6"/>
      <c r="L76" s="5"/>
      <c r="M76" s="6"/>
      <c r="N76" s="6"/>
      <c r="O76" s="158"/>
      <c r="P76" s="177"/>
      <c r="Q76" s="8"/>
      <c r="R76" s="8"/>
      <c r="S76" s="8"/>
      <c r="T76" s="8"/>
      <c r="U76" s="159" t="str">
        <f t="shared" si="6"/>
        <v/>
      </c>
      <c r="V76" s="159" t="str">
        <f>סיווג!Z76</f>
        <v/>
      </c>
      <c r="W76" s="8" t="str">
        <f t="shared" si="7"/>
        <v/>
      </c>
      <c r="X76" s="8">
        <v>1</v>
      </c>
      <c r="Y76" s="8" t="str">
        <f t="shared" si="8"/>
        <v/>
      </c>
      <c r="Z76" s="123" t="str">
        <f t="shared" si="9"/>
        <v/>
      </c>
      <c r="AA76" s="192">
        <f t="shared" si="10"/>
        <v>1</v>
      </c>
      <c r="AB76" s="192" t="str">
        <f t="shared" si="12"/>
        <v/>
      </c>
      <c r="AC76" s="192" t="str">
        <f t="shared" si="12"/>
        <v/>
      </c>
    </row>
    <row r="77" spans="2:29" ht="31.5" customHeight="1" x14ac:dyDescent="0.25">
      <c r="B77" s="7" t="str">
        <f t="shared" si="5"/>
        <v/>
      </c>
      <c r="C77" s="4"/>
      <c r="D77" s="4"/>
      <c r="E77" s="4"/>
      <c r="F77" s="230" t="str">
        <f>IF('תנאי סף'!AO77&lt;&gt;1,"",'תנאי סף'!F77)</f>
        <v/>
      </c>
      <c r="G77" s="159" t="str">
        <f>IF($F77="","",IF($AA77&lt;&gt;1,$AB$1,'תנאי סף'!O77))</f>
        <v/>
      </c>
      <c r="H77" s="6"/>
      <c r="I77" s="6"/>
      <c r="J77" s="5"/>
      <c r="K77" s="6"/>
      <c r="L77" s="5"/>
      <c r="M77" s="6"/>
      <c r="N77" s="6"/>
      <c r="O77" s="158"/>
      <c r="P77" s="177"/>
      <c r="Q77" s="8"/>
      <c r="R77" s="8"/>
      <c r="S77" s="8"/>
      <c r="T77" s="8"/>
      <c r="U77" s="159" t="str">
        <f t="shared" si="6"/>
        <v/>
      </c>
      <c r="V77" s="159" t="str">
        <f>סיווג!Z77</f>
        <v/>
      </c>
      <c r="W77" s="8" t="str">
        <f t="shared" si="7"/>
        <v/>
      </c>
      <c r="X77" s="8">
        <v>1</v>
      </c>
      <c r="Y77" s="8" t="str">
        <f t="shared" si="8"/>
        <v/>
      </c>
      <c r="Z77" s="123" t="str">
        <f t="shared" si="9"/>
        <v/>
      </c>
      <c r="AA77" s="192">
        <f t="shared" si="10"/>
        <v>1</v>
      </c>
      <c r="AB77" s="192" t="str">
        <f t="shared" si="12"/>
        <v/>
      </c>
      <c r="AC77" s="192" t="str">
        <f t="shared" si="12"/>
        <v/>
      </c>
    </row>
    <row r="78" spans="2:29" ht="31.5" customHeight="1" x14ac:dyDescent="0.25">
      <c r="B78" s="7">
        <f t="shared" si="5"/>
        <v>48</v>
      </c>
      <c r="C78" s="4"/>
      <c r="D78" s="4"/>
      <c r="E78" s="4"/>
      <c r="F78" s="230" t="str">
        <f>IF('תנאי סף'!AO78&lt;&gt;1,"",'תנאי סף'!F78)</f>
        <v>גיא מינטוס- טריו</v>
      </c>
      <c r="G78" s="159">
        <f>IF($F78="","",IF($AA78&lt;&gt;1,$AB$1,'תנאי סף'!O78))</f>
        <v>14</v>
      </c>
      <c r="H78" s="6">
        <v>3</v>
      </c>
      <c r="I78" s="6"/>
      <c r="J78" s="5"/>
      <c r="K78" s="6"/>
      <c r="L78" s="5"/>
      <c r="M78" s="6"/>
      <c r="N78" s="6"/>
      <c r="O78" s="158"/>
      <c r="P78" s="177"/>
      <c r="Q78" s="8"/>
      <c r="R78" s="8"/>
      <c r="S78" s="8"/>
      <c r="T78" s="8"/>
      <c r="U78" s="159">
        <f t="shared" si="6"/>
        <v>3</v>
      </c>
      <c r="V78" s="159">
        <f>סיווג!Z78</f>
        <v>1</v>
      </c>
      <c r="W78" s="8">
        <f t="shared" si="7"/>
        <v>3</v>
      </c>
      <c r="X78" s="8">
        <v>1</v>
      </c>
      <c r="Y78" s="8">
        <f t="shared" si="8"/>
        <v>3</v>
      </c>
      <c r="Z78" s="123">
        <f t="shared" si="9"/>
        <v>2.4271844660194174E-2</v>
      </c>
      <c r="AA78" s="192">
        <f t="shared" si="10"/>
        <v>1</v>
      </c>
      <c r="AB78" s="192">
        <f t="shared" si="12"/>
        <v>0</v>
      </c>
      <c r="AC78" s="192">
        <f t="shared" si="12"/>
        <v>1</v>
      </c>
    </row>
    <row r="79" spans="2:29" ht="31.5" customHeight="1" x14ac:dyDescent="0.25">
      <c r="B79" s="7" t="str">
        <f t="shared" si="5"/>
        <v/>
      </c>
      <c r="C79" s="4"/>
      <c r="D79" s="4"/>
      <c r="E79" s="4"/>
      <c r="F79" s="230" t="str">
        <f>IF('תנאי סף'!AO79&lt;&gt;1,"",'תנאי סף'!F79)</f>
        <v/>
      </c>
      <c r="G79" s="159" t="str">
        <f>IF($F79="","",IF($AA79&lt;&gt;1,$AB$1,'תנאי סף'!O79))</f>
        <v/>
      </c>
      <c r="H79" s="6"/>
      <c r="I79" s="6"/>
      <c r="J79" s="5"/>
      <c r="K79" s="6"/>
      <c r="L79" s="5"/>
      <c r="M79" s="6"/>
      <c r="N79" s="6"/>
      <c r="O79" s="158"/>
      <c r="P79" s="177"/>
      <c r="Q79" s="8"/>
      <c r="R79" s="8"/>
      <c r="S79" s="8"/>
      <c r="T79" s="8"/>
      <c r="U79" s="159" t="str">
        <f t="shared" si="6"/>
        <v/>
      </c>
      <c r="V79" s="159" t="str">
        <f>סיווג!Z79</f>
        <v/>
      </c>
      <c r="W79" s="8" t="str">
        <f t="shared" si="7"/>
        <v/>
      </c>
      <c r="X79" s="8">
        <v>1</v>
      </c>
      <c r="Y79" s="8" t="str">
        <f t="shared" si="8"/>
        <v/>
      </c>
      <c r="Z79" s="123" t="str">
        <f t="shared" si="9"/>
        <v/>
      </c>
      <c r="AA79" s="192">
        <f t="shared" si="10"/>
        <v>1</v>
      </c>
      <c r="AB79" s="192" t="str">
        <f t="shared" si="12"/>
        <v/>
      </c>
      <c r="AC79" s="192" t="str">
        <f t="shared" si="12"/>
        <v/>
      </c>
    </row>
    <row r="80" spans="2:29" ht="31.5" customHeight="1" x14ac:dyDescent="0.25">
      <c r="B80" s="7" t="str">
        <f t="shared" si="5"/>
        <v/>
      </c>
      <c r="C80" s="4"/>
      <c r="D80" s="4"/>
      <c r="E80" s="4"/>
      <c r="F80" s="230" t="str">
        <f>IF('תנאי סף'!AO80&lt;&gt;1,"",'תנאי סף'!F80)</f>
        <v/>
      </c>
      <c r="G80" s="159" t="str">
        <f>IF($F80="","",IF($AA80&lt;&gt;1,$AB$1,'תנאי סף'!O80))</f>
        <v/>
      </c>
      <c r="H80" s="6"/>
      <c r="I80" s="6"/>
      <c r="J80" s="5"/>
      <c r="K80" s="6"/>
      <c r="L80" s="5"/>
      <c r="M80" s="6"/>
      <c r="N80" s="6"/>
      <c r="O80" s="158"/>
      <c r="P80" s="177"/>
      <c r="Q80" s="8"/>
      <c r="R80" s="8"/>
      <c r="S80" s="8"/>
      <c r="T80" s="8"/>
      <c r="U80" s="159" t="str">
        <f t="shared" si="6"/>
        <v/>
      </c>
      <c r="V80" s="159" t="str">
        <f>סיווג!Z80</f>
        <v/>
      </c>
      <c r="W80" s="8" t="str">
        <f t="shared" si="7"/>
        <v/>
      </c>
      <c r="X80" s="8">
        <v>1</v>
      </c>
      <c r="Y80" s="8" t="str">
        <f t="shared" si="8"/>
        <v/>
      </c>
      <c r="Z80" s="123" t="str">
        <f t="shared" si="9"/>
        <v/>
      </c>
      <c r="AA80" s="192">
        <f t="shared" si="10"/>
        <v>1</v>
      </c>
      <c r="AB80" s="192" t="str">
        <f t="shared" si="12"/>
        <v/>
      </c>
      <c r="AC80" s="192" t="str">
        <f t="shared" si="12"/>
        <v/>
      </c>
    </row>
    <row r="81" spans="2:29" ht="31.5" customHeight="1" x14ac:dyDescent="0.25">
      <c r="B81" s="7" t="str">
        <f t="shared" si="5"/>
        <v/>
      </c>
      <c r="C81" s="4"/>
      <c r="D81" s="4"/>
      <c r="E81" s="4"/>
      <c r="F81" s="230" t="str">
        <f>IF('תנאי סף'!AO81&lt;&gt;1,"",'תנאי סף'!F81)</f>
        <v/>
      </c>
      <c r="G81" s="159" t="str">
        <f>IF($F81="","",IF($AA81&lt;&gt;1,$AB$1,'תנאי סף'!O81))</f>
        <v/>
      </c>
      <c r="H81" s="6"/>
      <c r="I81" s="6"/>
      <c r="J81" s="5"/>
      <c r="K81" s="6"/>
      <c r="L81" s="5"/>
      <c r="M81" s="6"/>
      <c r="N81" s="6"/>
      <c r="O81" s="158"/>
      <c r="P81" s="177"/>
      <c r="Q81" s="8"/>
      <c r="R81" s="8"/>
      <c r="S81" s="8"/>
      <c r="T81" s="8"/>
      <c r="U81" s="159" t="str">
        <f t="shared" si="6"/>
        <v/>
      </c>
      <c r="V81" s="159" t="str">
        <f>סיווג!Z81</f>
        <v/>
      </c>
      <c r="W81" s="8" t="str">
        <f t="shared" si="7"/>
        <v/>
      </c>
      <c r="X81" s="8">
        <v>1</v>
      </c>
      <c r="Y81" s="8" t="str">
        <f t="shared" si="8"/>
        <v/>
      </c>
      <c r="Z81" s="123" t="str">
        <f t="shared" si="9"/>
        <v/>
      </c>
      <c r="AA81" s="192">
        <f t="shared" si="10"/>
        <v>1</v>
      </c>
      <c r="AB81" s="192" t="str">
        <f t="shared" si="12"/>
        <v/>
      </c>
      <c r="AC81" s="192" t="str">
        <f t="shared" si="12"/>
        <v/>
      </c>
    </row>
    <row r="82" spans="2:29" ht="31.5" customHeight="1" x14ac:dyDescent="0.25">
      <c r="B82" s="7">
        <f t="shared" si="5"/>
        <v>52</v>
      </c>
      <c r="C82" s="4"/>
      <c r="D82" s="4"/>
      <c r="E82" s="4"/>
      <c r="F82" s="230" t="str">
        <f>IF('תנאי סף'!AO82&lt;&gt;1,"",'תנאי סף'!F82)</f>
        <v xml:space="preserve">פולקעס - בר-קיימא לתרבות </v>
      </c>
      <c r="G82" s="159">
        <f>IF($F82="","",IF($AA82&lt;&gt;1,$AB$1,'תנאי סף'!O82))</f>
        <v>7</v>
      </c>
      <c r="H82" s="6">
        <v>7</v>
      </c>
      <c r="I82" s="6"/>
      <c r="J82" s="5"/>
      <c r="K82" s="6"/>
      <c r="L82" s="5"/>
      <c r="M82" s="6"/>
      <c r="N82" s="6"/>
      <c r="O82" s="158"/>
      <c r="P82" s="177"/>
      <c r="Q82" s="8"/>
      <c r="R82" s="8"/>
      <c r="S82" s="8"/>
      <c r="T82" s="8"/>
      <c r="U82" s="159">
        <f t="shared" si="6"/>
        <v>7</v>
      </c>
      <c r="V82" s="159">
        <f>סיווג!Z82</f>
        <v>0.8</v>
      </c>
      <c r="W82" s="8">
        <f t="shared" si="7"/>
        <v>5.6000000000000005</v>
      </c>
      <c r="X82" s="8">
        <v>1</v>
      </c>
      <c r="Y82" s="8">
        <f t="shared" si="8"/>
        <v>5.6000000000000005</v>
      </c>
      <c r="Z82" s="123">
        <f t="shared" si="9"/>
        <v>4.5307443365695796E-2</v>
      </c>
      <c r="AA82" s="192">
        <f t="shared" si="10"/>
        <v>1</v>
      </c>
      <c r="AB82" s="192">
        <f t="shared" si="12"/>
        <v>0</v>
      </c>
      <c r="AC82" s="192">
        <f t="shared" si="12"/>
        <v>1</v>
      </c>
    </row>
    <row r="83" spans="2:29" ht="31.5" customHeight="1" x14ac:dyDescent="0.25">
      <c r="B83" s="7" t="str">
        <f t="shared" si="5"/>
        <v/>
      </c>
      <c r="C83" s="4"/>
      <c r="D83" s="4"/>
      <c r="E83" s="4"/>
      <c r="F83" s="230" t="str">
        <f>IF('תנאי סף'!AO83&lt;&gt;1,"",'תנאי סף'!F83)</f>
        <v/>
      </c>
      <c r="G83" s="159" t="str">
        <f>IF($F83="","",IF($AA83&lt;&gt;1,$AB$1,'תנאי סף'!O83))</f>
        <v/>
      </c>
      <c r="H83" s="6"/>
      <c r="I83" s="6"/>
      <c r="J83" s="5"/>
      <c r="K83" s="6"/>
      <c r="L83" s="5"/>
      <c r="M83" s="6"/>
      <c r="N83" s="6"/>
      <c r="O83" s="158"/>
      <c r="P83" s="177"/>
      <c r="Q83" s="8"/>
      <c r="R83" s="8"/>
      <c r="S83" s="8"/>
      <c r="T83" s="8"/>
      <c r="U83" s="159" t="str">
        <f t="shared" si="6"/>
        <v/>
      </c>
      <c r="V83" s="159" t="str">
        <f>סיווג!Z83</f>
        <v/>
      </c>
      <c r="W83" s="8" t="str">
        <f t="shared" si="7"/>
        <v/>
      </c>
      <c r="X83" s="8">
        <v>1</v>
      </c>
      <c r="Y83" s="8" t="str">
        <f t="shared" si="8"/>
        <v/>
      </c>
      <c r="Z83" s="123" t="str">
        <f t="shared" si="9"/>
        <v/>
      </c>
      <c r="AA83" s="192">
        <f t="shared" si="10"/>
        <v>1</v>
      </c>
      <c r="AB83" s="192" t="str">
        <f t="shared" si="12"/>
        <v/>
      </c>
      <c r="AC83" s="192" t="str">
        <f t="shared" si="12"/>
        <v/>
      </c>
    </row>
    <row r="84" spans="2:29" ht="31.5" customHeight="1" x14ac:dyDescent="0.25">
      <c r="B84" s="7" t="str">
        <f t="shared" si="5"/>
        <v/>
      </c>
      <c r="C84" s="4"/>
      <c r="D84" s="4"/>
      <c r="E84" s="4"/>
      <c r="F84" s="230" t="str">
        <f>IF('תנאי סף'!AO84&lt;&gt;1,"",'תנאי סף'!F84)</f>
        <v/>
      </c>
      <c r="G84" s="159" t="str">
        <f>IF($F84="","",IF($AA84&lt;&gt;1,$AB$1,'תנאי סף'!O84))</f>
        <v/>
      </c>
      <c r="H84" s="6"/>
      <c r="I84" s="6"/>
      <c r="J84" s="5"/>
      <c r="K84" s="6"/>
      <c r="L84" s="5"/>
      <c r="M84" s="6"/>
      <c r="N84" s="6"/>
      <c r="O84" s="158"/>
      <c r="P84" s="177"/>
      <c r="Q84" s="8"/>
      <c r="R84" s="8"/>
      <c r="S84" s="8"/>
      <c r="T84" s="8"/>
      <c r="U84" s="159" t="str">
        <f t="shared" si="6"/>
        <v/>
      </c>
      <c r="V84" s="159" t="str">
        <f>סיווג!Z84</f>
        <v/>
      </c>
      <c r="W84" s="8" t="str">
        <f t="shared" si="7"/>
        <v/>
      </c>
      <c r="X84" s="8">
        <v>1</v>
      </c>
      <c r="Y84" s="8" t="str">
        <f t="shared" si="8"/>
        <v/>
      </c>
      <c r="Z84" s="123" t="str">
        <f t="shared" si="9"/>
        <v/>
      </c>
      <c r="AA84" s="192">
        <f t="shared" si="10"/>
        <v>1</v>
      </c>
      <c r="AB84" s="192" t="str">
        <f t="shared" si="12"/>
        <v/>
      </c>
      <c r="AC84" s="192" t="str">
        <f t="shared" si="12"/>
        <v/>
      </c>
    </row>
    <row r="85" spans="2:29" ht="31.5" customHeight="1" x14ac:dyDescent="0.25">
      <c r="B85" s="7">
        <f t="shared" si="5"/>
        <v>55</v>
      </c>
      <c r="C85" s="4"/>
      <c r="D85" s="4"/>
      <c r="E85" s="4"/>
      <c r="F85" s="230" t="str">
        <f>IF('תנאי סף'!AO85&lt;&gt;1,"",'תנאי סף'!F85)</f>
        <v>מכון רננות</v>
      </c>
      <c r="G85" s="159">
        <f>IF($F85="","",IF($AA85&lt;&gt;1,$AB$1,'תנאי סף'!O85))</f>
        <v>15</v>
      </c>
      <c r="H85" s="6">
        <v>9</v>
      </c>
      <c r="I85" s="6"/>
      <c r="J85" s="5"/>
      <c r="K85" s="6"/>
      <c r="L85" s="5"/>
      <c r="M85" s="6"/>
      <c r="N85" s="6"/>
      <c r="O85" s="158"/>
      <c r="P85" s="177"/>
      <c r="Q85" s="8"/>
      <c r="R85" s="8"/>
      <c r="S85" s="8"/>
      <c r="T85" s="8"/>
      <c r="U85" s="159">
        <f t="shared" si="6"/>
        <v>9</v>
      </c>
      <c r="V85" s="159">
        <f>סיווג!Z85</f>
        <v>0.8</v>
      </c>
      <c r="W85" s="8">
        <f t="shared" si="7"/>
        <v>7.2</v>
      </c>
      <c r="X85" s="8">
        <v>1</v>
      </c>
      <c r="Y85" s="8">
        <f t="shared" si="8"/>
        <v>7.2</v>
      </c>
      <c r="Z85" s="123">
        <f t="shared" si="9"/>
        <v>5.8252427184466021E-2</v>
      </c>
      <c r="AA85" s="192">
        <f t="shared" si="10"/>
        <v>1</v>
      </c>
      <c r="AB85" s="192">
        <f t="shared" si="12"/>
        <v>0</v>
      </c>
      <c r="AC85" s="192">
        <f t="shared" si="12"/>
        <v>1</v>
      </c>
    </row>
    <row r="86" spans="2:29" ht="31.5" customHeight="1" x14ac:dyDescent="0.25">
      <c r="B86" s="7" t="str">
        <f t="shared" si="5"/>
        <v/>
      </c>
      <c r="C86" s="4"/>
      <c r="D86" s="4"/>
      <c r="E86" s="4"/>
      <c r="F86" s="230" t="str">
        <f>IF('תנאי סף'!AO86&lt;&gt;1,"",'תנאי סף'!F86)</f>
        <v/>
      </c>
      <c r="G86" s="159" t="str">
        <f>IF($F86="","",IF($AA86&lt;&gt;1,$AB$1,'תנאי סף'!O86))</f>
        <v/>
      </c>
      <c r="H86" s="6"/>
      <c r="I86" s="6"/>
      <c r="J86" s="5"/>
      <c r="K86" s="6"/>
      <c r="L86" s="5"/>
      <c r="M86" s="6"/>
      <c r="N86" s="6"/>
      <c r="O86" s="158"/>
      <c r="P86" s="177"/>
      <c r="Q86" s="8"/>
      <c r="R86" s="8"/>
      <c r="S86" s="8"/>
      <c r="T86" s="8"/>
      <c r="U86" s="159" t="str">
        <f t="shared" si="6"/>
        <v/>
      </c>
      <c r="V86" s="159" t="str">
        <f>סיווג!Z86</f>
        <v/>
      </c>
      <c r="W86" s="8" t="str">
        <f t="shared" si="7"/>
        <v/>
      </c>
      <c r="X86" s="8">
        <v>1</v>
      </c>
      <c r="Y86" s="8" t="str">
        <f t="shared" si="8"/>
        <v/>
      </c>
      <c r="Z86" s="123" t="str">
        <f t="shared" si="9"/>
        <v/>
      </c>
      <c r="AA86" s="192">
        <f t="shared" si="10"/>
        <v>1</v>
      </c>
      <c r="AB86" s="192" t="str">
        <f t="shared" si="12"/>
        <v/>
      </c>
      <c r="AC86" s="192" t="str">
        <f t="shared" si="12"/>
        <v/>
      </c>
    </row>
    <row r="87" spans="2:29" ht="31.5" customHeight="1" x14ac:dyDescent="0.25">
      <c r="B87" s="7">
        <f t="shared" si="5"/>
        <v>57</v>
      </c>
      <c r="C87" s="4"/>
      <c r="D87" s="4"/>
      <c r="E87" s="4"/>
      <c r="F87" s="230" t="str">
        <f>IF('תנאי סף'!AO87&lt;&gt;1,"",'תנאי סף'!F87)</f>
        <v>עמותת מפעל המוזיקה צימבליסטה</v>
      </c>
      <c r="G87" s="159">
        <f>IF($F87="","",IF($AA87&lt;&gt;1,$AB$1,'תנאי סף'!O87))</f>
        <v>14</v>
      </c>
      <c r="H87" s="6">
        <v>7</v>
      </c>
      <c r="I87" s="6"/>
      <c r="J87" s="5"/>
      <c r="K87" s="6"/>
      <c r="L87" s="5"/>
      <c r="M87" s="6"/>
      <c r="N87" s="6"/>
      <c r="O87" s="158"/>
      <c r="P87" s="177"/>
      <c r="Q87" s="8"/>
      <c r="R87" s="8"/>
      <c r="S87" s="8"/>
      <c r="T87" s="8"/>
      <c r="U87" s="159">
        <f t="shared" si="6"/>
        <v>7</v>
      </c>
      <c r="V87" s="159">
        <f>סיווג!Z87</f>
        <v>1</v>
      </c>
      <c r="W87" s="8">
        <f t="shared" si="7"/>
        <v>7</v>
      </c>
      <c r="X87" s="8">
        <v>1</v>
      </c>
      <c r="Y87" s="8">
        <f t="shared" si="8"/>
        <v>7</v>
      </c>
      <c r="Z87" s="123">
        <f t="shared" si="9"/>
        <v>5.6634304207119741E-2</v>
      </c>
      <c r="AA87" s="192">
        <f t="shared" si="10"/>
        <v>1</v>
      </c>
      <c r="AB87" s="192">
        <f t="shared" si="12"/>
        <v>0</v>
      </c>
      <c r="AC87" s="192">
        <f t="shared" si="12"/>
        <v>1</v>
      </c>
    </row>
    <row r="88" spans="2:29" ht="31.5" customHeight="1" x14ac:dyDescent="0.25">
      <c r="B88" s="7" t="str">
        <f t="shared" si="5"/>
        <v/>
      </c>
      <c r="C88" s="4"/>
      <c r="D88" s="4"/>
      <c r="E88" s="4"/>
      <c r="F88" s="230" t="str">
        <f>IF('תנאי סף'!AO88&lt;&gt;1,"",'תנאי סף'!F88)</f>
        <v/>
      </c>
      <c r="G88" s="159" t="str">
        <f>IF($F88="","",IF($AA88&lt;&gt;1,$AB$1,'תנאי סף'!O88))</f>
        <v/>
      </c>
      <c r="H88" s="6"/>
      <c r="I88" s="6"/>
      <c r="J88" s="5"/>
      <c r="K88" s="6"/>
      <c r="L88" s="5"/>
      <c r="M88" s="6"/>
      <c r="N88" s="6"/>
      <c r="O88" s="158"/>
      <c r="P88" s="177"/>
      <c r="Q88" s="8"/>
      <c r="R88" s="8"/>
      <c r="S88" s="8"/>
      <c r="T88" s="8"/>
      <c r="U88" s="159" t="str">
        <f t="shared" si="6"/>
        <v/>
      </c>
      <c r="V88" s="159" t="str">
        <f>סיווג!Z88</f>
        <v/>
      </c>
      <c r="W88" s="8" t="str">
        <f t="shared" si="7"/>
        <v/>
      </c>
      <c r="X88" s="8">
        <v>1</v>
      </c>
      <c r="Y88" s="8" t="str">
        <f t="shared" si="8"/>
        <v/>
      </c>
      <c r="Z88" s="123" t="str">
        <f t="shared" si="9"/>
        <v/>
      </c>
      <c r="AA88" s="192">
        <f t="shared" si="10"/>
        <v>1</v>
      </c>
      <c r="AB88" s="192" t="str">
        <f t="shared" si="12"/>
        <v/>
      </c>
      <c r="AC88" s="192" t="str">
        <f t="shared" si="12"/>
        <v/>
      </c>
    </row>
    <row r="89" spans="2:29" ht="31.5" customHeight="1" x14ac:dyDescent="0.25">
      <c r="B89" s="7">
        <f t="shared" si="5"/>
        <v>59</v>
      </c>
      <c r="C89" s="4"/>
      <c r="D89" s="4"/>
      <c r="E89" s="4"/>
      <c r="F89" s="230" t="str">
        <f>IF('תנאי סף'!AO89&lt;&gt;1,"",'תנאי סף'!F89)</f>
        <v>העמותה לקידום המוסיקה הערבית</v>
      </c>
      <c r="G89" s="159">
        <f>IF($F89="","",IF($AA89&lt;&gt;1,$AB$1,'תנאי סף'!O89))</f>
        <v>15</v>
      </c>
      <c r="H89" s="6">
        <v>3</v>
      </c>
      <c r="I89" s="6"/>
      <c r="J89" s="5"/>
      <c r="K89" s="6"/>
      <c r="L89" s="5"/>
      <c r="M89" s="6"/>
      <c r="N89" s="6"/>
      <c r="O89" s="158"/>
      <c r="P89" s="177"/>
      <c r="Q89" s="8"/>
      <c r="R89" s="8"/>
      <c r="S89" s="8"/>
      <c r="T89" s="8"/>
      <c r="U89" s="159">
        <f t="shared" si="6"/>
        <v>3</v>
      </c>
      <c r="V89" s="159">
        <f>סיווג!Z89</f>
        <v>1</v>
      </c>
      <c r="W89" s="8">
        <f t="shared" si="7"/>
        <v>3</v>
      </c>
      <c r="X89" s="8">
        <v>1</v>
      </c>
      <c r="Y89" s="8">
        <f t="shared" si="8"/>
        <v>3</v>
      </c>
      <c r="Z89" s="123">
        <f t="shared" si="9"/>
        <v>2.4271844660194174E-2</v>
      </c>
      <c r="AA89" s="192">
        <f t="shared" si="10"/>
        <v>1</v>
      </c>
      <c r="AB89" s="192">
        <f t="shared" si="12"/>
        <v>0</v>
      </c>
      <c r="AC89" s="192">
        <f t="shared" si="12"/>
        <v>1</v>
      </c>
    </row>
    <row r="90" spans="2:29" ht="31.5" customHeight="1" x14ac:dyDescent="0.25">
      <c r="B90" s="7">
        <f t="shared" si="5"/>
        <v>60</v>
      </c>
      <c r="C90" s="4"/>
      <c r="D90" s="4"/>
      <c r="E90" s="4"/>
      <c r="F90" s="230" t="str">
        <f>IF('תנאי סף'!AO90&lt;&gt;1,"",'תנאי סף'!F90)</f>
        <v>תמיכה בתזמורת TLV (הערבית יהודית)</v>
      </c>
      <c r="G90" s="159">
        <f>IF($F90="","",IF($AA90&lt;&gt;1,$AB$1,'תנאי סף'!O90))</f>
        <v>22</v>
      </c>
      <c r="H90" s="6">
        <v>0</v>
      </c>
      <c r="I90" s="6"/>
      <c r="J90" s="5"/>
      <c r="K90" s="6"/>
      <c r="L90" s="5"/>
      <c r="M90" s="6"/>
      <c r="N90" s="6"/>
      <c r="O90" s="158"/>
      <c r="P90" s="177"/>
      <c r="Q90" s="8"/>
      <c r="R90" s="8"/>
      <c r="S90" s="8"/>
      <c r="T90" s="8"/>
      <c r="U90" s="159">
        <f t="shared" si="6"/>
        <v>0</v>
      </c>
      <c r="V90" s="159">
        <f>סיווג!Z90</f>
        <v>1</v>
      </c>
      <c r="W90" s="8">
        <f t="shared" si="7"/>
        <v>0</v>
      </c>
      <c r="X90" s="8">
        <v>1</v>
      </c>
      <c r="Y90" s="8">
        <f t="shared" si="8"/>
        <v>0</v>
      </c>
      <c r="Z90" s="123">
        <f t="shared" si="9"/>
        <v>0</v>
      </c>
      <c r="AA90" s="192">
        <f t="shared" si="10"/>
        <v>1</v>
      </c>
      <c r="AB90" s="192">
        <f t="shared" si="12"/>
        <v>0</v>
      </c>
      <c r="AC90" s="192">
        <f t="shared" si="12"/>
        <v>1</v>
      </c>
    </row>
    <row r="91" spans="2:29" ht="31.5" customHeight="1" x14ac:dyDescent="0.25">
      <c r="B91" s="7">
        <f t="shared" si="5"/>
        <v>61</v>
      </c>
      <c r="C91" s="4"/>
      <c r="D91" s="4"/>
      <c r="E91" s="4"/>
      <c r="F91" s="230" t="str">
        <f>IF('תנאי סף'!AO91&lt;&gt;1,"",'תנאי סף'!F91)</f>
        <v>אנסמבל גליל</v>
      </c>
      <c r="G91" s="159">
        <f>IF($F91="","",IF($AA91&lt;&gt;1,$AB$1,'תנאי סף'!O91))</f>
        <v>9</v>
      </c>
      <c r="H91" s="6">
        <v>5</v>
      </c>
      <c r="I91" s="6"/>
      <c r="J91" s="5"/>
      <c r="K91" s="6"/>
      <c r="L91" s="5"/>
      <c r="M91" s="6"/>
      <c r="N91" s="6"/>
      <c r="O91" s="158"/>
      <c r="P91" s="177"/>
      <c r="Q91" s="8"/>
      <c r="R91" s="8"/>
      <c r="S91" s="8"/>
      <c r="T91" s="8"/>
      <c r="U91" s="159">
        <f t="shared" si="6"/>
        <v>5</v>
      </c>
      <c r="V91" s="159">
        <f>סיווג!Z91</f>
        <v>0.5</v>
      </c>
      <c r="W91" s="8">
        <f t="shared" si="7"/>
        <v>2.5</v>
      </c>
      <c r="X91" s="8">
        <v>1</v>
      </c>
      <c r="Y91" s="8">
        <f t="shared" si="8"/>
        <v>2.5</v>
      </c>
      <c r="Z91" s="123">
        <f t="shared" si="9"/>
        <v>2.0226537216828482E-2</v>
      </c>
      <c r="AA91" s="192">
        <f t="shared" si="10"/>
        <v>1</v>
      </c>
      <c r="AB91" s="192">
        <f t="shared" si="12"/>
        <v>0</v>
      </c>
      <c r="AC91" s="192">
        <f t="shared" si="12"/>
        <v>1</v>
      </c>
    </row>
    <row r="92" spans="2:29" ht="31.5" customHeight="1" x14ac:dyDescent="0.25">
      <c r="B92" s="7">
        <f t="shared" si="5"/>
        <v>62</v>
      </c>
      <c r="C92" s="4"/>
      <c r="D92" s="4"/>
      <c r="E92" s="4"/>
      <c r="F92" s="230" t="str">
        <f>IF('תנאי סף'!AO92&lt;&gt;1,"",'תנאי סף'!F92)</f>
        <v>דריה- הרכב אינסטרומנטלי</v>
      </c>
      <c r="G92" s="159">
        <f>IF($F92="","",IF($AA92&lt;&gt;1,$AB$1,'תנאי סף'!O92))</f>
        <v>3</v>
      </c>
      <c r="H92" s="6">
        <v>3</v>
      </c>
      <c r="I92" s="6"/>
      <c r="J92" s="5"/>
      <c r="K92" s="6"/>
      <c r="L92" s="5"/>
      <c r="M92" s="6"/>
      <c r="N92" s="6"/>
      <c r="O92" s="158"/>
      <c r="P92" s="177"/>
      <c r="Q92" s="8"/>
      <c r="R92" s="8"/>
      <c r="S92" s="8"/>
      <c r="T92" s="8"/>
      <c r="U92" s="159">
        <f t="shared" si="6"/>
        <v>3</v>
      </c>
      <c r="V92" s="159">
        <f>סיווג!Z92</f>
        <v>0.5</v>
      </c>
      <c r="W92" s="8">
        <f t="shared" si="7"/>
        <v>1.5</v>
      </c>
      <c r="X92" s="8">
        <v>1</v>
      </c>
      <c r="Y92" s="8">
        <f t="shared" si="8"/>
        <v>1.5</v>
      </c>
      <c r="Z92" s="123">
        <f t="shared" si="9"/>
        <v>1.2135922330097087E-2</v>
      </c>
      <c r="AA92" s="192">
        <f t="shared" si="10"/>
        <v>1</v>
      </c>
      <c r="AB92" s="192">
        <f t="shared" ref="AB92:AC130" si="13">IF($F92="","",AB$30)</f>
        <v>0</v>
      </c>
      <c r="AC92" s="192">
        <f t="shared" si="13"/>
        <v>1</v>
      </c>
    </row>
    <row r="93" spans="2:29" ht="31.5" customHeight="1" x14ac:dyDescent="0.25">
      <c r="B93" s="7">
        <f t="shared" si="5"/>
        <v>63</v>
      </c>
      <c r="C93" s="4"/>
      <c r="D93" s="4"/>
      <c r="E93" s="4"/>
      <c r="F93" s="230" t="str">
        <f>IF('תנאי סף'!AO93&lt;&gt;1,"",'תנאי סף'!F93)</f>
        <v>להקת שלוש</v>
      </c>
      <c r="G93" s="159">
        <f>IF($F93="","",IF($AA93&lt;&gt;1,$AB$1,'תנאי סף'!O93))</f>
        <v>3</v>
      </c>
      <c r="H93" s="6">
        <v>3</v>
      </c>
      <c r="I93" s="6"/>
      <c r="J93" s="5"/>
      <c r="K93" s="6"/>
      <c r="L93" s="5"/>
      <c r="M93" s="6"/>
      <c r="N93" s="6"/>
      <c r="O93" s="158"/>
      <c r="P93" s="177"/>
      <c r="Q93" s="8"/>
      <c r="R93" s="8"/>
      <c r="S93" s="8"/>
      <c r="T93" s="8"/>
      <c r="U93" s="159">
        <f t="shared" si="6"/>
        <v>3</v>
      </c>
      <c r="V93" s="159">
        <f>סיווג!Z93</f>
        <v>0.5</v>
      </c>
      <c r="W93" s="8">
        <f t="shared" si="7"/>
        <v>1.5</v>
      </c>
      <c r="X93" s="8">
        <v>1</v>
      </c>
      <c r="Y93" s="8">
        <f t="shared" si="8"/>
        <v>1.5</v>
      </c>
      <c r="Z93" s="123">
        <f t="shared" si="9"/>
        <v>1.2135922330097087E-2</v>
      </c>
      <c r="AA93" s="192">
        <f t="shared" si="10"/>
        <v>1</v>
      </c>
      <c r="AB93" s="192">
        <f t="shared" si="13"/>
        <v>0</v>
      </c>
      <c r="AC93" s="192">
        <f t="shared" si="13"/>
        <v>1</v>
      </c>
    </row>
    <row r="94" spans="2:29" ht="31.5" customHeight="1" x14ac:dyDescent="0.25">
      <c r="B94" s="7">
        <f t="shared" si="5"/>
        <v>64</v>
      </c>
      <c r="C94" s="4"/>
      <c r="D94" s="4"/>
      <c r="E94" s="4"/>
      <c r="F94" s="230" t="str">
        <f>IF('תנאי סף'!AO94&lt;&gt;1,"",'תנאי סף'!F94)</f>
        <v>רביעיית טוסקאניני</v>
      </c>
      <c r="G94" s="159">
        <f>IF($F94="","",IF($AA94&lt;&gt;1,$AB$1,'תנאי סף'!O94))</f>
        <v>7</v>
      </c>
      <c r="H94" s="6">
        <v>0</v>
      </c>
      <c r="I94" s="6"/>
      <c r="J94" s="5"/>
      <c r="K94" s="6"/>
      <c r="L94" s="5"/>
      <c r="M94" s="6"/>
      <c r="N94" s="6"/>
      <c r="O94" s="158"/>
      <c r="P94" s="177"/>
      <c r="Q94" s="8"/>
      <c r="R94" s="8"/>
      <c r="S94" s="8"/>
      <c r="T94" s="8"/>
      <c r="U94" s="159">
        <f t="shared" si="6"/>
        <v>0</v>
      </c>
      <c r="V94" s="159">
        <f>סיווג!Z94</f>
        <v>0.5</v>
      </c>
      <c r="W94" s="8">
        <f t="shared" si="7"/>
        <v>0</v>
      </c>
      <c r="X94" s="8">
        <v>1</v>
      </c>
      <c r="Y94" s="8">
        <f t="shared" si="8"/>
        <v>0</v>
      </c>
      <c r="Z94" s="123">
        <f t="shared" si="9"/>
        <v>0</v>
      </c>
      <c r="AA94" s="192">
        <f t="shared" si="10"/>
        <v>1</v>
      </c>
      <c r="AB94" s="192">
        <f t="shared" si="13"/>
        <v>0</v>
      </c>
      <c r="AC94" s="192">
        <f t="shared" si="13"/>
        <v>1</v>
      </c>
    </row>
    <row r="95" spans="2:29" ht="31.5" customHeight="1" x14ac:dyDescent="0.25">
      <c r="B95" s="7">
        <f t="shared" si="5"/>
        <v>65</v>
      </c>
      <c r="C95" s="4"/>
      <c r="D95" s="4"/>
      <c r="E95" s="4"/>
      <c r="F95" s="230" t="str">
        <f>IF('תנאי סף'!AO95&lt;&gt;1,"",'תנאי סף'!F95)</f>
        <v>תקוע-קבוצה מוזיקלית - 'דאפה' 2024</v>
      </c>
      <c r="G95" s="159">
        <f>IF($F95="","",IF($AA95&lt;&gt;1,$AB$1,'תנאי סף'!O95))</f>
        <v>10</v>
      </c>
      <c r="H95" s="6">
        <v>10</v>
      </c>
      <c r="I95" s="6"/>
      <c r="J95" s="5"/>
      <c r="K95" s="6"/>
      <c r="L95" s="5"/>
      <c r="M95" s="6"/>
      <c r="N95" s="6"/>
      <c r="O95" s="158"/>
      <c r="P95" s="177"/>
      <c r="Q95" s="8"/>
      <c r="R95" s="8"/>
      <c r="S95" s="8"/>
      <c r="T95" s="8"/>
      <c r="U95" s="159">
        <f t="shared" si="6"/>
        <v>10</v>
      </c>
      <c r="V95" s="159">
        <f>סיווג!Z95</f>
        <v>1</v>
      </c>
      <c r="W95" s="8">
        <f t="shared" si="7"/>
        <v>10</v>
      </c>
      <c r="X95" s="8">
        <v>1</v>
      </c>
      <c r="Y95" s="8">
        <f t="shared" si="8"/>
        <v>10</v>
      </c>
      <c r="Z95" s="123">
        <f t="shared" si="9"/>
        <v>8.0906148867313926E-2</v>
      </c>
      <c r="AA95" s="192">
        <f t="shared" si="10"/>
        <v>1</v>
      </c>
      <c r="AB95" s="192">
        <f t="shared" si="13"/>
        <v>0</v>
      </c>
      <c r="AC95" s="192">
        <f t="shared" si="13"/>
        <v>1</v>
      </c>
    </row>
    <row r="96" spans="2:29" ht="31.5" customHeight="1" x14ac:dyDescent="0.25">
      <c r="B96" s="7">
        <f t="shared" ref="B96:B130" si="14">IF(F96="","",ROW()-30)</f>
        <v>66</v>
      </c>
      <c r="C96" s="4"/>
      <c r="D96" s="4"/>
      <c r="E96" s="4"/>
      <c r="F96" s="230" t="str">
        <f>IF('תנאי סף'!AO96&lt;&gt;1,"",'תנאי סף'!F96)</f>
        <v>טריו בן חיים</v>
      </c>
      <c r="G96" s="159">
        <f>IF($F96="","",IF($AA96&lt;&gt;1,$AB$1,'תנאי סף'!O96))</f>
        <v>3</v>
      </c>
      <c r="H96" s="6">
        <v>0</v>
      </c>
      <c r="I96" s="6"/>
      <c r="J96" s="5"/>
      <c r="K96" s="6"/>
      <c r="L96" s="5"/>
      <c r="M96" s="6"/>
      <c r="N96" s="6"/>
      <c r="O96" s="158"/>
      <c r="P96" s="177"/>
      <c r="Q96" s="8"/>
      <c r="R96" s="8"/>
      <c r="S96" s="8"/>
      <c r="T96" s="8"/>
      <c r="U96" s="159">
        <f t="shared" ref="U96:U130" si="15">IF($F96="","",IF(OR(H96&gt;G96,$AA96&lt;&gt;1),$AB$1,IFERROR(H96*$G$5,$AB$1)))</f>
        <v>0</v>
      </c>
      <c r="V96" s="159">
        <f>סיווג!Z96</f>
        <v>0.5</v>
      </c>
      <c r="W96" s="8">
        <f t="shared" ref="W96:W130" si="16">IF($F96="","",IF($AA96&lt;&gt;1,$AB$1,IFERROR(U96*V96,$AB$1)))</f>
        <v>0</v>
      </c>
      <c r="X96" s="8">
        <v>1</v>
      </c>
      <c r="Y96" s="8">
        <f t="shared" ref="Y96:Y130" si="17">IF($F96="","",IF($AA96&lt;&gt;1,$AB$1,IFERROR(W96*X96,$AB$1)))</f>
        <v>0</v>
      </c>
      <c r="Z96" s="123">
        <f t="shared" ref="Z96:Z130" si="18">IF($F96="","",IF(OR($AA96&lt;&gt;1,Y96=$AB$1),$AB$1,IFERROR(Y96/SUM($Y$31:$Y$130),0)))</f>
        <v>0</v>
      </c>
      <c r="AA96" s="192">
        <f t="shared" ref="AA96:AA130" si="19">IF(SUM(AD96:AV96)=COUNT(AD96:AV96),1,0)</f>
        <v>1</v>
      </c>
      <c r="AB96" s="192">
        <f t="shared" si="13"/>
        <v>0</v>
      </c>
      <c r="AC96" s="192">
        <f t="shared" si="13"/>
        <v>1</v>
      </c>
    </row>
    <row r="97" spans="2:29" ht="31.5" customHeight="1" x14ac:dyDescent="0.25">
      <c r="B97" s="7" t="str">
        <f t="shared" si="14"/>
        <v/>
      </c>
      <c r="C97" s="4"/>
      <c r="D97" s="4"/>
      <c r="E97" s="4"/>
      <c r="F97" s="230" t="str">
        <f>IF('תנאי סף'!AO97&lt;&gt;1,"",'תנאי סף'!F97)</f>
        <v/>
      </c>
      <c r="G97" s="159" t="str">
        <f>IF($F97="","",IF($AA97&lt;&gt;1,$AB$1,'תנאי סף'!O97))</f>
        <v/>
      </c>
      <c r="H97" s="6"/>
      <c r="I97" s="6"/>
      <c r="J97" s="5"/>
      <c r="K97" s="6"/>
      <c r="L97" s="5"/>
      <c r="M97" s="6"/>
      <c r="N97" s="6"/>
      <c r="O97" s="158"/>
      <c r="P97" s="177"/>
      <c r="Q97" s="8"/>
      <c r="R97" s="8"/>
      <c r="S97" s="8"/>
      <c r="T97" s="8"/>
      <c r="U97" s="159" t="str">
        <f t="shared" si="15"/>
        <v/>
      </c>
      <c r="V97" s="159" t="str">
        <f>סיווג!Z97</f>
        <v/>
      </c>
      <c r="W97" s="8" t="str">
        <f t="shared" si="16"/>
        <v/>
      </c>
      <c r="X97" s="8">
        <v>1</v>
      </c>
      <c r="Y97" s="8" t="str">
        <f t="shared" si="17"/>
        <v/>
      </c>
      <c r="Z97" s="123" t="str">
        <f t="shared" si="18"/>
        <v/>
      </c>
      <c r="AA97" s="192">
        <f t="shared" si="19"/>
        <v>1</v>
      </c>
      <c r="AB97" s="192" t="str">
        <f t="shared" si="13"/>
        <v/>
      </c>
      <c r="AC97" s="192" t="str">
        <f t="shared" si="13"/>
        <v/>
      </c>
    </row>
    <row r="98" spans="2:29" ht="31.5" customHeight="1" x14ac:dyDescent="0.25">
      <c r="B98" s="7">
        <f t="shared" si="14"/>
        <v>68</v>
      </c>
      <c r="C98" s="4"/>
      <c r="D98" s="4"/>
      <c r="E98" s="4"/>
      <c r="F98" s="230" t="str">
        <f>IF('תנאי סף'!AO98&lt;&gt;1,"",'תנאי סף'!F98)</f>
        <v>אמיתי אריכא והפרויקט D1</v>
      </c>
      <c r="G98" s="159">
        <f>IF($F98="","",IF($AA98&lt;&gt;1,$AB$1,'תנאי סף'!O98))</f>
        <v>5</v>
      </c>
      <c r="H98" s="6">
        <v>3</v>
      </c>
      <c r="I98" s="6"/>
      <c r="J98" s="5"/>
      <c r="K98" s="6"/>
      <c r="L98" s="5"/>
      <c r="M98" s="6"/>
      <c r="N98" s="6"/>
      <c r="O98" s="158"/>
      <c r="P98" s="177"/>
      <c r="Q98" s="8"/>
      <c r="R98" s="8"/>
      <c r="S98" s="8"/>
      <c r="T98" s="8"/>
      <c r="U98" s="159">
        <f t="shared" si="15"/>
        <v>3</v>
      </c>
      <c r="V98" s="159">
        <f>סיווג!Z98</f>
        <v>0.5</v>
      </c>
      <c r="W98" s="8">
        <f t="shared" si="16"/>
        <v>1.5</v>
      </c>
      <c r="X98" s="8">
        <v>1</v>
      </c>
      <c r="Y98" s="8">
        <f t="shared" si="17"/>
        <v>1.5</v>
      </c>
      <c r="Z98" s="123">
        <f t="shared" si="18"/>
        <v>1.2135922330097087E-2</v>
      </c>
      <c r="AA98" s="192">
        <f t="shared" si="19"/>
        <v>1</v>
      </c>
      <c r="AB98" s="192">
        <f t="shared" si="13"/>
        <v>0</v>
      </c>
      <c r="AC98" s="192">
        <f t="shared" si="13"/>
        <v>1</v>
      </c>
    </row>
    <row r="99" spans="2:29" x14ac:dyDescent="0.25">
      <c r="B99" s="7" t="str">
        <f t="shared" si="14"/>
        <v/>
      </c>
      <c r="C99" s="4"/>
      <c r="D99" s="4"/>
      <c r="E99" s="4"/>
      <c r="F99" s="230" t="str">
        <f>IF('תנאי סף'!AO99&lt;&gt;1,"",'תנאי סף'!F99)</f>
        <v/>
      </c>
      <c r="G99" s="159" t="str">
        <f>IF($F99="","",IF($AA99&lt;&gt;1,$AB$1,'תנאי סף'!O99))</f>
        <v/>
      </c>
      <c r="H99" s="6"/>
      <c r="I99" s="6"/>
      <c r="J99" s="5"/>
      <c r="K99" s="6"/>
      <c r="L99" s="5"/>
      <c r="M99" s="6"/>
      <c r="N99" s="6"/>
      <c r="O99" s="158"/>
      <c r="P99" s="177"/>
      <c r="Q99" s="8"/>
      <c r="R99" s="8"/>
      <c r="S99" s="8"/>
      <c r="T99" s="8"/>
      <c r="U99" s="159" t="str">
        <f t="shared" si="15"/>
        <v/>
      </c>
      <c r="V99" s="159" t="str">
        <f>סיווג!Z99</f>
        <v/>
      </c>
      <c r="W99" s="8" t="str">
        <f t="shared" si="16"/>
        <v/>
      </c>
      <c r="X99" s="8">
        <v>1</v>
      </c>
      <c r="Y99" s="8" t="str">
        <f t="shared" si="17"/>
        <v/>
      </c>
      <c r="Z99" s="123" t="str">
        <f t="shared" si="18"/>
        <v/>
      </c>
      <c r="AA99" s="192">
        <f t="shared" si="19"/>
        <v>1</v>
      </c>
      <c r="AB99" s="192" t="str">
        <f t="shared" si="13"/>
        <v/>
      </c>
      <c r="AC99" s="192" t="str">
        <f t="shared" si="13"/>
        <v/>
      </c>
    </row>
    <row r="100" spans="2:29" x14ac:dyDescent="0.25">
      <c r="B100" s="7" t="str">
        <f t="shared" si="14"/>
        <v/>
      </c>
      <c r="C100" s="4"/>
      <c r="D100" s="4"/>
      <c r="E100" s="4"/>
      <c r="F100" s="230" t="str">
        <f>IF('תנאי סף'!AO100&lt;&gt;1,"",'תנאי סף'!F100)</f>
        <v/>
      </c>
      <c r="G100" s="159" t="str">
        <f>IF($F100="","",IF($AA100&lt;&gt;1,$AB$1,'תנאי סף'!O100))</f>
        <v/>
      </c>
      <c r="H100" s="6"/>
      <c r="I100" s="6"/>
      <c r="J100" s="5"/>
      <c r="K100" s="6"/>
      <c r="L100" s="5"/>
      <c r="M100" s="6"/>
      <c r="N100" s="6"/>
      <c r="O100" s="158"/>
      <c r="P100" s="177"/>
      <c r="Q100" s="8"/>
      <c r="R100" s="8"/>
      <c r="S100" s="8"/>
      <c r="T100" s="8"/>
      <c r="U100" s="159" t="str">
        <f t="shared" si="15"/>
        <v/>
      </c>
      <c r="V100" s="159" t="str">
        <f>סיווג!Z100</f>
        <v/>
      </c>
      <c r="W100" s="8" t="str">
        <f t="shared" si="16"/>
        <v/>
      </c>
      <c r="X100" s="8">
        <v>1</v>
      </c>
      <c r="Y100" s="8" t="str">
        <f t="shared" si="17"/>
        <v/>
      </c>
      <c r="Z100" s="123" t="str">
        <f t="shared" si="18"/>
        <v/>
      </c>
      <c r="AA100" s="192">
        <f t="shared" si="19"/>
        <v>1</v>
      </c>
      <c r="AB100" s="192" t="str">
        <f t="shared" si="13"/>
        <v/>
      </c>
      <c r="AC100" s="192" t="str">
        <f t="shared" si="13"/>
        <v/>
      </c>
    </row>
    <row r="101" spans="2:29" x14ac:dyDescent="0.25">
      <c r="B101" s="7" t="str">
        <f t="shared" si="14"/>
        <v/>
      </c>
      <c r="C101" s="4"/>
      <c r="D101" s="4"/>
      <c r="E101" s="4"/>
      <c r="F101" s="230" t="str">
        <f>IF('תנאי סף'!AO101&lt;&gt;1,"",'תנאי סף'!F101)</f>
        <v/>
      </c>
      <c r="G101" s="159" t="str">
        <f>IF($F101="","",IF($AA101&lt;&gt;1,$AB$1,'תנאי סף'!O101))</f>
        <v/>
      </c>
      <c r="H101" s="6"/>
      <c r="I101" s="6"/>
      <c r="J101" s="5"/>
      <c r="K101" s="6"/>
      <c r="L101" s="5"/>
      <c r="M101" s="6"/>
      <c r="N101" s="6"/>
      <c r="O101" s="158"/>
      <c r="P101" s="177"/>
      <c r="Q101" s="8"/>
      <c r="R101" s="8"/>
      <c r="S101" s="8"/>
      <c r="T101" s="8"/>
      <c r="U101" s="159" t="str">
        <f t="shared" si="15"/>
        <v/>
      </c>
      <c r="V101" s="159" t="str">
        <f>סיווג!Z101</f>
        <v/>
      </c>
      <c r="W101" s="8" t="str">
        <f t="shared" si="16"/>
        <v/>
      </c>
      <c r="X101" s="8">
        <v>1</v>
      </c>
      <c r="Y101" s="8" t="str">
        <f t="shared" si="17"/>
        <v/>
      </c>
      <c r="Z101" s="123" t="str">
        <f t="shared" si="18"/>
        <v/>
      </c>
      <c r="AA101" s="192">
        <f t="shared" si="19"/>
        <v>1</v>
      </c>
      <c r="AB101" s="192" t="str">
        <f t="shared" si="13"/>
        <v/>
      </c>
      <c r="AC101" s="192" t="str">
        <f t="shared" si="13"/>
        <v/>
      </c>
    </row>
    <row r="102" spans="2:29" x14ac:dyDescent="0.25">
      <c r="B102" s="7" t="str">
        <f t="shared" si="14"/>
        <v/>
      </c>
      <c r="C102" s="4"/>
      <c r="D102" s="4"/>
      <c r="E102" s="4"/>
      <c r="F102" s="230" t="str">
        <f>IF('תנאי סף'!AO102&lt;&gt;1,"",'תנאי סף'!F102)</f>
        <v/>
      </c>
      <c r="G102" s="159" t="str">
        <f>IF($F102="","",IF($AA102&lt;&gt;1,$AB$1,'תנאי סף'!O102))</f>
        <v/>
      </c>
      <c r="H102" s="6"/>
      <c r="I102" s="6"/>
      <c r="J102" s="5"/>
      <c r="K102" s="6"/>
      <c r="L102" s="5"/>
      <c r="M102" s="6"/>
      <c r="N102" s="6"/>
      <c r="O102" s="158"/>
      <c r="P102" s="177"/>
      <c r="Q102" s="8"/>
      <c r="R102" s="8"/>
      <c r="S102" s="8"/>
      <c r="T102" s="8"/>
      <c r="U102" s="159" t="str">
        <f t="shared" si="15"/>
        <v/>
      </c>
      <c r="V102" s="159" t="str">
        <f>סיווג!Z102</f>
        <v/>
      </c>
      <c r="W102" s="8" t="str">
        <f t="shared" si="16"/>
        <v/>
      </c>
      <c r="X102" s="8">
        <v>1</v>
      </c>
      <c r="Y102" s="8" t="str">
        <f t="shared" si="17"/>
        <v/>
      </c>
      <c r="Z102" s="123" t="str">
        <f t="shared" si="18"/>
        <v/>
      </c>
      <c r="AA102" s="192">
        <f t="shared" si="19"/>
        <v>1</v>
      </c>
      <c r="AB102" s="192" t="str">
        <f t="shared" si="13"/>
        <v/>
      </c>
      <c r="AC102" s="192" t="str">
        <f t="shared" si="13"/>
        <v/>
      </c>
    </row>
    <row r="103" spans="2:29" x14ac:dyDescent="0.25">
      <c r="B103" s="7" t="str">
        <f t="shared" si="14"/>
        <v/>
      </c>
      <c r="C103" s="4"/>
      <c r="D103" s="4"/>
      <c r="E103" s="4"/>
      <c r="F103" s="230" t="str">
        <f>IF('תנאי סף'!AO103&lt;&gt;1,"",'תנאי סף'!F103)</f>
        <v/>
      </c>
      <c r="G103" s="159" t="str">
        <f>IF($F103="","",IF($AA103&lt;&gt;1,$AB$1,'תנאי סף'!O103))</f>
        <v/>
      </c>
      <c r="H103" s="6"/>
      <c r="I103" s="6"/>
      <c r="J103" s="5"/>
      <c r="K103" s="6"/>
      <c r="L103" s="5"/>
      <c r="M103" s="6"/>
      <c r="N103" s="6"/>
      <c r="O103" s="158"/>
      <c r="P103" s="177"/>
      <c r="Q103" s="8"/>
      <c r="R103" s="8"/>
      <c r="S103" s="8"/>
      <c r="T103" s="8"/>
      <c r="U103" s="159" t="str">
        <f t="shared" si="15"/>
        <v/>
      </c>
      <c r="V103" s="159" t="str">
        <f>סיווג!Z103</f>
        <v/>
      </c>
      <c r="W103" s="8" t="str">
        <f t="shared" si="16"/>
        <v/>
      </c>
      <c r="X103" s="8">
        <v>1</v>
      </c>
      <c r="Y103" s="8" t="str">
        <f t="shared" si="17"/>
        <v/>
      </c>
      <c r="Z103" s="123" t="str">
        <f t="shared" si="18"/>
        <v/>
      </c>
      <c r="AA103" s="192">
        <f t="shared" si="19"/>
        <v>1</v>
      </c>
      <c r="AB103" s="192" t="str">
        <f t="shared" si="13"/>
        <v/>
      </c>
      <c r="AC103" s="192" t="str">
        <f t="shared" si="13"/>
        <v/>
      </c>
    </row>
    <row r="104" spans="2:29" x14ac:dyDescent="0.25">
      <c r="B104" s="7" t="str">
        <f t="shared" si="14"/>
        <v/>
      </c>
      <c r="C104" s="4"/>
      <c r="D104" s="4"/>
      <c r="E104" s="4"/>
      <c r="F104" s="230" t="str">
        <f>IF('תנאי סף'!AO104&lt;&gt;1,"",'תנאי סף'!F104)</f>
        <v/>
      </c>
      <c r="G104" s="159" t="str">
        <f>IF($F104="","",IF($AA104&lt;&gt;1,$AB$1,'תנאי סף'!O104))</f>
        <v/>
      </c>
      <c r="H104" s="6"/>
      <c r="I104" s="6"/>
      <c r="J104" s="5"/>
      <c r="K104" s="6"/>
      <c r="L104" s="5"/>
      <c r="M104" s="6"/>
      <c r="N104" s="6"/>
      <c r="O104" s="158"/>
      <c r="P104" s="177"/>
      <c r="Q104" s="8"/>
      <c r="R104" s="8"/>
      <c r="S104" s="8"/>
      <c r="T104" s="8"/>
      <c r="U104" s="159" t="str">
        <f t="shared" si="15"/>
        <v/>
      </c>
      <c r="V104" s="159" t="str">
        <f>סיווג!Z104</f>
        <v/>
      </c>
      <c r="W104" s="8" t="str">
        <f t="shared" si="16"/>
        <v/>
      </c>
      <c r="X104" s="8">
        <v>1</v>
      </c>
      <c r="Y104" s="8" t="str">
        <f t="shared" si="17"/>
        <v/>
      </c>
      <c r="Z104" s="123" t="str">
        <f t="shared" si="18"/>
        <v/>
      </c>
      <c r="AA104" s="192">
        <f t="shared" si="19"/>
        <v>1</v>
      </c>
      <c r="AB104" s="192" t="str">
        <f t="shared" si="13"/>
        <v/>
      </c>
      <c r="AC104" s="192" t="str">
        <f t="shared" si="13"/>
        <v/>
      </c>
    </row>
    <row r="105" spans="2:29" x14ac:dyDescent="0.25">
      <c r="B105" s="7">
        <f t="shared" si="14"/>
        <v>75</v>
      </c>
      <c r="C105" s="4"/>
      <c r="D105" s="4"/>
      <c r="E105" s="4"/>
      <c r="F105" s="230" t="str">
        <f>IF('תנאי סף'!AO105&lt;&gt;1,"",'תנאי סף'!F105)</f>
        <v>לבונטין 7</v>
      </c>
      <c r="G105" s="159">
        <f>IF($F105="","",IF($AA105&lt;&gt;1,$AB$1,'תנאי סף'!O105))</f>
        <v>21</v>
      </c>
      <c r="H105" s="6">
        <v>5</v>
      </c>
      <c r="I105" s="6"/>
      <c r="J105" s="5"/>
      <c r="K105" s="6"/>
      <c r="L105" s="5"/>
      <c r="M105" s="6"/>
      <c r="N105" s="6"/>
      <c r="O105" s="158"/>
      <c r="P105" s="177"/>
      <c r="Q105" s="8"/>
      <c r="R105" s="8"/>
      <c r="S105" s="8"/>
      <c r="T105" s="8"/>
      <c r="U105" s="159">
        <f t="shared" si="15"/>
        <v>5</v>
      </c>
      <c r="V105" s="159">
        <f>סיווג!Z105</f>
        <v>0.5</v>
      </c>
      <c r="W105" s="8">
        <f t="shared" si="16"/>
        <v>2.5</v>
      </c>
      <c r="X105" s="8">
        <v>1</v>
      </c>
      <c r="Y105" s="8">
        <f t="shared" si="17"/>
        <v>2.5</v>
      </c>
      <c r="Z105" s="123">
        <f t="shared" si="18"/>
        <v>2.0226537216828482E-2</v>
      </c>
      <c r="AA105" s="192">
        <f t="shared" si="19"/>
        <v>1</v>
      </c>
      <c r="AB105" s="192">
        <f t="shared" si="13"/>
        <v>0</v>
      </c>
      <c r="AC105" s="192">
        <f t="shared" si="13"/>
        <v>1</v>
      </c>
    </row>
    <row r="106" spans="2:29" x14ac:dyDescent="0.25">
      <c r="B106" s="7">
        <f t="shared" si="14"/>
        <v>76</v>
      </c>
      <c r="C106" s="4"/>
      <c r="D106" s="4"/>
      <c r="E106" s="4"/>
      <c r="F106" s="230" t="str">
        <f>IF('תנאי סף'!AO106&lt;&gt;1,"",'תנאי סף'!F106)</f>
        <v>מולטי פיאנו- פליציה בלומנטל</v>
      </c>
      <c r="G106" s="159">
        <f>IF($F106="","",IF($AA106&lt;&gt;1,$AB$1,'תנאי סף'!O106))</f>
        <v>5</v>
      </c>
      <c r="H106" s="6">
        <v>4</v>
      </c>
      <c r="I106" s="6"/>
      <c r="J106" s="5"/>
      <c r="K106" s="6"/>
      <c r="L106" s="5"/>
      <c r="M106" s="6"/>
      <c r="N106" s="6"/>
      <c r="O106" s="158"/>
      <c r="P106" s="177"/>
      <c r="Q106" s="8"/>
      <c r="R106" s="8"/>
      <c r="S106" s="8"/>
      <c r="T106" s="8"/>
      <c r="U106" s="159">
        <f t="shared" si="15"/>
        <v>4</v>
      </c>
      <c r="V106" s="159">
        <f>סיווג!Z106</f>
        <v>0.5</v>
      </c>
      <c r="W106" s="8">
        <f t="shared" si="16"/>
        <v>2</v>
      </c>
      <c r="X106" s="8">
        <v>1</v>
      </c>
      <c r="Y106" s="8">
        <f t="shared" si="17"/>
        <v>2</v>
      </c>
      <c r="Z106" s="123">
        <f t="shared" si="18"/>
        <v>1.6181229773462785E-2</v>
      </c>
      <c r="AA106" s="192">
        <f t="shared" si="19"/>
        <v>1</v>
      </c>
      <c r="AB106" s="192">
        <f t="shared" si="13"/>
        <v>0</v>
      </c>
      <c r="AC106" s="192">
        <f t="shared" si="13"/>
        <v>1</v>
      </c>
    </row>
    <row r="107" spans="2:29" x14ac:dyDescent="0.25">
      <c r="B107" s="7">
        <f t="shared" si="14"/>
        <v>77</v>
      </c>
      <c r="C107" s="4"/>
      <c r="D107" s="4"/>
      <c r="E107" s="4"/>
      <c r="F107" s="230" t="str">
        <f>IF('תנאי סף'!AO107&lt;&gt;1,"",'תנאי סף'!F107)</f>
        <v>ארמון בזמן - העמותה לתרבות רב תחומית</v>
      </c>
      <c r="G107" s="159">
        <f>IF($F107="","",IF($AA107&lt;&gt;1,$AB$1,'תנאי סף'!O107))</f>
        <v>25</v>
      </c>
      <c r="H107" s="6">
        <v>5</v>
      </c>
      <c r="I107" s="6"/>
      <c r="J107" s="5"/>
      <c r="K107" s="6"/>
      <c r="L107" s="5"/>
      <c r="M107" s="6"/>
      <c r="N107" s="6"/>
      <c r="O107" s="158"/>
      <c r="P107" s="177"/>
      <c r="Q107" s="8"/>
      <c r="R107" s="8"/>
      <c r="S107" s="8"/>
      <c r="T107" s="8"/>
      <c r="U107" s="159">
        <f t="shared" si="15"/>
        <v>5</v>
      </c>
      <c r="V107" s="159">
        <f>סיווג!Z107</f>
        <v>1</v>
      </c>
      <c r="W107" s="8">
        <f t="shared" si="16"/>
        <v>5</v>
      </c>
      <c r="X107" s="8">
        <v>1</v>
      </c>
      <c r="Y107" s="8">
        <f t="shared" si="17"/>
        <v>5</v>
      </c>
      <c r="Z107" s="123">
        <f t="shared" si="18"/>
        <v>4.0453074433656963E-2</v>
      </c>
      <c r="AA107" s="192">
        <f t="shared" si="19"/>
        <v>1</v>
      </c>
      <c r="AB107" s="192">
        <f t="shared" si="13"/>
        <v>0</v>
      </c>
      <c r="AC107" s="192">
        <f t="shared" si="13"/>
        <v>1</v>
      </c>
    </row>
    <row r="108" spans="2:29" x14ac:dyDescent="0.25">
      <c r="B108" s="7" t="str">
        <f t="shared" si="14"/>
        <v/>
      </c>
      <c r="C108" s="4"/>
      <c r="D108" s="4"/>
      <c r="E108" s="4"/>
      <c r="F108" s="230" t="str">
        <f>IF('תנאי סף'!AO108&lt;&gt;1,"",'תנאי סף'!F108)</f>
        <v/>
      </c>
      <c r="G108" s="159" t="str">
        <f>IF($F108="","",IF($AA108&lt;&gt;1,$AB$1,'תנאי סף'!O108))</f>
        <v/>
      </c>
      <c r="H108" s="6"/>
      <c r="I108" s="6"/>
      <c r="J108" s="5"/>
      <c r="K108" s="6"/>
      <c r="L108" s="5"/>
      <c r="M108" s="6"/>
      <c r="N108" s="6"/>
      <c r="O108" s="158"/>
      <c r="P108" s="177"/>
      <c r="Q108" s="8"/>
      <c r="R108" s="8"/>
      <c r="S108" s="8"/>
      <c r="T108" s="8"/>
      <c r="U108" s="159" t="str">
        <f t="shared" si="15"/>
        <v/>
      </c>
      <c r="V108" s="159" t="str">
        <f>סיווג!Z108</f>
        <v/>
      </c>
      <c r="W108" s="8" t="str">
        <f t="shared" si="16"/>
        <v/>
      </c>
      <c r="X108" s="8">
        <v>1</v>
      </c>
      <c r="Y108" s="8" t="str">
        <f t="shared" si="17"/>
        <v/>
      </c>
      <c r="Z108" s="123" t="str">
        <f t="shared" si="18"/>
        <v/>
      </c>
      <c r="AA108" s="192">
        <f t="shared" si="19"/>
        <v>1</v>
      </c>
      <c r="AB108" s="192" t="str">
        <f t="shared" si="13"/>
        <v/>
      </c>
      <c r="AC108" s="192" t="str">
        <f t="shared" si="13"/>
        <v/>
      </c>
    </row>
    <row r="109" spans="2:29" x14ac:dyDescent="0.25">
      <c r="B109" s="7" t="str">
        <f t="shared" si="14"/>
        <v/>
      </c>
      <c r="C109" s="4"/>
      <c r="D109" s="4"/>
      <c r="E109" s="4"/>
      <c r="F109" s="230" t="str">
        <f>IF('תנאי סף'!AO109&lt;&gt;1,"",'תנאי סף'!F109)</f>
        <v/>
      </c>
      <c r="G109" s="159" t="str">
        <f>IF($F109="","",IF($AA109&lt;&gt;1,$AB$1,'תנאי סף'!O109))</f>
        <v/>
      </c>
      <c r="H109" s="6"/>
      <c r="I109" s="6"/>
      <c r="J109" s="5"/>
      <c r="K109" s="6"/>
      <c r="L109" s="5"/>
      <c r="M109" s="6"/>
      <c r="N109" s="6"/>
      <c r="O109" s="158"/>
      <c r="P109" s="177"/>
      <c r="Q109" s="8"/>
      <c r="R109" s="8"/>
      <c r="S109" s="8"/>
      <c r="T109" s="8"/>
      <c r="U109" s="159" t="str">
        <f t="shared" si="15"/>
        <v/>
      </c>
      <c r="V109" s="159" t="str">
        <f>סיווג!Z109</f>
        <v/>
      </c>
      <c r="W109" s="8" t="str">
        <f t="shared" si="16"/>
        <v/>
      </c>
      <c r="X109" s="8">
        <v>1</v>
      </c>
      <c r="Y109" s="8" t="str">
        <f t="shared" si="17"/>
        <v/>
      </c>
      <c r="Z109" s="123" t="str">
        <f t="shared" si="18"/>
        <v/>
      </c>
      <c r="AA109" s="192">
        <f t="shared" si="19"/>
        <v>1</v>
      </c>
      <c r="AB109" s="192" t="str">
        <f t="shared" si="13"/>
        <v/>
      </c>
      <c r="AC109" s="192" t="str">
        <f t="shared" si="13"/>
        <v/>
      </c>
    </row>
    <row r="110" spans="2:29" x14ac:dyDescent="0.25">
      <c r="B110" s="7" t="str">
        <f t="shared" si="14"/>
        <v/>
      </c>
      <c r="C110" s="4"/>
      <c r="D110" s="4"/>
      <c r="E110" s="4"/>
      <c r="F110" s="230" t="str">
        <f>IF('תנאי סף'!AO110&lt;&gt;1,"",'תנאי סף'!F110)</f>
        <v/>
      </c>
      <c r="G110" s="159" t="str">
        <f>IF($F110="","",IF($AA110&lt;&gt;1,$AB$1,'תנאי סף'!O110))</f>
        <v/>
      </c>
      <c r="H110" s="6"/>
      <c r="I110" s="6"/>
      <c r="J110" s="5"/>
      <c r="K110" s="6"/>
      <c r="L110" s="5"/>
      <c r="M110" s="6"/>
      <c r="N110" s="6"/>
      <c r="O110" s="158"/>
      <c r="P110" s="177"/>
      <c r="Q110" s="8"/>
      <c r="R110" s="8"/>
      <c r="S110" s="8"/>
      <c r="T110" s="8"/>
      <c r="U110" s="159" t="str">
        <f t="shared" si="15"/>
        <v/>
      </c>
      <c r="V110" s="159" t="str">
        <f>סיווג!Z110</f>
        <v/>
      </c>
      <c r="W110" s="8" t="str">
        <f t="shared" si="16"/>
        <v/>
      </c>
      <c r="X110" s="8">
        <v>1</v>
      </c>
      <c r="Y110" s="8" t="str">
        <f t="shared" si="17"/>
        <v/>
      </c>
      <c r="Z110" s="123" t="str">
        <f t="shared" si="18"/>
        <v/>
      </c>
      <c r="AA110" s="192">
        <f t="shared" si="19"/>
        <v>1</v>
      </c>
      <c r="AB110" s="192" t="str">
        <f t="shared" si="13"/>
        <v/>
      </c>
      <c r="AC110" s="192" t="str">
        <f t="shared" si="13"/>
        <v/>
      </c>
    </row>
    <row r="111" spans="2:29" x14ac:dyDescent="0.25">
      <c r="B111" s="7" t="str">
        <f t="shared" si="14"/>
        <v/>
      </c>
      <c r="C111" s="4"/>
      <c r="D111" s="4"/>
      <c r="E111" s="4"/>
      <c r="F111" s="230" t="str">
        <f>IF('תנאי סף'!AO111&lt;&gt;1,"",'תנאי סף'!F111)</f>
        <v/>
      </c>
      <c r="G111" s="159" t="str">
        <f>IF($F111="","",IF($AA111&lt;&gt;1,$AB$1,'תנאי סף'!O111))</f>
        <v/>
      </c>
      <c r="H111" s="6"/>
      <c r="I111" s="6"/>
      <c r="J111" s="5"/>
      <c r="K111" s="6"/>
      <c r="L111" s="5"/>
      <c r="M111" s="6"/>
      <c r="N111" s="6"/>
      <c r="O111" s="158"/>
      <c r="P111" s="177"/>
      <c r="Q111" s="8"/>
      <c r="R111" s="8"/>
      <c r="S111" s="8"/>
      <c r="T111" s="8"/>
      <c r="U111" s="159" t="str">
        <f t="shared" si="15"/>
        <v/>
      </c>
      <c r="V111" s="159" t="str">
        <f>סיווג!Z111</f>
        <v/>
      </c>
      <c r="W111" s="8" t="str">
        <f t="shared" si="16"/>
        <v/>
      </c>
      <c r="X111" s="8">
        <v>1</v>
      </c>
      <c r="Y111" s="8" t="str">
        <f t="shared" si="17"/>
        <v/>
      </c>
      <c r="Z111" s="123" t="str">
        <f t="shared" si="18"/>
        <v/>
      </c>
      <c r="AA111" s="192">
        <f t="shared" si="19"/>
        <v>1</v>
      </c>
      <c r="AB111" s="192" t="str">
        <f t="shared" si="13"/>
        <v/>
      </c>
      <c r="AC111" s="192" t="str">
        <f t="shared" si="13"/>
        <v/>
      </c>
    </row>
    <row r="112" spans="2:29" x14ac:dyDescent="0.25">
      <c r="B112" s="7" t="str">
        <f t="shared" si="14"/>
        <v/>
      </c>
      <c r="C112" s="4"/>
      <c r="D112" s="4"/>
      <c r="E112" s="4"/>
      <c r="F112" s="230" t="str">
        <f>IF('תנאי סף'!AO112&lt;&gt;1,"",'תנאי סף'!F112)</f>
        <v/>
      </c>
      <c r="G112" s="159" t="str">
        <f>IF($F112="","",IF($AA112&lt;&gt;1,$AB$1,'תנאי סף'!O112))</f>
        <v/>
      </c>
      <c r="H112" s="6"/>
      <c r="I112" s="6"/>
      <c r="J112" s="5"/>
      <c r="K112" s="6"/>
      <c r="L112" s="5"/>
      <c r="M112" s="6"/>
      <c r="N112" s="6"/>
      <c r="O112" s="158"/>
      <c r="P112" s="177"/>
      <c r="Q112" s="8"/>
      <c r="R112" s="8"/>
      <c r="S112" s="8"/>
      <c r="T112" s="8"/>
      <c r="U112" s="159" t="str">
        <f t="shared" si="15"/>
        <v/>
      </c>
      <c r="V112" s="159" t="str">
        <f>סיווג!Z112</f>
        <v/>
      </c>
      <c r="W112" s="8" t="str">
        <f t="shared" si="16"/>
        <v/>
      </c>
      <c r="X112" s="8">
        <v>1</v>
      </c>
      <c r="Y112" s="8" t="str">
        <f t="shared" si="17"/>
        <v/>
      </c>
      <c r="Z112" s="123" t="str">
        <f t="shared" si="18"/>
        <v/>
      </c>
      <c r="AA112" s="192">
        <f t="shared" si="19"/>
        <v>1</v>
      </c>
      <c r="AB112" s="192" t="str">
        <f t="shared" si="13"/>
        <v/>
      </c>
      <c r="AC112" s="192" t="str">
        <f t="shared" si="13"/>
        <v/>
      </c>
    </row>
    <row r="113" spans="2:29" x14ac:dyDescent="0.25">
      <c r="B113" s="7" t="str">
        <f t="shared" si="14"/>
        <v/>
      </c>
      <c r="C113" s="4"/>
      <c r="D113" s="4"/>
      <c r="E113" s="4"/>
      <c r="F113" s="230" t="str">
        <f>IF('תנאי סף'!AO113&lt;&gt;1,"",'תנאי סף'!F113)</f>
        <v/>
      </c>
      <c r="G113" s="159" t="str">
        <f>IF($F113="","",IF($AA113&lt;&gt;1,$AB$1,'תנאי סף'!O113))</f>
        <v/>
      </c>
      <c r="H113" s="6"/>
      <c r="I113" s="6"/>
      <c r="J113" s="5"/>
      <c r="K113" s="6"/>
      <c r="L113" s="5"/>
      <c r="M113" s="6"/>
      <c r="N113" s="6"/>
      <c r="O113" s="158"/>
      <c r="P113" s="177"/>
      <c r="Q113" s="8"/>
      <c r="R113" s="8"/>
      <c r="S113" s="8"/>
      <c r="T113" s="8"/>
      <c r="U113" s="159" t="str">
        <f t="shared" si="15"/>
        <v/>
      </c>
      <c r="V113" s="159" t="str">
        <f>סיווג!Z113</f>
        <v/>
      </c>
      <c r="W113" s="8" t="str">
        <f t="shared" si="16"/>
        <v/>
      </c>
      <c r="X113" s="8">
        <v>1</v>
      </c>
      <c r="Y113" s="8" t="str">
        <f t="shared" si="17"/>
        <v/>
      </c>
      <c r="Z113" s="123" t="str">
        <f t="shared" si="18"/>
        <v/>
      </c>
      <c r="AA113" s="192">
        <f t="shared" si="19"/>
        <v>1</v>
      </c>
      <c r="AB113" s="192" t="str">
        <f t="shared" si="13"/>
        <v/>
      </c>
      <c r="AC113" s="192" t="str">
        <f t="shared" si="13"/>
        <v/>
      </c>
    </row>
    <row r="114" spans="2:29" x14ac:dyDescent="0.25">
      <c r="B114" s="7" t="str">
        <f t="shared" si="14"/>
        <v/>
      </c>
      <c r="C114" s="4"/>
      <c r="D114" s="4"/>
      <c r="E114" s="4"/>
      <c r="F114" s="230" t="str">
        <f>IF('תנאי סף'!AO114&lt;&gt;1,"",'תנאי סף'!F114)</f>
        <v/>
      </c>
      <c r="G114" s="159" t="str">
        <f>IF($F114="","",IF($AA114&lt;&gt;1,$AB$1,'תנאי סף'!O114))</f>
        <v/>
      </c>
      <c r="H114" s="6"/>
      <c r="I114" s="6"/>
      <c r="J114" s="5"/>
      <c r="K114" s="6"/>
      <c r="L114" s="5"/>
      <c r="M114" s="6"/>
      <c r="N114" s="6"/>
      <c r="O114" s="158"/>
      <c r="P114" s="177"/>
      <c r="Q114" s="8"/>
      <c r="R114" s="8"/>
      <c r="S114" s="8"/>
      <c r="T114" s="8"/>
      <c r="U114" s="159" t="str">
        <f t="shared" si="15"/>
        <v/>
      </c>
      <c r="V114" s="159" t="str">
        <f>סיווג!Z114</f>
        <v/>
      </c>
      <c r="W114" s="8" t="str">
        <f t="shared" si="16"/>
        <v/>
      </c>
      <c r="X114" s="8">
        <v>1</v>
      </c>
      <c r="Y114" s="8" t="str">
        <f t="shared" si="17"/>
        <v/>
      </c>
      <c r="Z114" s="123" t="str">
        <f t="shared" si="18"/>
        <v/>
      </c>
      <c r="AA114" s="192">
        <f t="shared" si="19"/>
        <v>1</v>
      </c>
      <c r="AB114" s="192" t="str">
        <f t="shared" si="13"/>
        <v/>
      </c>
      <c r="AC114" s="192" t="str">
        <f t="shared" si="13"/>
        <v/>
      </c>
    </row>
    <row r="115" spans="2:29" x14ac:dyDescent="0.25">
      <c r="B115" s="7" t="str">
        <f t="shared" si="14"/>
        <v/>
      </c>
      <c r="C115" s="4"/>
      <c r="D115" s="4"/>
      <c r="E115" s="4"/>
      <c r="F115" s="230" t="str">
        <f>IF('תנאי סף'!AO115&lt;&gt;1,"",'תנאי סף'!F115)</f>
        <v/>
      </c>
      <c r="G115" s="159" t="str">
        <f>IF($F115="","",IF($AA115&lt;&gt;1,$AB$1,'תנאי סף'!O115))</f>
        <v/>
      </c>
      <c r="H115" s="6"/>
      <c r="I115" s="6"/>
      <c r="J115" s="5"/>
      <c r="K115" s="6"/>
      <c r="L115" s="5"/>
      <c r="M115" s="6"/>
      <c r="N115" s="6"/>
      <c r="O115" s="158"/>
      <c r="P115" s="177"/>
      <c r="Q115" s="8"/>
      <c r="R115" s="8"/>
      <c r="S115" s="8"/>
      <c r="T115" s="8"/>
      <c r="U115" s="159" t="str">
        <f t="shared" si="15"/>
        <v/>
      </c>
      <c r="V115" s="159" t="str">
        <f>סיווג!Z115</f>
        <v/>
      </c>
      <c r="W115" s="8" t="str">
        <f t="shared" si="16"/>
        <v/>
      </c>
      <c r="X115" s="8">
        <v>1</v>
      </c>
      <c r="Y115" s="8" t="str">
        <f t="shared" si="17"/>
        <v/>
      </c>
      <c r="Z115" s="123" t="str">
        <f t="shared" si="18"/>
        <v/>
      </c>
      <c r="AA115" s="192">
        <f t="shared" si="19"/>
        <v>1</v>
      </c>
      <c r="AB115" s="192" t="str">
        <f t="shared" si="13"/>
        <v/>
      </c>
      <c r="AC115" s="192" t="str">
        <f t="shared" si="13"/>
        <v/>
      </c>
    </row>
    <row r="116" spans="2:29" x14ac:dyDescent="0.25">
      <c r="B116" s="7" t="str">
        <f t="shared" si="14"/>
        <v/>
      </c>
      <c r="C116" s="4"/>
      <c r="D116" s="4"/>
      <c r="E116" s="4"/>
      <c r="F116" s="230" t="str">
        <f>IF('תנאי סף'!AO116&lt;&gt;1,"",'תנאי סף'!F116)</f>
        <v/>
      </c>
      <c r="G116" s="159" t="str">
        <f>IF($F116="","",IF($AA116&lt;&gt;1,$AB$1,'תנאי סף'!O116))</f>
        <v/>
      </c>
      <c r="H116" s="6"/>
      <c r="I116" s="6"/>
      <c r="J116" s="5"/>
      <c r="K116" s="6"/>
      <c r="L116" s="5"/>
      <c r="M116" s="6"/>
      <c r="N116" s="6"/>
      <c r="O116" s="158"/>
      <c r="P116" s="177"/>
      <c r="Q116" s="8"/>
      <c r="R116" s="8"/>
      <c r="S116" s="8"/>
      <c r="T116" s="8"/>
      <c r="U116" s="159" t="str">
        <f t="shared" si="15"/>
        <v/>
      </c>
      <c r="V116" s="159" t="str">
        <f>סיווג!Z116</f>
        <v/>
      </c>
      <c r="W116" s="8" t="str">
        <f t="shared" si="16"/>
        <v/>
      </c>
      <c r="X116" s="8">
        <v>1</v>
      </c>
      <c r="Y116" s="8" t="str">
        <f t="shared" si="17"/>
        <v/>
      </c>
      <c r="Z116" s="123" t="str">
        <f t="shared" si="18"/>
        <v/>
      </c>
      <c r="AA116" s="192">
        <f t="shared" si="19"/>
        <v>1</v>
      </c>
      <c r="AB116" s="192" t="str">
        <f t="shared" si="13"/>
        <v/>
      </c>
      <c r="AC116" s="192" t="str">
        <f t="shared" si="13"/>
        <v/>
      </c>
    </row>
    <row r="117" spans="2:29" x14ac:dyDescent="0.25">
      <c r="B117" s="7" t="str">
        <f t="shared" si="14"/>
        <v/>
      </c>
      <c r="C117" s="4"/>
      <c r="D117" s="4"/>
      <c r="E117" s="4"/>
      <c r="F117" s="230" t="str">
        <f>IF('תנאי סף'!AO117&lt;&gt;1,"",'תנאי סף'!F117)</f>
        <v/>
      </c>
      <c r="G117" s="159" t="str">
        <f>IF($F117="","",IF($AA117&lt;&gt;1,$AB$1,'תנאי סף'!O117))</f>
        <v/>
      </c>
      <c r="H117" s="6"/>
      <c r="I117" s="6"/>
      <c r="J117" s="5"/>
      <c r="K117" s="6"/>
      <c r="L117" s="5"/>
      <c r="M117" s="6"/>
      <c r="N117" s="6"/>
      <c r="O117" s="158"/>
      <c r="P117" s="177"/>
      <c r="Q117" s="8"/>
      <c r="R117" s="8"/>
      <c r="S117" s="8"/>
      <c r="T117" s="8"/>
      <c r="U117" s="159" t="str">
        <f t="shared" si="15"/>
        <v/>
      </c>
      <c r="V117" s="159" t="str">
        <f>סיווג!Z117</f>
        <v/>
      </c>
      <c r="W117" s="8" t="str">
        <f t="shared" si="16"/>
        <v/>
      </c>
      <c r="X117" s="8">
        <v>1</v>
      </c>
      <c r="Y117" s="8" t="str">
        <f t="shared" si="17"/>
        <v/>
      </c>
      <c r="Z117" s="123" t="str">
        <f t="shared" si="18"/>
        <v/>
      </c>
      <c r="AA117" s="192">
        <f t="shared" si="19"/>
        <v>1</v>
      </c>
      <c r="AB117" s="192" t="str">
        <f t="shared" si="13"/>
        <v/>
      </c>
      <c r="AC117" s="192" t="str">
        <f t="shared" si="13"/>
        <v/>
      </c>
    </row>
    <row r="118" spans="2:29" x14ac:dyDescent="0.25">
      <c r="B118" s="7" t="str">
        <f t="shared" si="14"/>
        <v/>
      </c>
      <c r="C118" s="4"/>
      <c r="D118" s="4"/>
      <c r="E118" s="4"/>
      <c r="F118" s="230" t="str">
        <f>IF('תנאי סף'!AO118&lt;&gt;1,"",'תנאי סף'!F118)</f>
        <v/>
      </c>
      <c r="G118" s="159" t="str">
        <f>IF($F118="","",IF($AA118&lt;&gt;1,$AB$1,'תנאי סף'!O118))</f>
        <v/>
      </c>
      <c r="H118" s="6"/>
      <c r="I118" s="6"/>
      <c r="J118" s="5"/>
      <c r="K118" s="6"/>
      <c r="L118" s="5"/>
      <c r="M118" s="6"/>
      <c r="N118" s="6"/>
      <c r="O118" s="158"/>
      <c r="P118" s="177"/>
      <c r="Q118" s="8"/>
      <c r="R118" s="8"/>
      <c r="S118" s="8"/>
      <c r="T118" s="8"/>
      <c r="U118" s="159" t="str">
        <f t="shared" si="15"/>
        <v/>
      </c>
      <c r="V118" s="159" t="str">
        <f>סיווג!Z118</f>
        <v/>
      </c>
      <c r="W118" s="8" t="str">
        <f t="shared" si="16"/>
        <v/>
      </c>
      <c r="X118" s="8">
        <v>1</v>
      </c>
      <c r="Y118" s="8" t="str">
        <f t="shared" si="17"/>
        <v/>
      </c>
      <c r="Z118" s="123" t="str">
        <f t="shared" si="18"/>
        <v/>
      </c>
      <c r="AA118" s="192">
        <f t="shared" si="19"/>
        <v>1</v>
      </c>
      <c r="AB118" s="192" t="str">
        <f t="shared" si="13"/>
        <v/>
      </c>
      <c r="AC118" s="192" t="str">
        <f t="shared" si="13"/>
        <v/>
      </c>
    </row>
    <row r="119" spans="2:29" x14ac:dyDescent="0.25">
      <c r="B119" s="7" t="str">
        <f t="shared" si="14"/>
        <v/>
      </c>
      <c r="C119" s="4"/>
      <c r="D119" s="4"/>
      <c r="E119" s="4"/>
      <c r="F119" s="230" t="str">
        <f>IF('תנאי סף'!AO119&lt;&gt;1,"",'תנאי סף'!F119)</f>
        <v/>
      </c>
      <c r="G119" s="159" t="str">
        <f>IF($F119="","",IF($AA119&lt;&gt;1,$AB$1,'תנאי סף'!O119))</f>
        <v/>
      </c>
      <c r="H119" s="6"/>
      <c r="I119" s="6"/>
      <c r="J119" s="5"/>
      <c r="K119" s="6"/>
      <c r="L119" s="5"/>
      <c r="M119" s="6"/>
      <c r="N119" s="6"/>
      <c r="O119" s="158"/>
      <c r="P119" s="177"/>
      <c r="Q119" s="8"/>
      <c r="R119" s="8"/>
      <c r="S119" s="8"/>
      <c r="T119" s="8"/>
      <c r="U119" s="159" t="str">
        <f t="shared" si="15"/>
        <v/>
      </c>
      <c r="V119" s="159" t="str">
        <f>סיווג!Z119</f>
        <v/>
      </c>
      <c r="W119" s="8" t="str">
        <f t="shared" si="16"/>
        <v/>
      </c>
      <c r="X119" s="8">
        <v>1</v>
      </c>
      <c r="Y119" s="8" t="str">
        <f t="shared" si="17"/>
        <v/>
      </c>
      <c r="Z119" s="123" t="str">
        <f t="shared" si="18"/>
        <v/>
      </c>
      <c r="AA119" s="192">
        <f t="shared" si="19"/>
        <v>1</v>
      </c>
      <c r="AB119" s="192" t="str">
        <f t="shared" si="13"/>
        <v/>
      </c>
      <c r="AC119" s="192" t="str">
        <f t="shared" si="13"/>
        <v/>
      </c>
    </row>
    <row r="120" spans="2:29" x14ac:dyDescent="0.25">
      <c r="B120" s="7" t="str">
        <f t="shared" si="14"/>
        <v/>
      </c>
      <c r="C120" s="4"/>
      <c r="D120" s="4"/>
      <c r="E120" s="4"/>
      <c r="F120" s="230" t="str">
        <f>IF('תנאי סף'!AO120&lt;&gt;1,"",'תנאי סף'!F120)</f>
        <v/>
      </c>
      <c r="G120" s="159" t="str">
        <f>IF($F120="","",IF($AA120&lt;&gt;1,$AB$1,'תנאי סף'!O120))</f>
        <v/>
      </c>
      <c r="H120" s="6"/>
      <c r="I120" s="6"/>
      <c r="J120" s="5"/>
      <c r="K120" s="6"/>
      <c r="L120" s="5"/>
      <c r="M120" s="6"/>
      <c r="N120" s="6"/>
      <c r="O120" s="158"/>
      <c r="P120" s="177"/>
      <c r="Q120" s="8"/>
      <c r="R120" s="8"/>
      <c r="S120" s="8"/>
      <c r="T120" s="8"/>
      <c r="U120" s="159" t="str">
        <f t="shared" si="15"/>
        <v/>
      </c>
      <c r="V120" s="159" t="str">
        <f>סיווג!Z120</f>
        <v/>
      </c>
      <c r="W120" s="8" t="str">
        <f t="shared" si="16"/>
        <v/>
      </c>
      <c r="X120" s="8">
        <v>1</v>
      </c>
      <c r="Y120" s="8" t="str">
        <f t="shared" si="17"/>
        <v/>
      </c>
      <c r="Z120" s="123" t="str">
        <f t="shared" si="18"/>
        <v/>
      </c>
      <c r="AA120" s="192">
        <f t="shared" si="19"/>
        <v>1</v>
      </c>
      <c r="AB120" s="192" t="str">
        <f t="shared" si="13"/>
        <v/>
      </c>
      <c r="AC120" s="192" t="str">
        <f t="shared" si="13"/>
        <v/>
      </c>
    </row>
    <row r="121" spans="2:29" x14ac:dyDescent="0.25">
      <c r="B121" s="7" t="str">
        <f t="shared" si="14"/>
        <v/>
      </c>
      <c r="C121" s="4"/>
      <c r="D121" s="4"/>
      <c r="E121" s="4"/>
      <c r="F121" s="230" t="str">
        <f>IF('תנאי סף'!AO121&lt;&gt;1,"",'תנאי סף'!F121)</f>
        <v/>
      </c>
      <c r="G121" s="159" t="str">
        <f>IF($F121="","",IF($AA121&lt;&gt;1,$AB$1,'תנאי סף'!O121))</f>
        <v/>
      </c>
      <c r="H121" s="6"/>
      <c r="I121" s="6"/>
      <c r="J121" s="5"/>
      <c r="K121" s="6"/>
      <c r="L121" s="5"/>
      <c r="M121" s="6"/>
      <c r="N121" s="6"/>
      <c r="O121" s="158"/>
      <c r="P121" s="177"/>
      <c r="Q121" s="8"/>
      <c r="R121" s="8"/>
      <c r="S121" s="8"/>
      <c r="T121" s="8"/>
      <c r="U121" s="159" t="str">
        <f t="shared" si="15"/>
        <v/>
      </c>
      <c r="V121" s="159" t="str">
        <f>סיווג!Z121</f>
        <v/>
      </c>
      <c r="W121" s="8" t="str">
        <f t="shared" si="16"/>
        <v/>
      </c>
      <c r="X121" s="8">
        <v>1</v>
      </c>
      <c r="Y121" s="8" t="str">
        <f t="shared" si="17"/>
        <v/>
      </c>
      <c r="Z121" s="123" t="str">
        <f t="shared" si="18"/>
        <v/>
      </c>
      <c r="AA121" s="192">
        <f t="shared" si="19"/>
        <v>1</v>
      </c>
      <c r="AB121" s="192" t="str">
        <f t="shared" si="13"/>
        <v/>
      </c>
      <c r="AC121" s="192" t="str">
        <f t="shared" si="13"/>
        <v/>
      </c>
    </row>
    <row r="122" spans="2:29" x14ac:dyDescent="0.25">
      <c r="B122" s="7" t="str">
        <f t="shared" si="14"/>
        <v/>
      </c>
      <c r="C122" s="4"/>
      <c r="D122" s="4"/>
      <c r="E122" s="4"/>
      <c r="F122" s="230" t="str">
        <f>IF('תנאי סף'!AO122&lt;&gt;1,"",'תנאי סף'!F122)</f>
        <v/>
      </c>
      <c r="G122" s="159" t="str">
        <f>IF($F122="","",IF($AA122&lt;&gt;1,$AB$1,'תנאי סף'!O122))</f>
        <v/>
      </c>
      <c r="H122" s="6"/>
      <c r="I122" s="6"/>
      <c r="J122" s="5"/>
      <c r="K122" s="6"/>
      <c r="L122" s="5"/>
      <c r="M122" s="6"/>
      <c r="N122" s="6"/>
      <c r="O122" s="158"/>
      <c r="P122" s="177"/>
      <c r="Q122" s="8"/>
      <c r="R122" s="8"/>
      <c r="S122" s="8"/>
      <c r="T122" s="8"/>
      <c r="U122" s="159" t="str">
        <f t="shared" si="15"/>
        <v/>
      </c>
      <c r="V122" s="159" t="str">
        <f>סיווג!Z122</f>
        <v/>
      </c>
      <c r="W122" s="8" t="str">
        <f t="shared" si="16"/>
        <v/>
      </c>
      <c r="X122" s="8">
        <v>1</v>
      </c>
      <c r="Y122" s="8" t="str">
        <f t="shared" si="17"/>
        <v/>
      </c>
      <c r="Z122" s="123" t="str">
        <f t="shared" si="18"/>
        <v/>
      </c>
      <c r="AA122" s="192">
        <f t="shared" si="19"/>
        <v>1</v>
      </c>
      <c r="AB122" s="192" t="str">
        <f t="shared" si="13"/>
        <v/>
      </c>
      <c r="AC122" s="192" t="str">
        <f t="shared" si="13"/>
        <v/>
      </c>
    </row>
    <row r="123" spans="2:29" x14ac:dyDescent="0.25">
      <c r="B123" s="7" t="str">
        <f t="shared" si="14"/>
        <v/>
      </c>
      <c r="C123" s="4"/>
      <c r="D123" s="4"/>
      <c r="E123" s="4"/>
      <c r="F123" s="230" t="str">
        <f>IF('תנאי סף'!AO123&lt;&gt;1,"",'תנאי סף'!F123)</f>
        <v/>
      </c>
      <c r="G123" s="159" t="str">
        <f>IF($F123="","",IF($AA123&lt;&gt;1,$AB$1,'תנאי סף'!O123))</f>
        <v/>
      </c>
      <c r="H123" s="6"/>
      <c r="I123" s="6"/>
      <c r="J123" s="5"/>
      <c r="K123" s="6"/>
      <c r="L123" s="5"/>
      <c r="M123" s="6"/>
      <c r="N123" s="6"/>
      <c r="O123" s="158"/>
      <c r="P123" s="177"/>
      <c r="Q123" s="8"/>
      <c r="R123" s="8"/>
      <c r="S123" s="8"/>
      <c r="T123" s="8"/>
      <c r="U123" s="159" t="str">
        <f t="shared" si="15"/>
        <v/>
      </c>
      <c r="V123" s="159" t="str">
        <f>סיווג!Z123</f>
        <v/>
      </c>
      <c r="W123" s="8" t="str">
        <f t="shared" si="16"/>
        <v/>
      </c>
      <c r="X123" s="8">
        <v>1</v>
      </c>
      <c r="Y123" s="8" t="str">
        <f t="shared" si="17"/>
        <v/>
      </c>
      <c r="Z123" s="123" t="str">
        <f t="shared" si="18"/>
        <v/>
      </c>
      <c r="AA123" s="192">
        <f t="shared" si="19"/>
        <v>1</v>
      </c>
      <c r="AB123" s="192" t="str">
        <f t="shared" si="13"/>
        <v/>
      </c>
      <c r="AC123" s="192" t="str">
        <f t="shared" si="13"/>
        <v/>
      </c>
    </row>
    <row r="124" spans="2:29" x14ac:dyDescent="0.25">
      <c r="B124" s="7" t="str">
        <f t="shared" si="14"/>
        <v/>
      </c>
      <c r="C124" s="4"/>
      <c r="D124" s="4"/>
      <c r="E124" s="4"/>
      <c r="F124" s="230" t="str">
        <f>IF('תנאי סף'!AO124&lt;&gt;1,"",'תנאי סף'!F124)</f>
        <v/>
      </c>
      <c r="G124" s="159" t="str">
        <f>IF($F124="","",IF($AA124&lt;&gt;1,$AB$1,'תנאי סף'!O124))</f>
        <v/>
      </c>
      <c r="H124" s="6"/>
      <c r="I124" s="6"/>
      <c r="J124" s="5"/>
      <c r="K124" s="6"/>
      <c r="L124" s="5"/>
      <c r="M124" s="6"/>
      <c r="N124" s="6"/>
      <c r="O124" s="158"/>
      <c r="P124" s="177"/>
      <c r="Q124" s="8"/>
      <c r="R124" s="8"/>
      <c r="S124" s="8"/>
      <c r="T124" s="8"/>
      <c r="U124" s="159" t="str">
        <f t="shared" si="15"/>
        <v/>
      </c>
      <c r="V124" s="159" t="str">
        <f>סיווג!Z124</f>
        <v/>
      </c>
      <c r="W124" s="8" t="str">
        <f t="shared" si="16"/>
        <v/>
      </c>
      <c r="X124" s="8">
        <v>1</v>
      </c>
      <c r="Y124" s="8" t="str">
        <f t="shared" si="17"/>
        <v/>
      </c>
      <c r="Z124" s="123" t="str">
        <f t="shared" si="18"/>
        <v/>
      </c>
      <c r="AA124" s="192">
        <f t="shared" si="19"/>
        <v>1</v>
      </c>
      <c r="AB124" s="192" t="str">
        <f t="shared" si="13"/>
        <v/>
      </c>
      <c r="AC124" s="192" t="str">
        <f t="shared" si="13"/>
        <v/>
      </c>
    </row>
    <row r="125" spans="2:29" x14ac:dyDescent="0.25">
      <c r="B125" s="7" t="str">
        <f t="shared" si="14"/>
        <v/>
      </c>
      <c r="C125" s="4"/>
      <c r="D125" s="4"/>
      <c r="E125" s="4"/>
      <c r="F125" s="230" t="str">
        <f>IF('תנאי סף'!AO125&lt;&gt;1,"",'תנאי סף'!F125)</f>
        <v/>
      </c>
      <c r="G125" s="159" t="str">
        <f>IF($F125="","",IF($AA125&lt;&gt;1,$AB$1,'תנאי סף'!O125))</f>
        <v/>
      </c>
      <c r="H125" s="6"/>
      <c r="I125" s="6"/>
      <c r="J125" s="5"/>
      <c r="K125" s="6"/>
      <c r="L125" s="5"/>
      <c r="M125" s="6"/>
      <c r="N125" s="6"/>
      <c r="O125" s="158"/>
      <c r="P125" s="177"/>
      <c r="Q125" s="8"/>
      <c r="R125" s="8"/>
      <c r="S125" s="8"/>
      <c r="T125" s="8"/>
      <c r="U125" s="159" t="str">
        <f t="shared" si="15"/>
        <v/>
      </c>
      <c r="V125" s="159" t="str">
        <f>סיווג!Z125</f>
        <v/>
      </c>
      <c r="W125" s="8" t="str">
        <f t="shared" si="16"/>
        <v/>
      </c>
      <c r="X125" s="8">
        <v>1</v>
      </c>
      <c r="Y125" s="8" t="str">
        <f t="shared" si="17"/>
        <v/>
      </c>
      <c r="Z125" s="123" t="str">
        <f t="shared" si="18"/>
        <v/>
      </c>
      <c r="AA125" s="192">
        <f t="shared" si="19"/>
        <v>1</v>
      </c>
      <c r="AB125" s="192" t="str">
        <f t="shared" si="13"/>
        <v/>
      </c>
      <c r="AC125" s="192" t="str">
        <f t="shared" si="13"/>
        <v/>
      </c>
    </row>
    <row r="126" spans="2:29" x14ac:dyDescent="0.25">
      <c r="B126" s="7" t="str">
        <f t="shared" si="14"/>
        <v/>
      </c>
      <c r="C126" s="4"/>
      <c r="D126" s="4"/>
      <c r="E126" s="4"/>
      <c r="F126" s="230" t="str">
        <f>IF('תנאי סף'!AO126&lt;&gt;1,"",'תנאי סף'!F126)</f>
        <v/>
      </c>
      <c r="G126" s="159" t="str">
        <f>IF($F126="","",IF($AA126&lt;&gt;1,$AB$1,'תנאי סף'!O126))</f>
        <v/>
      </c>
      <c r="H126" s="6"/>
      <c r="I126" s="6"/>
      <c r="J126" s="5"/>
      <c r="K126" s="6"/>
      <c r="L126" s="5"/>
      <c r="M126" s="6"/>
      <c r="N126" s="6"/>
      <c r="O126" s="158"/>
      <c r="P126" s="177"/>
      <c r="Q126" s="8"/>
      <c r="R126" s="8"/>
      <c r="S126" s="8"/>
      <c r="T126" s="8"/>
      <c r="U126" s="159" t="str">
        <f t="shared" si="15"/>
        <v/>
      </c>
      <c r="V126" s="159" t="str">
        <f>סיווג!Z126</f>
        <v/>
      </c>
      <c r="W126" s="8" t="str">
        <f t="shared" si="16"/>
        <v/>
      </c>
      <c r="X126" s="8">
        <v>1</v>
      </c>
      <c r="Y126" s="8" t="str">
        <f t="shared" si="17"/>
        <v/>
      </c>
      <c r="Z126" s="123" t="str">
        <f t="shared" si="18"/>
        <v/>
      </c>
      <c r="AA126" s="192">
        <f t="shared" si="19"/>
        <v>1</v>
      </c>
      <c r="AB126" s="192" t="str">
        <f t="shared" si="13"/>
        <v/>
      </c>
      <c r="AC126" s="192" t="str">
        <f t="shared" si="13"/>
        <v/>
      </c>
    </row>
    <row r="127" spans="2:29" x14ac:dyDescent="0.25">
      <c r="B127" s="7" t="str">
        <f t="shared" si="14"/>
        <v/>
      </c>
      <c r="C127" s="4"/>
      <c r="D127" s="4"/>
      <c r="E127" s="4"/>
      <c r="F127" s="230" t="str">
        <f>IF('תנאי סף'!AO127&lt;&gt;1,"",'תנאי סף'!F127)</f>
        <v/>
      </c>
      <c r="G127" s="159" t="str">
        <f>IF($F127="","",IF($AA127&lt;&gt;1,$AB$1,'תנאי סף'!O127))</f>
        <v/>
      </c>
      <c r="H127" s="6"/>
      <c r="I127" s="6"/>
      <c r="J127" s="5"/>
      <c r="K127" s="6"/>
      <c r="L127" s="5"/>
      <c r="M127" s="6"/>
      <c r="N127" s="6"/>
      <c r="O127" s="158"/>
      <c r="P127" s="177"/>
      <c r="Q127" s="8"/>
      <c r="R127" s="8"/>
      <c r="S127" s="8"/>
      <c r="T127" s="8"/>
      <c r="U127" s="159" t="str">
        <f t="shared" si="15"/>
        <v/>
      </c>
      <c r="V127" s="159" t="str">
        <f>סיווג!Z127</f>
        <v/>
      </c>
      <c r="W127" s="8" t="str">
        <f t="shared" si="16"/>
        <v/>
      </c>
      <c r="X127" s="8">
        <v>1</v>
      </c>
      <c r="Y127" s="8" t="str">
        <f t="shared" si="17"/>
        <v/>
      </c>
      <c r="Z127" s="123" t="str">
        <f t="shared" si="18"/>
        <v/>
      </c>
      <c r="AA127" s="192">
        <f t="shared" si="19"/>
        <v>1</v>
      </c>
      <c r="AB127" s="192" t="str">
        <f t="shared" si="13"/>
        <v/>
      </c>
      <c r="AC127" s="192" t="str">
        <f t="shared" si="13"/>
        <v/>
      </c>
    </row>
    <row r="128" spans="2:29" x14ac:dyDescent="0.25">
      <c r="B128" s="7" t="str">
        <f t="shared" si="14"/>
        <v/>
      </c>
      <c r="C128" s="4"/>
      <c r="D128" s="4"/>
      <c r="E128" s="4"/>
      <c r="F128" s="230" t="str">
        <f>IF('תנאי סף'!AO128&lt;&gt;1,"",'תנאי סף'!F128)</f>
        <v/>
      </c>
      <c r="G128" s="159" t="str">
        <f>IF($F128="","",IF($AA128&lt;&gt;1,$AB$1,'תנאי סף'!O128))</f>
        <v/>
      </c>
      <c r="H128" s="6"/>
      <c r="I128" s="6"/>
      <c r="J128" s="5"/>
      <c r="K128" s="6"/>
      <c r="L128" s="5"/>
      <c r="M128" s="6"/>
      <c r="N128" s="6"/>
      <c r="O128" s="158"/>
      <c r="P128" s="177"/>
      <c r="Q128" s="8"/>
      <c r="R128" s="8"/>
      <c r="S128" s="8"/>
      <c r="T128" s="8"/>
      <c r="U128" s="159" t="str">
        <f t="shared" si="15"/>
        <v/>
      </c>
      <c r="V128" s="159" t="str">
        <f>סיווג!Z128</f>
        <v/>
      </c>
      <c r="W128" s="8" t="str">
        <f t="shared" si="16"/>
        <v/>
      </c>
      <c r="X128" s="8">
        <v>1</v>
      </c>
      <c r="Y128" s="8" t="str">
        <f t="shared" si="17"/>
        <v/>
      </c>
      <c r="Z128" s="123" t="str">
        <f t="shared" si="18"/>
        <v/>
      </c>
      <c r="AA128" s="192">
        <f t="shared" si="19"/>
        <v>1</v>
      </c>
      <c r="AB128" s="192" t="str">
        <f t="shared" si="13"/>
        <v/>
      </c>
      <c r="AC128" s="192" t="str">
        <f t="shared" si="13"/>
        <v/>
      </c>
    </row>
    <row r="129" spans="2:30" x14ac:dyDescent="0.25">
      <c r="B129" s="7" t="str">
        <f t="shared" si="14"/>
        <v/>
      </c>
      <c r="C129" s="4"/>
      <c r="D129" s="4"/>
      <c r="E129" s="4"/>
      <c r="F129" s="230" t="str">
        <f>IF('תנאי סף'!AO129&lt;&gt;1,"",'תנאי סף'!F129)</f>
        <v/>
      </c>
      <c r="G129" s="159" t="str">
        <f>IF($F129="","",IF($AA129&lt;&gt;1,$AB$1,'תנאי סף'!O129))</f>
        <v/>
      </c>
      <c r="H129" s="6"/>
      <c r="I129" s="6"/>
      <c r="J129" s="5"/>
      <c r="K129" s="6"/>
      <c r="L129" s="5"/>
      <c r="M129" s="6"/>
      <c r="N129" s="6"/>
      <c r="O129" s="158"/>
      <c r="P129" s="177"/>
      <c r="Q129" s="8"/>
      <c r="R129" s="8"/>
      <c r="S129" s="8"/>
      <c r="T129" s="8"/>
      <c r="U129" s="159" t="str">
        <f t="shared" si="15"/>
        <v/>
      </c>
      <c r="V129" s="159" t="str">
        <f>סיווג!Z129</f>
        <v/>
      </c>
      <c r="W129" s="8" t="str">
        <f t="shared" si="16"/>
        <v/>
      </c>
      <c r="X129" s="8">
        <v>1</v>
      </c>
      <c r="Y129" s="8" t="str">
        <f t="shared" si="17"/>
        <v/>
      </c>
      <c r="Z129" s="123" t="str">
        <f t="shared" si="18"/>
        <v/>
      </c>
      <c r="AA129" s="192">
        <f t="shared" si="19"/>
        <v>1</v>
      </c>
      <c r="AB129" s="192" t="str">
        <f t="shared" si="13"/>
        <v/>
      </c>
      <c r="AC129" s="192" t="str">
        <f t="shared" si="13"/>
        <v/>
      </c>
    </row>
    <row r="130" spans="2:30" ht="16.5" thickBot="1" x14ac:dyDescent="0.3">
      <c r="B130" s="7" t="str">
        <f t="shared" si="14"/>
        <v/>
      </c>
      <c r="C130" s="4"/>
      <c r="D130" s="4"/>
      <c r="E130" s="4"/>
      <c r="F130" s="230" t="str">
        <f>IF('תנאי סף'!AO130&lt;&gt;1,"",'תנאי סף'!F130)</f>
        <v/>
      </c>
      <c r="G130" s="159" t="str">
        <f>IF($F130="","",IF($AA130&lt;&gt;1,$AB$1,'תנאי סף'!O130))</f>
        <v/>
      </c>
      <c r="H130" s="6"/>
      <c r="I130" s="6"/>
      <c r="J130" s="5"/>
      <c r="K130" s="6"/>
      <c r="L130" s="5"/>
      <c r="M130" s="6"/>
      <c r="N130" s="6"/>
      <c r="O130" s="158"/>
      <c r="P130" s="177"/>
      <c r="Q130" s="8"/>
      <c r="R130" s="8"/>
      <c r="S130" s="8"/>
      <c r="T130" s="8"/>
      <c r="U130" s="159" t="str">
        <f t="shared" si="15"/>
        <v/>
      </c>
      <c r="V130" s="159" t="str">
        <f>סיווג!Z130</f>
        <v/>
      </c>
      <c r="W130" s="8" t="str">
        <f t="shared" si="16"/>
        <v/>
      </c>
      <c r="X130" s="8">
        <v>1</v>
      </c>
      <c r="Y130" s="8" t="str">
        <f t="shared" si="17"/>
        <v/>
      </c>
      <c r="Z130" s="123" t="str">
        <f t="shared" si="18"/>
        <v/>
      </c>
      <c r="AA130" s="192">
        <f t="shared" si="19"/>
        <v>1</v>
      </c>
      <c r="AB130" s="192" t="str">
        <f t="shared" si="13"/>
        <v/>
      </c>
      <c r="AC130" s="192" t="str">
        <f t="shared" si="13"/>
        <v/>
      </c>
    </row>
    <row r="131" spans="2:30" ht="19.5" thickBot="1" x14ac:dyDescent="0.35">
      <c r="B131" s="555" t="s">
        <v>77</v>
      </c>
      <c r="C131" s="556"/>
      <c r="D131" s="556"/>
      <c r="E131" s="556"/>
      <c r="F131" s="557"/>
      <c r="G131" s="9">
        <f>SUM(G31:G130)</f>
        <v>508</v>
      </c>
      <c r="H131" s="9">
        <f t="shared" ref="H131:P131" si="20">SUM(H31:H130)</f>
        <v>146</v>
      </c>
      <c r="I131" s="9">
        <f t="shared" si="20"/>
        <v>0</v>
      </c>
      <c r="J131" s="9">
        <f t="shared" si="20"/>
        <v>0</v>
      </c>
      <c r="K131" s="9">
        <f t="shared" si="20"/>
        <v>0</v>
      </c>
      <c r="L131" s="9">
        <f t="shared" si="20"/>
        <v>0</v>
      </c>
      <c r="M131" s="9">
        <f t="shared" si="20"/>
        <v>0</v>
      </c>
      <c r="N131" s="9">
        <f t="shared" si="20"/>
        <v>0</v>
      </c>
      <c r="O131" s="9">
        <f t="shared" si="20"/>
        <v>0</v>
      </c>
      <c r="P131" s="9">
        <f t="shared" si="20"/>
        <v>0</v>
      </c>
      <c r="Q131" s="9">
        <f t="shared" ref="Q131:Z131" si="21">SUM(Q31:Q130)</f>
        <v>0</v>
      </c>
      <c r="R131" s="9">
        <f t="shared" si="21"/>
        <v>0</v>
      </c>
      <c r="S131" s="9">
        <f t="shared" si="21"/>
        <v>0</v>
      </c>
      <c r="T131" s="9">
        <f t="shared" si="21"/>
        <v>0</v>
      </c>
      <c r="U131" s="9">
        <f t="shared" si="21"/>
        <v>146</v>
      </c>
      <c r="V131" s="9">
        <f t="shared" si="21"/>
        <v>28.5</v>
      </c>
      <c r="W131" s="9">
        <f t="shared" si="21"/>
        <v>123.6</v>
      </c>
      <c r="X131" s="9">
        <f t="shared" si="21"/>
        <v>100</v>
      </c>
      <c r="Y131" s="9">
        <f t="shared" si="21"/>
        <v>123.6</v>
      </c>
      <c r="Z131" s="124">
        <f t="shared" si="21"/>
        <v>1</v>
      </c>
      <c r="AD131" s="193"/>
    </row>
    <row r="132" spans="2:30" x14ac:dyDescent="0.25">
      <c r="AD132" s="193"/>
    </row>
    <row r="133" spans="2:30" x14ac:dyDescent="0.25">
      <c r="AD133" s="193"/>
    </row>
    <row r="134" spans="2:30" x14ac:dyDescent="0.25">
      <c r="AD134" s="193"/>
    </row>
    <row r="135" spans="2:30" x14ac:dyDescent="0.25">
      <c r="AD135" s="193"/>
    </row>
    <row r="136" spans="2:30" x14ac:dyDescent="0.25">
      <c r="AD136" s="193"/>
    </row>
    <row r="137" spans="2:30" x14ac:dyDescent="0.25">
      <c r="AD137" s="193"/>
    </row>
    <row r="138" spans="2:30" x14ac:dyDescent="0.25">
      <c r="AD138" s="193"/>
    </row>
    <row r="139" spans="2:30" x14ac:dyDescent="0.25">
      <c r="AD139" s="193"/>
    </row>
    <row r="140" spans="2:30" x14ac:dyDescent="0.25">
      <c r="AD140" s="193"/>
    </row>
    <row r="141" spans="2:30" x14ac:dyDescent="0.25">
      <c r="AD141" s="193"/>
    </row>
    <row r="142" spans="2:30" x14ac:dyDescent="0.25">
      <c r="AD142" s="193"/>
    </row>
    <row r="143" spans="2:30" x14ac:dyDescent="0.25">
      <c r="AD143" s="193"/>
    </row>
    <row r="144" spans="2:30"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8HPIvp2GaazmMYzxCRSwOtkfMCOqx7YMwa98BZSfCXhOUkoPuTZ0NvfiJPO95JH8OQc/vsLzebvPbC/EohvfRQ==" saltValue="4qc/A0zO0X3cItt+/tMxxg==" spinCount="100000" sheet="1" scenarios="1" formatCells="0" formatColumns="0" formatRows="0" autoFilter="0"/>
  <mergeCells count="18">
    <mergeCell ref="Y29:Y30"/>
    <mergeCell ref="Z29:Z30"/>
    <mergeCell ref="B1:Z1"/>
    <mergeCell ref="B29:B30"/>
    <mergeCell ref="C29:C30"/>
    <mergeCell ref="D29:D30"/>
    <mergeCell ref="E29:E30"/>
    <mergeCell ref="F29:F30"/>
    <mergeCell ref="U29:U30"/>
    <mergeCell ref="V29:V30"/>
    <mergeCell ref="W29:W30"/>
    <mergeCell ref="X29:X30"/>
    <mergeCell ref="G29:G30"/>
    <mergeCell ref="B131:F131"/>
    <mergeCell ref="T29:T30"/>
    <mergeCell ref="S29:S30"/>
    <mergeCell ref="R29:R30"/>
    <mergeCell ref="Q29:Q30"/>
  </mergeCells>
  <conditionalFormatting sqref="B31:Z130">
    <cfRule type="expression" dxfId="149" priority="1" stopIfTrue="1">
      <formula>AND($F31="",B31&lt;&gt;"")</formula>
    </cfRule>
    <cfRule type="expression" dxfId="148" priority="2">
      <formula>$F31=""</formula>
    </cfRule>
    <cfRule type="expression" dxfId="147" priority="3">
      <formula>B$30&lt;&gt;""</formula>
    </cfRule>
  </conditionalFormatting>
  <dataValidations count="9">
    <dataValidation type="whole" operator="greaterThan" allowBlank="1" showInputMessage="1" showErrorMessage="1" errorTitle="נתון שגוי." error="ניתן להזין רק מספר שלם גדול מ-0" sqref="M31:M130" xr:uid="{00000000-0002-0000-0700-000000000000}">
      <formula1>0</formula1>
    </dataValidation>
    <dataValidation type="decimal" operator="greaterThan" allowBlank="1" showInputMessage="1" showErrorMessage="1" errorTitle="נתון שגוי." error="ניתן להזין רק מספר גדול מ-0" sqref="L31:L130" xr:uid="{00000000-0002-0000-0700-000001000000}">
      <formula1>0</formula1>
    </dataValidation>
    <dataValidation type="whole" operator="greaterThanOrEqual" allowBlank="1" showInputMessage="1" showErrorMessage="1" errorTitle="נתון שגוי." error="ניתן להזין רק מספר שלם גדול או שווה ל-0." sqref="K31:K130" xr:uid="{00000000-0002-0000-0700-000002000000}">
      <formula1>0</formula1>
    </dataValidation>
    <dataValidation type="decimal" operator="greaterThanOrEqual" allowBlank="1" showInputMessage="1" showErrorMessage="1" errorTitle="נתון שגוי." error="ניתן להזין רק מספר גדול או שווה ל-0." sqref="J31:J130" xr:uid="{00000000-0002-0000-0700-000003000000}">
      <formula1>0</formula1>
    </dataValidation>
    <dataValidation type="whole" operator="notBetween" allowBlank="1" showInputMessage="1" showErrorMessage="1" errorTitle="נתון שגוי." error="ניתן להזין רק מספר שלם" sqref="I31:I130" xr:uid="{00000000-0002-0000-0700-000004000000}">
      <formula1>-999999999</formula1>
      <formula2>-999999998</formula2>
    </dataValidation>
    <dataValidation type="list" allowBlank="1" showInputMessage="1" showErrorMessage="1" sqref="H30:P30" xr:uid="{00000000-0002-0000-07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700-000006000000}">
      <formula1>$AB31:$AC31</formula1>
    </dataValidation>
    <dataValidation type="list" allowBlank="1" showInputMessage="1" showErrorMessage="1" errorTitle="נתון לא מרשימה" error="יש לבחור מתוך הרשימה הסגורה בלבד" sqref="O31:O130" xr:uid="{00000000-0002-0000-0700-000007000000}">
      <formula1>OFFSET($BA31,0,0,1,COUNTA($BA31:$BJ31))</formula1>
    </dataValidation>
    <dataValidation type="whole" operator="greaterThanOrEqual" allowBlank="1" showInputMessage="1" showErrorMessage="1" errorTitle="נתון שגוי" error="ניתן להזין רק מספר שלם גדול או שווה ל-0" sqref="H31:H130" xr:uid="{00000000-0002-0000-0700-000008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rowBreaks count="1" manualBreakCount="1">
    <brk id="59" min="1" max="25" man="1"/>
  </rowBreaks>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CE170BB7-0369-4D98-A1C2-E1897BC73BFD}">
            <xm:f>NOT(ISERROR(SEARCH($AB$1,B31)))</xm:f>
            <xm:f>$AB$1</xm:f>
            <x14:dxf>
              <fill>
                <patternFill>
                  <bgColor rgb="FFFF0000"/>
                </patternFill>
              </fill>
            </x14:dxf>
          </x14:cfRule>
          <xm:sqref>B31:Z130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orksheet______6">
    <tabColor theme="4" tint="-0.249977111117893"/>
    <pageSetUpPr fitToPage="1"/>
  </sheetPr>
  <dimension ref="A1:GR180"/>
  <sheetViews>
    <sheetView rightToLeft="1" view="pageBreakPreview" topLeftCell="B1" zoomScale="70" zoomScaleNormal="100" zoomScaleSheetLayoutView="70"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41.140625" style="193" customWidth="1"/>
    <col min="7" max="7" width="13.28515625" style="193" customWidth="1"/>
    <col min="8" max="8" width="13.7109375" style="193" customWidth="1"/>
    <col min="9" max="15" width="21.42578125" style="193" customWidth="1"/>
    <col min="16" max="19" width="21.42578125" style="193" hidden="1" customWidth="1"/>
    <col min="20" max="20" width="17.5703125" style="193" hidden="1" customWidth="1"/>
    <col min="21" max="21" width="13.5703125" style="193" customWidth="1"/>
    <col min="22" max="25" width="21.42578125" style="193" hidden="1" customWidth="1"/>
    <col min="26" max="26" width="14.28515625" style="193" bestFit="1"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9.140625" style="193" hidden="1" customWidth="1"/>
    <col min="201" max="16384" width="9.140625" style="193"/>
  </cols>
  <sheetData>
    <row r="1" spans="2:52" ht="21" customHeight="1" thickBot="1" x14ac:dyDescent="0.3">
      <c r="B1" s="534" t="str">
        <f ca="1">MID(CELL("filename",AC2),FIND("]",CELL("filename",AC2),1)+1,99)</f>
        <v>מיקום ההרצות</v>
      </c>
      <c r="C1" s="536"/>
      <c r="D1" s="536"/>
      <c r="E1" s="536"/>
      <c r="F1" s="536"/>
      <c r="G1" s="536"/>
      <c r="H1" s="536"/>
      <c r="I1" s="536"/>
      <c r="J1" s="536"/>
      <c r="K1" s="536"/>
      <c r="L1" s="536"/>
      <c r="M1" s="536"/>
      <c r="N1" s="536"/>
      <c r="O1" s="536"/>
      <c r="P1" s="536"/>
      <c r="Q1" s="536"/>
      <c r="R1" s="536"/>
      <c r="S1" s="536"/>
      <c r="T1" s="536"/>
      <c r="U1" s="536"/>
      <c r="V1" s="536"/>
      <c r="W1" s="536"/>
      <c r="X1" s="536"/>
      <c r="Y1" s="536"/>
      <c r="Z1" s="536"/>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U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0</v>
      </c>
    </row>
    <row r="3" spans="2:52" ht="38.25" thickBot="1" x14ac:dyDescent="0.3">
      <c r="U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32.25" thickBot="1" x14ac:dyDescent="0.3">
      <c r="F4" s="406" t="str">
        <f>'פרמטרים לקריטריונים'!B101</f>
        <v>מרחק ממקום פעילות מרכזי</v>
      </c>
      <c r="G4" s="406" t="str">
        <f>'פרמטרים לקריטריונים'!C101</f>
        <v>יישוב סיווג למ"ס 1</v>
      </c>
      <c r="H4" s="406" t="str">
        <f>'פרמטרים לקריטריונים'!D101</f>
        <v>יישוב סיווג למ"ס 2</v>
      </c>
      <c r="AD4" s="192" t="s">
        <v>128</v>
      </c>
      <c r="AE4" s="234">
        <v>1</v>
      </c>
      <c r="AF4" s="235">
        <v>2</v>
      </c>
      <c r="AG4" s="235">
        <v>3</v>
      </c>
      <c r="AH4" s="235">
        <v>4</v>
      </c>
      <c r="AI4" s="235">
        <v>5</v>
      </c>
      <c r="AJ4" s="235">
        <v>6</v>
      </c>
      <c r="AK4" s="235">
        <v>7</v>
      </c>
      <c r="AL4" s="235">
        <v>8</v>
      </c>
      <c r="AM4" s="235">
        <v>9</v>
      </c>
      <c r="AN4" s="236">
        <v>10</v>
      </c>
    </row>
    <row r="5" spans="2:52" x14ac:dyDescent="0.25">
      <c r="F5" s="407" t="str">
        <f>'פרמטרים לקריטריונים'!B102</f>
        <v>0 עד 30 ק"מ</v>
      </c>
      <c r="G5" s="408">
        <f>'פרמטרים לקריטריונים'!C102</f>
        <v>0</v>
      </c>
      <c r="H5" s="408">
        <f>'פרמטרים לקריטריונים'!D102</f>
        <v>0.5</v>
      </c>
    </row>
    <row r="6" spans="2:52" x14ac:dyDescent="0.25">
      <c r="F6" s="407" t="str">
        <f>'פרמטרים לקריטריונים'!B103</f>
        <v>מעל 30 ועד 60 ק"מ</v>
      </c>
      <c r="G6" s="408">
        <f>'פרמטרים לקריטריונים'!C103</f>
        <v>0.5</v>
      </c>
      <c r="H6" s="408">
        <f>'פרמטרים לקריטריונים'!D103</f>
        <v>1</v>
      </c>
    </row>
    <row r="7" spans="2:52" x14ac:dyDescent="0.25">
      <c r="F7" s="407" t="str">
        <f>'פרמטרים לקריטריונים'!B104</f>
        <v>מעל 60 ועד 100 ק"מ</v>
      </c>
      <c r="G7" s="408">
        <f>'פרמטרים לקריטריונים'!C104</f>
        <v>1</v>
      </c>
      <c r="H7" s="408">
        <f>'פרמטרים לקריטריונים'!D104</f>
        <v>1.5</v>
      </c>
    </row>
    <row r="8" spans="2:52" x14ac:dyDescent="0.25">
      <c r="F8" s="407" t="str">
        <f>'פרמטרים לקריטריונים'!B105</f>
        <v>מעל 100 ק"מ</v>
      </c>
      <c r="G8" s="408">
        <f>'פרמטרים לקריטריונים'!C105</f>
        <v>1.5</v>
      </c>
      <c r="H8" s="408">
        <f>'פרמטרים לקריטריונים'!D105</f>
        <v>3</v>
      </c>
    </row>
    <row r="9" spans="2:52" ht="15" customHeight="1" thickBot="1" x14ac:dyDescent="0.3">
      <c r="G9" s="336"/>
      <c r="H9" s="336"/>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9.75" hidden="1" customHeight="1" x14ac:dyDescent="0.25"/>
    <row r="22" spans="1:62" hidden="1" x14ac:dyDescent="0.25"/>
    <row r="23" spans="1:62" hidden="1" x14ac:dyDescent="0.25">
      <c r="F23" s="410" t="str">
        <f>'פרמטרים לקריטריונים'!$D$31</f>
        <v>החלת מקדם תלוי משתנה</v>
      </c>
      <c r="G23" s="411">
        <f ca="1">VLOOKUP(B1,'פרמטרים לקריטריונים'!$B$32:$D$46,3,0)</f>
        <v>0</v>
      </c>
    </row>
    <row r="24" spans="1:62" hidden="1" x14ac:dyDescent="0.25"/>
    <row r="25" spans="1:62" hidden="1" x14ac:dyDescent="0.25"/>
    <row r="26" spans="1:62" hidden="1" x14ac:dyDescent="0.25">
      <c r="F26" s="3"/>
      <c r="G26" s="3"/>
      <c r="H26" s="3"/>
      <c r="I26" s="3"/>
      <c r="J26" s="3"/>
      <c r="K26" s="3"/>
      <c r="L26" s="3"/>
      <c r="M26" s="3"/>
      <c r="N26" s="3"/>
      <c r="O26" s="3"/>
      <c r="P26" s="3"/>
      <c r="Q26" s="3"/>
      <c r="R26" s="3"/>
      <c r="S26" s="3"/>
      <c r="T26" s="3"/>
      <c r="U26" s="3"/>
      <c r="V26" s="3"/>
      <c r="W26" s="3"/>
      <c r="X26" s="3"/>
      <c r="Y26" s="3"/>
    </row>
    <row r="27" spans="1:62" ht="16.5" hidden="1" thickBot="1" x14ac:dyDescent="0.3">
      <c r="B27" s="214"/>
      <c r="C27" s="214"/>
      <c r="D27" s="214"/>
      <c r="E27" s="214"/>
      <c r="F27" s="214"/>
      <c r="G27" s="3"/>
      <c r="M27" s="3"/>
      <c r="N27" s="3"/>
      <c r="O27" s="3"/>
      <c r="P27" s="3"/>
      <c r="Q27" s="3"/>
      <c r="R27" s="3"/>
      <c r="S27" s="3"/>
      <c r="T27" s="3"/>
      <c r="U27" s="3"/>
      <c r="V27" s="3"/>
      <c r="W27" s="3"/>
      <c r="X27" s="3"/>
      <c r="Y27" s="3"/>
      <c r="Z27" s="3"/>
    </row>
    <row r="28" spans="1:62" ht="19.5" thickBot="1" x14ac:dyDescent="0.3">
      <c r="B28" s="544" t="s">
        <v>132</v>
      </c>
      <c r="C28" s="330">
        <f>COLUMN()</f>
        <v>3</v>
      </c>
      <c r="D28" s="330">
        <f>COLUMN()</f>
        <v>4</v>
      </c>
      <c r="E28" s="330">
        <f>COLUMN()</f>
        <v>5</v>
      </c>
      <c r="F28" s="544" t="s">
        <v>133</v>
      </c>
      <c r="G28" s="560" t="s">
        <v>208</v>
      </c>
      <c r="H28" s="333" t="s">
        <v>209</v>
      </c>
      <c r="I28" s="314"/>
      <c r="J28" s="314"/>
      <c r="K28" s="315"/>
      <c r="L28" s="339" t="s">
        <v>210</v>
      </c>
      <c r="M28" s="339"/>
      <c r="N28" s="340"/>
      <c r="O28" s="341"/>
      <c r="P28" s="3"/>
      <c r="Q28" s="3"/>
      <c r="R28" s="3"/>
      <c r="S28" s="3"/>
      <c r="T28" s="3"/>
      <c r="U28" s="544" t="s">
        <v>197</v>
      </c>
      <c r="V28" s="330" t="s">
        <v>190</v>
      </c>
      <c r="W28" s="330" t="s">
        <v>191</v>
      </c>
      <c r="X28" s="330" t="s">
        <v>190</v>
      </c>
      <c r="Y28" s="330" t="s">
        <v>192</v>
      </c>
      <c r="Z28" s="553" t="s">
        <v>199</v>
      </c>
      <c r="AA28" s="167"/>
      <c r="AD28" s="192" t="e">
        <f>MATCH(G$30,$AE$1:$AM$1,0)</f>
        <v>#N/A</v>
      </c>
      <c r="AE28" s="192">
        <f t="shared" ref="AE28:AV28" si="0">MATCH(H$30,$AE$1:$AM$1,0)</f>
        <v>5</v>
      </c>
      <c r="AF28" s="192">
        <f t="shared" si="0"/>
        <v>5</v>
      </c>
      <c r="AG28" s="192">
        <f t="shared" si="0"/>
        <v>5</v>
      </c>
      <c r="AH28" s="192">
        <f t="shared" si="0"/>
        <v>5</v>
      </c>
      <c r="AI28" s="192">
        <f t="shared" si="0"/>
        <v>5</v>
      </c>
      <c r="AJ28" s="192">
        <f t="shared" si="0"/>
        <v>5</v>
      </c>
      <c r="AK28" s="192">
        <f t="shared" si="0"/>
        <v>5</v>
      </c>
      <c r="AL28" s="192">
        <f t="shared" si="0"/>
        <v>5</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30" customHeight="1" thickBot="1" x14ac:dyDescent="0.3">
      <c r="A29" s="221">
        <v>100</v>
      </c>
      <c r="B29" s="558"/>
      <c r="C29" s="330">
        <f>COLUMN()</f>
        <v>3</v>
      </c>
      <c r="D29" s="330">
        <f>COLUMN()</f>
        <v>4</v>
      </c>
      <c r="E29" s="330">
        <f>COLUMN()</f>
        <v>5</v>
      </c>
      <c r="F29" s="558"/>
      <c r="G29" s="561"/>
      <c r="H29" s="246" t="s">
        <v>85</v>
      </c>
      <c r="I29" s="246" t="s">
        <v>86</v>
      </c>
      <c r="J29" s="246" t="s">
        <v>87</v>
      </c>
      <c r="K29" s="223" t="s">
        <v>88</v>
      </c>
      <c r="L29" s="246" t="s">
        <v>85</v>
      </c>
      <c r="M29" s="246" t="s">
        <v>86</v>
      </c>
      <c r="N29" s="246" t="s">
        <v>87</v>
      </c>
      <c r="O29" s="223" t="s">
        <v>88</v>
      </c>
      <c r="P29" s="337" t="s">
        <v>117</v>
      </c>
      <c r="Q29" s="330">
        <f>COLUMN()</f>
        <v>17</v>
      </c>
      <c r="R29" s="330">
        <f>COLUMN()</f>
        <v>18</v>
      </c>
      <c r="S29" s="330">
        <f>COLUMN()</f>
        <v>19</v>
      </c>
      <c r="T29" s="330">
        <f>COLUMN()</f>
        <v>20</v>
      </c>
      <c r="U29" s="558"/>
      <c r="V29" s="330"/>
      <c r="W29" s="330"/>
      <c r="X29" s="330"/>
      <c r="Y29" s="330"/>
      <c r="Z29" s="563"/>
      <c r="AA29" s="224" t="s">
        <v>159</v>
      </c>
      <c r="AD29" s="192" t="str">
        <f>"בקרת "&amp;G29</f>
        <v xml:space="preserve">בקרת </v>
      </c>
      <c r="AE29" s="192" t="str">
        <f t="shared" ref="AE29:AV29" si="1">"בקרת "&amp;H29</f>
        <v>בקרת 0 עד 30 ק"מ</v>
      </c>
      <c r="AF29" s="192" t="str">
        <f t="shared" si="1"/>
        <v>בקרת מעל 30 ועד 60 ק"מ</v>
      </c>
      <c r="AG29" s="192" t="str">
        <f t="shared" si="1"/>
        <v>בקרת מעל 60 ועד 100 ק"מ</v>
      </c>
      <c r="AH29" s="192" t="str">
        <f t="shared" si="1"/>
        <v>בקרת מעל 100 ק"מ</v>
      </c>
      <c r="AI29" s="192" t="str">
        <f t="shared" si="1"/>
        <v>בקרת 0 עד 30 ק"מ</v>
      </c>
      <c r="AJ29" s="192" t="str">
        <f t="shared" si="1"/>
        <v>בקרת מעל 30 ועד 60 ק"מ</v>
      </c>
      <c r="AK29" s="192" t="str">
        <f t="shared" si="1"/>
        <v>בקרת מעל 60 ועד 100 ק"מ</v>
      </c>
      <c r="AL29" s="192" t="str">
        <f t="shared" si="1"/>
        <v>בקרת מעל 100 ק"מ</v>
      </c>
      <c r="AM29" s="192" t="str">
        <f t="shared" si="1"/>
        <v>בקרת 0/1</v>
      </c>
      <c r="AN29" s="192" t="str">
        <f t="shared" si="1"/>
        <v>בקרת 17</v>
      </c>
      <c r="AO29" s="192" t="str">
        <f t="shared" si="1"/>
        <v>בקרת 18</v>
      </c>
      <c r="AP29" s="192" t="str">
        <f t="shared" si="1"/>
        <v>בקרת 19</v>
      </c>
      <c r="AQ29" s="192" t="str">
        <f t="shared" si="1"/>
        <v>בקרת 20</v>
      </c>
      <c r="AR29" s="192" t="str">
        <f t="shared" si="1"/>
        <v xml:space="preserve">בקרת </v>
      </c>
      <c r="AS29" s="192" t="str">
        <f t="shared" si="1"/>
        <v xml:space="preserve">בקרת </v>
      </c>
      <c r="AT29" s="192" t="str">
        <f t="shared" si="1"/>
        <v xml:space="preserve">בקרת </v>
      </c>
      <c r="AU29" s="192" t="str">
        <f t="shared" si="1"/>
        <v xml:space="preserve">בקרת </v>
      </c>
      <c r="AV29" s="192" t="str">
        <f t="shared" si="1"/>
        <v xml:space="preserve">בקרת </v>
      </c>
      <c r="BA29" s="192" t="s">
        <v>128</v>
      </c>
    </row>
    <row r="30" spans="1:62" ht="39" customHeight="1" thickBot="1" x14ac:dyDescent="0.3">
      <c r="A30" s="225"/>
      <c r="B30" s="559"/>
      <c r="C30" s="328"/>
      <c r="D30" s="328"/>
      <c r="E30" s="328"/>
      <c r="F30" s="559"/>
      <c r="G30" s="562"/>
      <c r="H30" s="240" t="s">
        <v>121</v>
      </c>
      <c r="I30" s="240" t="s">
        <v>121</v>
      </c>
      <c r="J30" s="240" t="s">
        <v>121</v>
      </c>
      <c r="K30" s="240" t="s">
        <v>121</v>
      </c>
      <c r="L30" s="240" t="s">
        <v>121</v>
      </c>
      <c r="M30" s="240" t="s">
        <v>121</v>
      </c>
      <c r="N30" s="240" t="s">
        <v>121</v>
      </c>
      <c r="O30" s="240" t="s">
        <v>121</v>
      </c>
      <c r="P30" s="338"/>
      <c r="Q30" s="328"/>
      <c r="R30" s="328"/>
      <c r="S30" s="328"/>
      <c r="T30" s="328"/>
      <c r="U30" s="559"/>
      <c r="V30" s="328"/>
      <c r="W30" s="328"/>
      <c r="X30" s="328"/>
      <c r="Y30" s="328"/>
      <c r="Z30" s="564"/>
      <c r="AB30" s="192">
        <v>0</v>
      </c>
      <c r="AC30" s="192">
        <v>1</v>
      </c>
      <c r="AD30" s="192">
        <f>G30</f>
        <v>0</v>
      </c>
      <c r="AE30" s="192" t="str">
        <f t="shared" ref="AE30:AV30" si="2">H30</f>
        <v>מספר שלם שאינו שלילי</v>
      </c>
      <c r="AF30" s="192" t="str">
        <f t="shared" si="2"/>
        <v>מספר שלם שאינו שלילי</v>
      </c>
      <c r="AG30" s="192" t="str">
        <f t="shared" si="2"/>
        <v>מספר שלם שאינו שלילי</v>
      </c>
      <c r="AH30" s="192" t="str">
        <f t="shared" si="2"/>
        <v>מספר שלם שאינו שלילי</v>
      </c>
      <c r="AI30" s="192" t="str">
        <f t="shared" si="2"/>
        <v>מספר שלם שאינו שלילי</v>
      </c>
      <c r="AJ30" s="192" t="str">
        <f t="shared" si="2"/>
        <v>מספר שלם שאינו שלילי</v>
      </c>
      <c r="AK30" s="192" t="str">
        <f t="shared" si="2"/>
        <v>מספר שלם שאינו שלילי</v>
      </c>
      <c r="AL30" s="192" t="str">
        <f t="shared" si="2"/>
        <v>מספר שלם שאינו שלילי</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32.25" customHeight="1" x14ac:dyDescent="0.25">
      <c r="B31" s="160">
        <f>IF(F31="","",ROW()-30)</f>
        <v>1</v>
      </c>
      <c r="C31" s="157"/>
      <c r="D31" s="157"/>
      <c r="E31" s="157"/>
      <c r="F31" s="241" t="str">
        <f>IF('תנאי סף'!AO31&lt;&gt;1,"",'תנאי סף'!F31)</f>
        <v>אנסמבל פרץ אליהו</v>
      </c>
      <c r="G31" s="159">
        <f>IF($F31="","",'מספר הרצות'!G31)</f>
        <v>16</v>
      </c>
      <c r="H31" s="158">
        <v>0</v>
      </c>
      <c r="I31" s="158">
        <v>0</v>
      </c>
      <c r="J31" s="158">
        <v>1</v>
      </c>
      <c r="K31" s="158">
        <v>6</v>
      </c>
      <c r="L31" s="158">
        <v>1</v>
      </c>
      <c r="M31" s="158">
        <v>3</v>
      </c>
      <c r="N31" s="158">
        <v>0</v>
      </c>
      <c r="O31" s="158">
        <v>5</v>
      </c>
      <c r="P31" s="177"/>
      <c r="Q31" s="159"/>
      <c r="R31" s="159"/>
      <c r="S31" s="159"/>
      <c r="T31" s="159"/>
      <c r="U31" s="159">
        <f>IF($F31="","",IF(OR(SUM(H31:O31)&lt;&gt;G31,$AA31&lt;&gt;1),$AB$1,IFERROR(MMULT(H31:K31,$G$5:$G$8)+MMULT(L31:O31,$H$5:$H$8),$AB$1)))</f>
        <v>28.5</v>
      </c>
      <c r="V31" s="159">
        <v>1</v>
      </c>
      <c r="W31" s="159">
        <f>IF($F31="","",IF($AA31&lt;&gt;1,$AB$1,IFERROR(U31*V31,$AB$1)))</f>
        <v>28.5</v>
      </c>
      <c r="X31" s="159">
        <v>1</v>
      </c>
      <c r="Y31" s="159">
        <f>IF($F31="","",IF($AA31&lt;&gt;1,$AB$1,IFERROR(W31*X31,$AB$1)))</f>
        <v>28.5</v>
      </c>
      <c r="Z31" s="343">
        <f>IF($F31="","",IF(OR($AA31&lt;&gt;1,Y31=$AB$1),$AB$1,IFERROR(Y31/SUM($Y$31:$Y$130),0)))</f>
        <v>6.3687150837988829E-2</v>
      </c>
      <c r="AA31" s="192">
        <f>IF(SUM(AD31:AV31)=COUNT(AD31:AV31),1,0)</f>
        <v>1</v>
      </c>
      <c r="AB31" s="192">
        <f>IF($F31="","",AB$30)</f>
        <v>0</v>
      </c>
      <c r="AC31" s="192">
        <f>IF($F31="","",AC$30)</f>
        <v>1</v>
      </c>
      <c r="AE31" s="192">
        <f t="shared" ref="AE31:AL45" si="4">IF(H$30="",1,IF(H31="",0,IFERROR(CHOOSE(AE$28,IF(ISNA(MATCH(H31,$AB$30:$AC$30,0)),0,1),IF(ISNUMBER(H31),1,0),IF(H31=TRUNC(H31),1,0),IF(AND(H31*1=H31,H31&gt;=0),1,0),IF(AND(H31=TRUNC(H31),H31&gt;=0),1,0),IF(AND(H31*1=H31,H31&gt;0),1,0),IF(AND(H31=TRUNC(H31),H31&gt;0),1,0),1,IF(ISNA(HLOOKUP(H31,$AE$4:$AN$4,1,0)),0,1)),0)))</f>
        <v>1</v>
      </c>
      <c r="AF31" s="192">
        <f t="shared" si="4"/>
        <v>1</v>
      </c>
      <c r="AG31" s="192">
        <f t="shared" si="4"/>
        <v>1</v>
      </c>
      <c r="AH31" s="192">
        <f t="shared" si="4"/>
        <v>1</v>
      </c>
      <c r="AI31" s="192">
        <f t="shared" si="4"/>
        <v>1</v>
      </c>
      <c r="AJ31" s="192">
        <f t="shared" si="4"/>
        <v>1</v>
      </c>
      <c r="AK31" s="192">
        <f t="shared" si="4"/>
        <v>1</v>
      </c>
      <c r="AL31" s="192">
        <f t="shared" si="4"/>
        <v>1</v>
      </c>
      <c r="BA31" s="192">
        <f>IF($F31="","",BA$30)</f>
        <v>1</v>
      </c>
      <c r="BB31" s="192">
        <f t="shared" ref="BB31:BJ31" si="5">IF($F31="","",BB$30)</f>
        <v>2</v>
      </c>
      <c r="BC31" s="192">
        <f t="shared" si="5"/>
        <v>3</v>
      </c>
      <c r="BD31" s="192">
        <f t="shared" si="5"/>
        <v>4</v>
      </c>
      <c r="BE31" s="192">
        <f t="shared" si="5"/>
        <v>5</v>
      </c>
      <c r="BF31" s="192">
        <f t="shared" si="5"/>
        <v>6</v>
      </c>
      <c r="BG31" s="192">
        <f t="shared" si="5"/>
        <v>7</v>
      </c>
      <c r="BH31" s="192">
        <f t="shared" si="5"/>
        <v>8</v>
      </c>
      <c r="BI31" s="192">
        <f t="shared" si="5"/>
        <v>9</v>
      </c>
      <c r="BJ31" s="192">
        <f t="shared" si="5"/>
        <v>10</v>
      </c>
    </row>
    <row r="32" spans="1:62" ht="32.25" customHeight="1" x14ac:dyDescent="0.25">
      <c r="B32" s="242" t="str">
        <f t="shared" ref="B32:B95" si="6">IF(F32="","",ROW()-30)</f>
        <v/>
      </c>
      <c r="C32" s="4"/>
      <c r="D32" s="4"/>
      <c r="E32" s="4"/>
      <c r="F32" s="230" t="str">
        <f>IF('תנאי סף'!AO32&lt;&gt;1,"",'תנאי סף'!F32)</f>
        <v/>
      </c>
      <c r="G32" s="159" t="str">
        <f>IF($F32="","",'מספר הרצות'!G32)</f>
        <v/>
      </c>
      <c r="H32" s="6"/>
      <c r="I32" s="6"/>
      <c r="J32" s="6"/>
      <c r="K32" s="6"/>
      <c r="L32" s="6"/>
      <c r="M32" s="6"/>
      <c r="N32" s="6"/>
      <c r="O32" s="6"/>
      <c r="P32" s="177"/>
      <c r="Q32" s="8"/>
      <c r="R32" s="8"/>
      <c r="S32" s="8"/>
      <c r="T32" s="8"/>
      <c r="U32" s="159" t="str">
        <f t="shared" ref="U32:U95" si="7">IF($F32="","",IF(OR(SUM(H32:O32)&lt;&gt;G32,$AA32&lt;&gt;1),$AB$1,IFERROR(MMULT(H32:K32,$G$5:$G$8)+MMULT(L32:O32,$H$5:$H$8),$AB$1)))</f>
        <v/>
      </c>
      <c r="V32" s="8">
        <v>1</v>
      </c>
      <c r="W32" s="8" t="str">
        <f t="shared" ref="W32:W95" si="8">IF($F32="","",IF($AA32&lt;&gt;1,$AB$1,IFERROR(U32*V32,$AB$1)))</f>
        <v/>
      </c>
      <c r="X32" s="8">
        <v>1</v>
      </c>
      <c r="Y32" s="8" t="str">
        <f t="shared" ref="Y32:Y95" si="9">IF($F32="","",IF($AA32&lt;&gt;1,$AB$1,IFERROR(W32*X32,$AB$1)))</f>
        <v/>
      </c>
      <c r="Z32" s="351" t="str">
        <f t="shared" ref="Z32:Z95" si="10">IF($F32="","",IF(OR($AA32&lt;&gt;1,Y32=$AB$1),$AB$1,IFERROR(Y32/SUM($Y$31:$Y$130),0)))</f>
        <v/>
      </c>
      <c r="AA32" s="192">
        <f t="shared" ref="AA32:AA95" si="11">IF(SUM(AD32:AV32)=COUNT(AD32:AV32),1,0)</f>
        <v>0</v>
      </c>
      <c r="AB32" s="192" t="str">
        <f t="shared" ref="AB32:AC63" si="12">IF($F32="","",AB$30)</f>
        <v/>
      </c>
      <c r="AC32" s="192" t="str">
        <f t="shared" si="12"/>
        <v/>
      </c>
      <c r="AE32" s="192">
        <f t="shared" si="4"/>
        <v>0</v>
      </c>
      <c r="AF32" s="192">
        <f t="shared" si="4"/>
        <v>0</v>
      </c>
      <c r="AG32" s="192">
        <f t="shared" si="4"/>
        <v>0</v>
      </c>
      <c r="AH32" s="192">
        <f t="shared" si="4"/>
        <v>0</v>
      </c>
      <c r="AI32" s="192">
        <f t="shared" si="4"/>
        <v>0</v>
      </c>
      <c r="AJ32" s="192">
        <f t="shared" si="4"/>
        <v>0</v>
      </c>
      <c r="AK32" s="192">
        <f t="shared" si="4"/>
        <v>0</v>
      </c>
      <c r="AL32" s="192">
        <f t="shared" si="4"/>
        <v>0</v>
      </c>
    </row>
    <row r="33" spans="2:38" ht="32.25" customHeight="1" x14ac:dyDescent="0.25">
      <c r="B33" s="242" t="str">
        <f t="shared" si="6"/>
        <v/>
      </c>
      <c r="C33" s="4"/>
      <c r="D33" s="4"/>
      <c r="E33" s="4"/>
      <c r="F33" s="230" t="str">
        <f>IF('תנאי סף'!AO33&lt;&gt;1,"",'תנאי סף'!F33)</f>
        <v/>
      </c>
      <c r="G33" s="159" t="str">
        <f>IF($F33="","",'מספר הרצות'!G33)</f>
        <v/>
      </c>
      <c r="H33" s="6"/>
      <c r="I33" s="6"/>
      <c r="J33" s="6"/>
      <c r="K33" s="6"/>
      <c r="L33" s="6"/>
      <c r="M33" s="6"/>
      <c r="N33" s="6"/>
      <c r="O33" s="6"/>
      <c r="P33" s="177"/>
      <c r="Q33" s="8"/>
      <c r="R33" s="8"/>
      <c r="S33" s="8"/>
      <c r="T33" s="8"/>
      <c r="U33" s="159" t="str">
        <f t="shared" si="7"/>
        <v/>
      </c>
      <c r="V33" s="8">
        <v>1</v>
      </c>
      <c r="W33" s="8" t="str">
        <f t="shared" si="8"/>
        <v/>
      </c>
      <c r="X33" s="8">
        <v>1</v>
      </c>
      <c r="Y33" s="8" t="str">
        <f t="shared" si="9"/>
        <v/>
      </c>
      <c r="Z33" s="351" t="str">
        <f t="shared" si="10"/>
        <v/>
      </c>
      <c r="AA33" s="192">
        <f t="shared" si="11"/>
        <v>0</v>
      </c>
      <c r="AB33" s="192" t="str">
        <f t="shared" si="12"/>
        <v/>
      </c>
      <c r="AC33" s="192" t="str">
        <f t="shared" si="12"/>
        <v/>
      </c>
      <c r="AE33" s="192">
        <f t="shared" si="4"/>
        <v>0</v>
      </c>
      <c r="AF33" s="192">
        <f t="shared" si="4"/>
        <v>0</v>
      </c>
      <c r="AG33" s="192">
        <f t="shared" si="4"/>
        <v>0</v>
      </c>
      <c r="AH33" s="192">
        <f t="shared" si="4"/>
        <v>0</v>
      </c>
      <c r="AI33" s="192">
        <f t="shared" si="4"/>
        <v>0</v>
      </c>
      <c r="AJ33" s="192">
        <f t="shared" si="4"/>
        <v>0</v>
      </c>
      <c r="AK33" s="192">
        <f t="shared" si="4"/>
        <v>0</v>
      </c>
      <c r="AL33" s="192">
        <f t="shared" si="4"/>
        <v>0</v>
      </c>
    </row>
    <row r="34" spans="2:38" ht="32.25" customHeight="1" x14ac:dyDescent="0.25">
      <c r="B34" s="242">
        <f t="shared" si="6"/>
        <v>4</v>
      </c>
      <c r="C34" s="4"/>
      <c r="D34" s="4"/>
      <c r="E34" s="4"/>
      <c r="F34" s="230" t="str">
        <f>IF('תנאי סף'!AO34&lt;&gt;1,"",'תנאי סף'!F34)</f>
        <v>יניב ד'אור - אנסמבל נאיה</v>
      </c>
      <c r="G34" s="159">
        <f>IF($F34="","",'מספר הרצות'!G34)</f>
        <v>8</v>
      </c>
      <c r="H34" s="6">
        <v>1</v>
      </c>
      <c r="I34" s="6">
        <v>5</v>
      </c>
      <c r="J34" s="6">
        <v>0</v>
      </c>
      <c r="K34" s="6">
        <v>0</v>
      </c>
      <c r="L34" s="6">
        <v>0</v>
      </c>
      <c r="M34" s="6">
        <v>1</v>
      </c>
      <c r="N34" s="6">
        <v>0</v>
      </c>
      <c r="O34" s="6">
        <v>1</v>
      </c>
      <c r="P34" s="177"/>
      <c r="Q34" s="8"/>
      <c r="R34" s="8"/>
      <c r="S34" s="8"/>
      <c r="T34" s="8"/>
      <c r="U34" s="159">
        <f t="shared" si="7"/>
        <v>6.5</v>
      </c>
      <c r="V34" s="8">
        <v>1</v>
      </c>
      <c r="W34" s="8">
        <f t="shared" si="8"/>
        <v>6.5</v>
      </c>
      <c r="X34" s="8">
        <v>1</v>
      </c>
      <c r="Y34" s="8">
        <f t="shared" si="9"/>
        <v>6.5</v>
      </c>
      <c r="Z34" s="351">
        <f t="shared" si="10"/>
        <v>1.452513966480447E-2</v>
      </c>
      <c r="AA34" s="192">
        <f t="shared" si="11"/>
        <v>1</v>
      </c>
      <c r="AB34" s="192">
        <f t="shared" si="12"/>
        <v>0</v>
      </c>
      <c r="AC34" s="192">
        <f t="shared" si="12"/>
        <v>1</v>
      </c>
      <c r="AE34" s="192">
        <f t="shared" si="4"/>
        <v>1</v>
      </c>
      <c r="AF34" s="192">
        <f t="shared" si="4"/>
        <v>1</v>
      </c>
      <c r="AG34" s="192">
        <f t="shared" si="4"/>
        <v>1</v>
      </c>
      <c r="AH34" s="192">
        <f t="shared" si="4"/>
        <v>1</v>
      </c>
      <c r="AI34" s="192">
        <f t="shared" si="4"/>
        <v>1</v>
      </c>
      <c r="AJ34" s="192">
        <f t="shared" si="4"/>
        <v>1</v>
      </c>
      <c r="AK34" s="192">
        <f t="shared" si="4"/>
        <v>1</v>
      </c>
      <c r="AL34" s="192">
        <f t="shared" si="4"/>
        <v>1</v>
      </c>
    </row>
    <row r="35" spans="2:38" ht="32.25" customHeight="1" x14ac:dyDescent="0.25">
      <c r="B35" s="242" t="str">
        <f t="shared" si="6"/>
        <v/>
      </c>
      <c r="C35" s="4"/>
      <c r="D35" s="4"/>
      <c r="E35" s="4"/>
      <c r="F35" s="230" t="str">
        <f>IF('תנאי סף'!AO35&lt;&gt;1,"",'תנאי סף'!F35)</f>
        <v/>
      </c>
      <c r="G35" s="159" t="str">
        <f>IF($F35="","",'מספר הרצות'!G35)</f>
        <v/>
      </c>
      <c r="H35" s="6"/>
      <c r="I35" s="6"/>
      <c r="J35" s="6"/>
      <c r="K35" s="6"/>
      <c r="L35" s="6"/>
      <c r="M35" s="6"/>
      <c r="N35" s="6"/>
      <c r="O35" s="6"/>
      <c r="P35" s="177"/>
      <c r="Q35" s="8"/>
      <c r="R35" s="8"/>
      <c r="S35" s="8"/>
      <c r="T35" s="8"/>
      <c r="U35" s="159" t="str">
        <f t="shared" si="7"/>
        <v/>
      </c>
      <c r="V35" s="8">
        <v>1</v>
      </c>
      <c r="W35" s="8" t="str">
        <f t="shared" si="8"/>
        <v/>
      </c>
      <c r="X35" s="8">
        <v>1</v>
      </c>
      <c r="Y35" s="8" t="str">
        <f t="shared" si="9"/>
        <v/>
      </c>
      <c r="Z35" s="351" t="str">
        <f t="shared" si="10"/>
        <v/>
      </c>
      <c r="AA35" s="192">
        <f t="shared" si="11"/>
        <v>0</v>
      </c>
      <c r="AB35" s="192" t="str">
        <f t="shared" si="12"/>
        <v/>
      </c>
      <c r="AC35" s="192" t="str">
        <f t="shared" si="12"/>
        <v/>
      </c>
      <c r="AE35" s="192">
        <f t="shared" si="4"/>
        <v>0</v>
      </c>
      <c r="AF35" s="192">
        <f t="shared" si="4"/>
        <v>0</v>
      </c>
      <c r="AG35" s="192">
        <f t="shared" si="4"/>
        <v>0</v>
      </c>
      <c r="AH35" s="192">
        <f t="shared" si="4"/>
        <v>0</v>
      </c>
      <c r="AI35" s="192">
        <f t="shared" si="4"/>
        <v>0</v>
      </c>
      <c r="AJ35" s="192">
        <f t="shared" si="4"/>
        <v>0</v>
      </c>
      <c r="AK35" s="192">
        <f t="shared" si="4"/>
        <v>0</v>
      </c>
      <c r="AL35" s="192">
        <f t="shared" si="4"/>
        <v>0</v>
      </c>
    </row>
    <row r="36" spans="2:38" ht="32.25" customHeight="1" x14ac:dyDescent="0.25">
      <c r="B36" s="242">
        <f t="shared" si="6"/>
        <v>6</v>
      </c>
      <c r="C36" s="4"/>
      <c r="D36" s="4"/>
      <c r="E36" s="4"/>
      <c r="F36" s="230" t="str">
        <f>IF('תנאי סף'!AO36&lt;&gt;1,"",'תנאי סף'!F36)</f>
        <v>הפרויקט הקאמרי הישראלי</v>
      </c>
      <c r="G36" s="159">
        <f>IF($F36="","",'מספר הרצות'!G36)</f>
        <v>8</v>
      </c>
      <c r="H36" s="6">
        <v>2</v>
      </c>
      <c r="I36" s="6">
        <v>0</v>
      </c>
      <c r="J36" s="6">
        <v>1</v>
      </c>
      <c r="K36" s="6">
        <v>1</v>
      </c>
      <c r="L36" s="6">
        <v>0</v>
      </c>
      <c r="M36" s="6">
        <v>0</v>
      </c>
      <c r="N36" s="6">
        <v>1</v>
      </c>
      <c r="O36" s="6">
        <v>3</v>
      </c>
      <c r="P36" s="177"/>
      <c r="Q36" s="8"/>
      <c r="R36" s="8"/>
      <c r="S36" s="8"/>
      <c r="T36" s="8"/>
      <c r="U36" s="159">
        <f t="shared" si="7"/>
        <v>13</v>
      </c>
      <c r="V36" s="8">
        <v>1</v>
      </c>
      <c r="W36" s="8">
        <f t="shared" si="8"/>
        <v>13</v>
      </c>
      <c r="X36" s="8">
        <v>1</v>
      </c>
      <c r="Y36" s="8">
        <f t="shared" si="9"/>
        <v>13</v>
      </c>
      <c r="Z36" s="351">
        <f t="shared" si="10"/>
        <v>2.9050279329608939E-2</v>
      </c>
      <c r="AA36" s="192">
        <f t="shared" si="11"/>
        <v>1</v>
      </c>
      <c r="AB36" s="192">
        <f t="shared" si="12"/>
        <v>0</v>
      </c>
      <c r="AC36" s="192">
        <f t="shared" si="12"/>
        <v>1</v>
      </c>
      <c r="AE36" s="192">
        <f t="shared" si="4"/>
        <v>1</v>
      </c>
      <c r="AF36" s="192">
        <f t="shared" si="4"/>
        <v>1</v>
      </c>
      <c r="AG36" s="192">
        <f t="shared" si="4"/>
        <v>1</v>
      </c>
      <c r="AH36" s="192">
        <f t="shared" si="4"/>
        <v>1</v>
      </c>
      <c r="AI36" s="192">
        <f t="shared" si="4"/>
        <v>1</v>
      </c>
      <c r="AJ36" s="192">
        <f t="shared" si="4"/>
        <v>1</v>
      </c>
      <c r="AK36" s="192">
        <f t="shared" si="4"/>
        <v>1</v>
      </c>
      <c r="AL36" s="192">
        <f t="shared" si="4"/>
        <v>1</v>
      </c>
    </row>
    <row r="37" spans="2:38" ht="32.25" customHeight="1" x14ac:dyDescent="0.25">
      <c r="B37" s="242">
        <f t="shared" si="6"/>
        <v>7</v>
      </c>
      <c r="C37" s="4"/>
      <c r="D37" s="4"/>
      <c r="E37" s="4"/>
      <c r="F37" s="230" t="str">
        <f>IF('תנאי סף'!AO37&lt;&gt;1,"",'תנאי סף'!F37)</f>
        <v>מארש דונדורמה</v>
      </c>
      <c r="G37" s="159">
        <f>IF($F37="","",'מספר הרצות'!G37)</f>
        <v>29</v>
      </c>
      <c r="H37" s="6">
        <v>19</v>
      </c>
      <c r="I37" s="6">
        <v>2</v>
      </c>
      <c r="J37" s="6">
        <v>0</v>
      </c>
      <c r="K37" s="6">
        <v>2</v>
      </c>
      <c r="L37" s="6">
        <v>0</v>
      </c>
      <c r="M37" s="6">
        <v>0</v>
      </c>
      <c r="N37" s="6">
        <v>5</v>
      </c>
      <c r="O37" s="6">
        <v>1</v>
      </c>
      <c r="P37" s="177"/>
      <c r="Q37" s="8"/>
      <c r="R37" s="8"/>
      <c r="S37" s="8"/>
      <c r="T37" s="8"/>
      <c r="U37" s="159">
        <f t="shared" si="7"/>
        <v>14.5</v>
      </c>
      <c r="V37" s="8">
        <v>1</v>
      </c>
      <c r="W37" s="8">
        <f t="shared" si="8"/>
        <v>14.5</v>
      </c>
      <c r="X37" s="8">
        <v>1</v>
      </c>
      <c r="Y37" s="8">
        <f t="shared" si="9"/>
        <v>14.5</v>
      </c>
      <c r="Z37" s="351">
        <f t="shared" si="10"/>
        <v>3.2402234636871509E-2</v>
      </c>
      <c r="AA37" s="192">
        <f t="shared" si="11"/>
        <v>1</v>
      </c>
      <c r="AB37" s="192">
        <f t="shared" si="12"/>
        <v>0</v>
      </c>
      <c r="AC37" s="192">
        <f t="shared" si="12"/>
        <v>1</v>
      </c>
      <c r="AE37" s="192">
        <f t="shared" si="4"/>
        <v>1</v>
      </c>
      <c r="AF37" s="192">
        <f t="shared" si="4"/>
        <v>1</v>
      </c>
      <c r="AG37" s="192">
        <f t="shared" si="4"/>
        <v>1</v>
      </c>
      <c r="AH37" s="192">
        <f t="shared" si="4"/>
        <v>1</v>
      </c>
      <c r="AI37" s="192">
        <f t="shared" si="4"/>
        <v>1</v>
      </c>
      <c r="AJ37" s="192">
        <f t="shared" si="4"/>
        <v>1</v>
      </c>
      <c r="AK37" s="192">
        <f t="shared" si="4"/>
        <v>1</v>
      </c>
      <c r="AL37" s="192">
        <f t="shared" si="4"/>
        <v>1</v>
      </c>
    </row>
    <row r="38" spans="2:38" ht="32.25" customHeight="1" x14ac:dyDescent="0.25">
      <c r="B38" s="242">
        <f t="shared" si="6"/>
        <v>8</v>
      </c>
      <c r="C38" s="4"/>
      <c r="D38" s="4"/>
      <c r="E38" s="4"/>
      <c r="F38" s="230" t="str">
        <f>IF('תנאי סף'!AO38&lt;&gt;1,"",'תנאי סף'!F38)</f>
        <v>להקת מורין נהדר</v>
      </c>
      <c r="G38" s="159">
        <f>IF($F38="","",'מספר הרצות'!G38)</f>
        <v>13</v>
      </c>
      <c r="H38" s="6">
        <v>9</v>
      </c>
      <c r="I38" s="6">
        <v>1</v>
      </c>
      <c r="J38" s="6">
        <v>1</v>
      </c>
      <c r="K38" s="6">
        <v>0</v>
      </c>
      <c r="L38" s="6">
        <v>0</v>
      </c>
      <c r="M38" s="6">
        <v>0</v>
      </c>
      <c r="N38" s="6">
        <v>2</v>
      </c>
      <c r="O38" s="6">
        <v>0</v>
      </c>
      <c r="P38" s="177"/>
      <c r="Q38" s="8"/>
      <c r="R38" s="8"/>
      <c r="S38" s="8"/>
      <c r="T38" s="8"/>
      <c r="U38" s="159">
        <f t="shared" si="7"/>
        <v>4.5</v>
      </c>
      <c r="V38" s="8">
        <v>1</v>
      </c>
      <c r="W38" s="8">
        <f t="shared" si="8"/>
        <v>4.5</v>
      </c>
      <c r="X38" s="8">
        <v>1</v>
      </c>
      <c r="Y38" s="8">
        <f t="shared" si="9"/>
        <v>4.5</v>
      </c>
      <c r="Z38" s="351">
        <f t="shared" si="10"/>
        <v>1.0055865921787709E-2</v>
      </c>
      <c r="AA38" s="192">
        <f t="shared" si="11"/>
        <v>1</v>
      </c>
      <c r="AB38" s="192">
        <f t="shared" si="12"/>
        <v>0</v>
      </c>
      <c r="AC38" s="192">
        <f t="shared" si="12"/>
        <v>1</v>
      </c>
      <c r="AE38" s="192">
        <f t="shared" si="4"/>
        <v>1</v>
      </c>
      <c r="AF38" s="192">
        <f t="shared" si="4"/>
        <v>1</v>
      </c>
      <c r="AG38" s="192">
        <f t="shared" si="4"/>
        <v>1</v>
      </c>
      <c r="AH38" s="192">
        <f t="shared" si="4"/>
        <v>1</v>
      </c>
      <c r="AI38" s="192">
        <f t="shared" si="4"/>
        <v>1</v>
      </c>
      <c r="AJ38" s="192">
        <f t="shared" si="4"/>
        <v>1</v>
      </c>
      <c r="AK38" s="192">
        <f t="shared" si="4"/>
        <v>1</v>
      </c>
      <c r="AL38" s="192">
        <f t="shared" si="4"/>
        <v>1</v>
      </c>
    </row>
    <row r="39" spans="2:38" ht="32.25" customHeight="1" x14ac:dyDescent="0.25">
      <c r="B39" s="242" t="str">
        <f t="shared" si="6"/>
        <v/>
      </c>
      <c r="C39" s="4"/>
      <c r="D39" s="4"/>
      <c r="E39" s="4"/>
      <c r="F39" s="230" t="str">
        <f>IF('תנאי סף'!AO39&lt;&gt;1,"",'תנאי סף'!F39)</f>
        <v/>
      </c>
      <c r="G39" s="159" t="str">
        <f>IF($F39="","",'מספר הרצות'!G39)</f>
        <v/>
      </c>
      <c r="H39" s="6"/>
      <c r="I39" s="6"/>
      <c r="J39" s="6"/>
      <c r="K39" s="6"/>
      <c r="L39" s="6"/>
      <c r="M39" s="6"/>
      <c r="N39" s="6"/>
      <c r="O39" s="6"/>
      <c r="P39" s="177"/>
      <c r="Q39" s="8"/>
      <c r="R39" s="8"/>
      <c r="S39" s="8"/>
      <c r="T39" s="8"/>
      <c r="U39" s="159" t="str">
        <f t="shared" si="7"/>
        <v/>
      </c>
      <c r="V39" s="8">
        <v>1</v>
      </c>
      <c r="W39" s="8" t="str">
        <f t="shared" si="8"/>
        <v/>
      </c>
      <c r="X39" s="8">
        <v>1</v>
      </c>
      <c r="Y39" s="8" t="str">
        <f t="shared" si="9"/>
        <v/>
      </c>
      <c r="Z39" s="351" t="str">
        <f t="shared" si="10"/>
        <v/>
      </c>
      <c r="AA39" s="192">
        <f t="shared" si="11"/>
        <v>0</v>
      </c>
      <c r="AB39" s="192" t="str">
        <f t="shared" si="12"/>
        <v/>
      </c>
      <c r="AC39" s="192" t="str">
        <f t="shared" si="12"/>
        <v/>
      </c>
      <c r="AE39" s="192">
        <f t="shared" si="4"/>
        <v>0</v>
      </c>
      <c r="AF39" s="192">
        <f t="shared" si="4"/>
        <v>0</v>
      </c>
      <c r="AG39" s="192">
        <f t="shared" si="4"/>
        <v>0</v>
      </c>
      <c r="AH39" s="192">
        <f t="shared" si="4"/>
        <v>0</v>
      </c>
      <c r="AI39" s="192">
        <f t="shared" si="4"/>
        <v>0</v>
      </c>
      <c r="AJ39" s="192">
        <f t="shared" si="4"/>
        <v>0</v>
      </c>
      <c r="AK39" s="192">
        <f t="shared" si="4"/>
        <v>0</v>
      </c>
      <c r="AL39" s="192">
        <f t="shared" si="4"/>
        <v>0</v>
      </c>
    </row>
    <row r="40" spans="2:38" ht="32.25" customHeight="1" x14ac:dyDescent="0.25">
      <c r="B40" s="243">
        <f t="shared" si="6"/>
        <v>10</v>
      </c>
      <c r="C40" s="365"/>
      <c r="D40" s="365"/>
      <c r="E40" s="365"/>
      <c r="F40" s="371" t="str">
        <f>IF('תנאי סף'!AO40&lt;&gt;1,"",'תנאי סף'!F40)</f>
        <v>אנסמבל גלעד אפרת</v>
      </c>
      <c r="G40" s="159">
        <f>IF($F40="","",'מספר הרצות'!G40)</f>
        <v>7</v>
      </c>
      <c r="H40" s="367">
        <v>1</v>
      </c>
      <c r="I40" s="367">
        <v>1</v>
      </c>
      <c r="J40" s="367">
        <v>5</v>
      </c>
      <c r="K40" s="367">
        <v>0</v>
      </c>
      <c r="L40" s="367">
        <v>0</v>
      </c>
      <c r="M40" s="367">
        <v>0</v>
      </c>
      <c r="N40" s="367">
        <v>0</v>
      </c>
      <c r="O40" s="367">
        <v>0</v>
      </c>
      <c r="P40" s="413"/>
      <c r="Q40" s="369"/>
      <c r="R40" s="369"/>
      <c r="S40" s="369"/>
      <c r="T40" s="369"/>
      <c r="U40" s="159">
        <f t="shared" si="7"/>
        <v>5.5</v>
      </c>
      <c r="V40" s="369">
        <v>1</v>
      </c>
      <c r="W40" s="369">
        <f t="shared" si="8"/>
        <v>5.5</v>
      </c>
      <c r="X40" s="369">
        <v>1</v>
      </c>
      <c r="Y40" s="369">
        <f t="shared" si="9"/>
        <v>5.5</v>
      </c>
      <c r="Z40" s="370">
        <f t="shared" si="10"/>
        <v>1.2290502793296089E-2</v>
      </c>
      <c r="AA40" s="192">
        <f t="shared" si="11"/>
        <v>1</v>
      </c>
      <c r="AB40" s="192">
        <f t="shared" si="12"/>
        <v>0</v>
      </c>
      <c r="AC40" s="192">
        <f t="shared" si="12"/>
        <v>1</v>
      </c>
      <c r="AE40" s="192">
        <f t="shared" si="4"/>
        <v>1</v>
      </c>
      <c r="AF40" s="192">
        <f t="shared" si="4"/>
        <v>1</v>
      </c>
      <c r="AG40" s="192">
        <f t="shared" si="4"/>
        <v>1</v>
      </c>
      <c r="AH40" s="192">
        <f t="shared" si="4"/>
        <v>1</v>
      </c>
      <c r="AI40" s="192">
        <f t="shared" si="4"/>
        <v>1</v>
      </c>
      <c r="AJ40" s="192">
        <f t="shared" si="4"/>
        <v>1</v>
      </c>
      <c r="AK40" s="192">
        <f t="shared" si="4"/>
        <v>1</v>
      </c>
      <c r="AL40" s="192">
        <f t="shared" si="4"/>
        <v>1</v>
      </c>
    </row>
    <row r="41" spans="2:38" ht="32.25" customHeight="1" x14ac:dyDescent="0.25">
      <c r="B41" s="7">
        <f t="shared" si="6"/>
        <v>11</v>
      </c>
      <c r="C41" s="4"/>
      <c r="D41" s="4"/>
      <c r="E41" s="4"/>
      <c r="F41" s="230" t="str">
        <f>IF('תנאי סף'!AO41&lt;&gt;1,"",'תנאי סף'!F41)</f>
        <v>רביעיית כרמל</v>
      </c>
      <c r="G41" s="159">
        <f>IF($F41="","",'מספר הרצות'!G41)</f>
        <v>43</v>
      </c>
      <c r="H41" s="6">
        <v>16</v>
      </c>
      <c r="I41" s="6">
        <v>2</v>
      </c>
      <c r="J41" s="6">
        <v>13</v>
      </c>
      <c r="K41" s="6">
        <v>1</v>
      </c>
      <c r="L41" s="6">
        <v>0</v>
      </c>
      <c r="M41" s="6">
        <v>0</v>
      </c>
      <c r="N41" s="6">
        <v>11</v>
      </c>
      <c r="O41" s="6">
        <v>0</v>
      </c>
      <c r="P41" s="177"/>
      <c r="Q41" s="8"/>
      <c r="R41" s="8"/>
      <c r="S41" s="8"/>
      <c r="T41" s="8"/>
      <c r="U41" s="159">
        <f t="shared" si="7"/>
        <v>32</v>
      </c>
      <c r="V41" s="8">
        <v>1</v>
      </c>
      <c r="W41" s="8">
        <f t="shared" si="8"/>
        <v>32</v>
      </c>
      <c r="X41" s="8">
        <v>1</v>
      </c>
      <c r="Y41" s="8">
        <f t="shared" si="9"/>
        <v>32</v>
      </c>
      <c r="Z41" s="352">
        <f t="shared" si="10"/>
        <v>7.150837988826815E-2</v>
      </c>
      <c r="AA41" s="192">
        <f t="shared" si="11"/>
        <v>1</v>
      </c>
      <c r="AB41" s="192">
        <f t="shared" si="12"/>
        <v>0</v>
      </c>
      <c r="AC41" s="192">
        <f t="shared" si="12"/>
        <v>1</v>
      </c>
      <c r="AE41" s="192">
        <f t="shared" si="4"/>
        <v>1</v>
      </c>
      <c r="AF41" s="192">
        <f t="shared" si="4"/>
        <v>1</v>
      </c>
      <c r="AG41" s="192">
        <f t="shared" si="4"/>
        <v>1</v>
      </c>
      <c r="AH41" s="192">
        <f t="shared" si="4"/>
        <v>1</v>
      </c>
      <c r="AI41" s="192">
        <f t="shared" si="4"/>
        <v>1</v>
      </c>
      <c r="AJ41" s="192">
        <f t="shared" si="4"/>
        <v>1</v>
      </c>
      <c r="AK41" s="192">
        <f t="shared" si="4"/>
        <v>1</v>
      </c>
      <c r="AL41" s="192">
        <f t="shared" si="4"/>
        <v>1</v>
      </c>
    </row>
    <row r="42" spans="2:38" ht="32.25" customHeight="1" x14ac:dyDescent="0.25">
      <c r="B42" s="7">
        <f t="shared" si="6"/>
        <v>12</v>
      </c>
      <c r="C42" s="4"/>
      <c r="D42" s="4"/>
      <c r="E42" s="4"/>
      <c r="F42" s="230" t="str">
        <f>IF('תנאי סף'!AO42&lt;&gt;1,"",'תנאי סף'!F42)</f>
        <v>שורולה</v>
      </c>
      <c r="G42" s="159">
        <f>IF($F42="","",'מספר הרצות'!G42)</f>
        <v>13</v>
      </c>
      <c r="H42" s="6">
        <v>11</v>
      </c>
      <c r="I42" s="6">
        <v>1</v>
      </c>
      <c r="J42" s="6">
        <v>0</v>
      </c>
      <c r="K42" s="6">
        <v>1</v>
      </c>
      <c r="L42" s="6">
        <v>0</v>
      </c>
      <c r="M42" s="6">
        <v>0</v>
      </c>
      <c r="N42" s="6">
        <v>0</v>
      </c>
      <c r="O42" s="6">
        <v>0</v>
      </c>
      <c r="P42" s="177"/>
      <c r="Q42" s="8"/>
      <c r="R42" s="8"/>
      <c r="S42" s="8"/>
      <c r="T42" s="8"/>
      <c r="U42" s="159">
        <f t="shared" si="7"/>
        <v>2</v>
      </c>
      <c r="V42" s="8">
        <v>1</v>
      </c>
      <c r="W42" s="8">
        <f t="shared" si="8"/>
        <v>2</v>
      </c>
      <c r="X42" s="8">
        <v>1</v>
      </c>
      <c r="Y42" s="8">
        <f t="shared" si="9"/>
        <v>2</v>
      </c>
      <c r="Z42" s="352">
        <f t="shared" si="10"/>
        <v>4.4692737430167594E-3</v>
      </c>
      <c r="AA42" s="192">
        <f t="shared" si="11"/>
        <v>1</v>
      </c>
      <c r="AB42" s="192">
        <f t="shared" si="12"/>
        <v>0</v>
      </c>
      <c r="AC42" s="192">
        <f t="shared" si="12"/>
        <v>1</v>
      </c>
      <c r="AE42" s="192">
        <f t="shared" si="4"/>
        <v>1</v>
      </c>
      <c r="AF42" s="192">
        <f t="shared" si="4"/>
        <v>1</v>
      </c>
      <c r="AG42" s="192">
        <f t="shared" si="4"/>
        <v>1</v>
      </c>
      <c r="AH42" s="192">
        <f t="shared" si="4"/>
        <v>1</v>
      </c>
      <c r="AI42" s="192">
        <f t="shared" si="4"/>
        <v>1</v>
      </c>
      <c r="AJ42" s="192">
        <f t="shared" si="4"/>
        <v>1</v>
      </c>
      <c r="AK42" s="192">
        <f t="shared" si="4"/>
        <v>1</v>
      </c>
      <c r="AL42" s="192">
        <f t="shared" si="4"/>
        <v>1</v>
      </c>
    </row>
    <row r="43" spans="2:38" ht="32.25" customHeight="1" x14ac:dyDescent="0.25">
      <c r="B43" s="7" t="str">
        <f t="shared" si="6"/>
        <v/>
      </c>
      <c r="C43" s="4"/>
      <c r="D43" s="4"/>
      <c r="E43" s="4"/>
      <c r="F43" s="230" t="str">
        <f>IF('תנאי סף'!AO43&lt;&gt;1,"",'תנאי סף'!F43)</f>
        <v/>
      </c>
      <c r="G43" s="159" t="str">
        <f>IF($F43="","",'מספר הרצות'!G43)</f>
        <v/>
      </c>
      <c r="H43" s="6"/>
      <c r="I43" s="6"/>
      <c r="J43" s="6"/>
      <c r="K43" s="6"/>
      <c r="L43" s="6"/>
      <c r="M43" s="6"/>
      <c r="N43" s="6"/>
      <c r="O43" s="6"/>
      <c r="P43" s="177"/>
      <c r="Q43" s="8"/>
      <c r="R43" s="8"/>
      <c r="S43" s="8"/>
      <c r="T43" s="8"/>
      <c r="U43" s="159" t="str">
        <f t="shared" si="7"/>
        <v/>
      </c>
      <c r="V43" s="8">
        <v>1</v>
      </c>
      <c r="W43" s="8" t="str">
        <f t="shared" si="8"/>
        <v/>
      </c>
      <c r="X43" s="8">
        <v>1</v>
      </c>
      <c r="Y43" s="8" t="str">
        <f t="shared" si="9"/>
        <v/>
      </c>
      <c r="Z43" s="352" t="str">
        <f t="shared" si="10"/>
        <v/>
      </c>
      <c r="AA43" s="192">
        <f t="shared" si="11"/>
        <v>0</v>
      </c>
      <c r="AB43" s="192" t="str">
        <f t="shared" si="12"/>
        <v/>
      </c>
      <c r="AC43" s="192" t="str">
        <f t="shared" si="12"/>
        <v/>
      </c>
      <c r="AE43" s="192">
        <f t="shared" si="4"/>
        <v>0</v>
      </c>
      <c r="AF43" s="192">
        <f t="shared" si="4"/>
        <v>0</v>
      </c>
      <c r="AG43" s="192">
        <f t="shared" si="4"/>
        <v>0</v>
      </c>
      <c r="AH43" s="192">
        <f t="shared" si="4"/>
        <v>0</v>
      </c>
      <c r="AI43" s="192">
        <f t="shared" si="4"/>
        <v>0</v>
      </c>
      <c r="AJ43" s="192">
        <f t="shared" si="4"/>
        <v>0</v>
      </c>
      <c r="AK43" s="192">
        <f t="shared" si="4"/>
        <v>0</v>
      </c>
      <c r="AL43" s="192">
        <f t="shared" si="4"/>
        <v>0</v>
      </c>
    </row>
    <row r="44" spans="2:38" ht="32.25" customHeight="1" x14ac:dyDescent="0.25">
      <c r="B44" s="7" t="str">
        <f t="shared" si="6"/>
        <v/>
      </c>
      <c r="C44" s="4"/>
      <c r="D44" s="4"/>
      <c r="E44" s="4"/>
      <c r="F44" s="230" t="str">
        <f>IF('תנאי סף'!AO44&lt;&gt;1,"",'תנאי סף'!F44)</f>
        <v/>
      </c>
      <c r="G44" s="159" t="str">
        <f>IF($F44="","",'מספר הרצות'!G44)</f>
        <v/>
      </c>
      <c r="H44" s="6"/>
      <c r="I44" s="6"/>
      <c r="J44" s="6"/>
      <c r="K44" s="6"/>
      <c r="L44" s="6"/>
      <c r="M44" s="6"/>
      <c r="N44" s="6"/>
      <c r="O44" s="6"/>
      <c r="P44" s="177"/>
      <c r="Q44" s="8"/>
      <c r="R44" s="8"/>
      <c r="S44" s="8"/>
      <c r="T44" s="8"/>
      <c r="U44" s="159" t="str">
        <f t="shared" si="7"/>
        <v/>
      </c>
      <c r="V44" s="8">
        <v>1</v>
      </c>
      <c r="W44" s="8" t="str">
        <f t="shared" si="8"/>
        <v/>
      </c>
      <c r="X44" s="8">
        <v>1</v>
      </c>
      <c r="Y44" s="8" t="str">
        <f t="shared" si="9"/>
        <v/>
      </c>
      <c r="Z44" s="352" t="str">
        <f t="shared" si="10"/>
        <v/>
      </c>
      <c r="AA44" s="192">
        <f t="shared" si="11"/>
        <v>0</v>
      </c>
      <c r="AB44" s="192" t="str">
        <f t="shared" si="12"/>
        <v/>
      </c>
      <c r="AC44" s="192" t="str">
        <f t="shared" si="12"/>
        <v/>
      </c>
      <c r="AE44" s="192">
        <f t="shared" si="4"/>
        <v>0</v>
      </c>
      <c r="AF44" s="192">
        <f t="shared" si="4"/>
        <v>0</v>
      </c>
      <c r="AG44" s="192">
        <f t="shared" si="4"/>
        <v>0</v>
      </c>
      <c r="AH44" s="192">
        <f t="shared" si="4"/>
        <v>0</v>
      </c>
      <c r="AI44" s="192">
        <f t="shared" si="4"/>
        <v>0</v>
      </c>
      <c r="AJ44" s="192">
        <f t="shared" si="4"/>
        <v>0</v>
      </c>
      <c r="AK44" s="192">
        <f t="shared" si="4"/>
        <v>0</v>
      </c>
      <c r="AL44" s="192">
        <f t="shared" si="4"/>
        <v>0</v>
      </c>
    </row>
    <row r="45" spans="2:38" ht="32.25" customHeight="1" x14ac:dyDescent="0.25">
      <c r="B45" s="7" t="str">
        <f t="shared" si="6"/>
        <v/>
      </c>
      <c r="C45" s="4"/>
      <c r="D45" s="4"/>
      <c r="E45" s="4"/>
      <c r="F45" s="230" t="str">
        <f>IF('תנאי סף'!AO45&lt;&gt;1,"",'תנאי סף'!F45)</f>
        <v/>
      </c>
      <c r="G45" s="159" t="str">
        <f>IF($F45="","",'מספר הרצות'!G45)</f>
        <v/>
      </c>
      <c r="H45" s="6"/>
      <c r="I45" s="6"/>
      <c r="J45" s="6"/>
      <c r="K45" s="6"/>
      <c r="L45" s="6"/>
      <c r="M45" s="6"/>
      <c r="N45" s="6"/>
      <c r="O45" s="6"/>
      <c r="P45" s="177"/>
      <c r="Q45" s="8"/>
      <c r="R45" s="8"/>
      <c r="S45" s="8"/>
      <c r="T45" s="8"/>
      <c r="U45" s="159" t="str">
        <f t="shared" si="7"/>
        <v/>
      </c>
      <c r="V45" s="8">
        <v>1</v>
      </c>
      <c r="W45" s="8" t="str">
        <f t="shared" si="8"/>
        <v/>
      </c>
      <c r="X45" s="8">
        <v>1</v>
      </c>
      <c r="Y45" s="8" t="str">
        <f t="shared" si="9"/>
        <v/>
      </c>
      <c r="Z45" s="352" t="str">
        <f t="shared" si="10"/>
        <v/>
      </c>
      <c r="AA45" s="192">
        <f t="shared" si="11"/>
        <v>0</v>
      </c>
      <c r="AB45" s="192" t="str">
        <f t="shared" si="12"/>
        <v/>
      </c>
      <c r="AC45" s="192" t="str">
        <f t="shared" si="12"/>
        <v/>
      </c>
      <c r="AE45" s="192">
        <f t="shared" si="4"/>
        <v>0</v>
      </c>
      <c r="AF45" s="192">
        <f t="shared" si="4"/>
        <v>0</v>
      </c>
      <c r="AG45" s="192">
        <f t="shared" si="4"/>
        <v>0</v>
      </c>
      <c r="AH45" s="192">
        <f t="shared" ref="AH45:AH108" si="13">IF(K$30="",1,IF(K45="",0,IFERROR(CHOOSE(AH$28,IF(ISNA(MATCH(K45,$AB$30:$AC$30,0)),0,1),IF(ISNUMBER(K45),1,0),IF(K45=TRUNC(K45),1,0),IF(AND(K45*1=K45,K45&gt;=0),1,0),IF(AND(K45=TRUNC(K45),K45&gt;=0),1,0),IF(AND(K45*1=K45,K45&gt;0),1,0),IF(AND(K45=TRUNC(K45),K45&gt;0),1,0),1,IF(ISNA(HLOOKUP(K45,$AE$4:$AN$4,1,0)),0,1)),0)))</f>
        <v>0</v>
      </c>
      <c r="AI45" s="192">
        <f t="shared" ref="AI45:AI108" si="14">IF(L$30="",1,IF(L45="",0,IFERROR(CHOOSE(AI$28,IF(ISNA(MATCH(L45,$AB$30:$AC$30,0)),0,1),IF(ISNUMBER(L45),1,0),IF(L45=TRUNC(L45),1,0),IF(AND(L45*1=L45,L45&gt;=0),1,0),IF(AND(L45=TRUNC(L45),L45&gt;=0),1,0),IF(AND(L45*1=L45,L45&gt;0),1,0),IF(AND(L45=TRUNC(L45),L45&gt;0),1,0),1,IF(ISNA(HLOOKUP(L45,$AE$4:$AN$4,1,0)),0,1)),0)))</f>
        <v>0</v>
      </c>
      <c r="AJ45" s="192">
        <f t="shared" ref="AJ45:AJ108" si="15">IF(M$30="",1,IF(M45="",0,IFERROR(CHOOSE(AJ$28,IF(ISNA(MATCH(M45,$AB$30:$AC$30,0)),0,1),IF(ISNUMBER(M45),1,0),IF(M45=TRUNC(M45),1,0),IF(AND(M45*1=M45,M45&gt;=0),1,0),IF(AND(M45=TRUNC(M45),M45&gt;=0),1,0),IF(AND(M45*1=M45,M45&gt;0),1,0),IF(AND(M45=TRUNC(M45),M45&gt;0),1,0),1,IF(ISNA(HLOOKUP(M45,$AE$4:$AN$4,1,0)),0,1)),0)))</f>
        <v>0</v>
      </c>
      <c r="AK45" s="192">
        <f t="shared" ref="AK45:AK108" si="16">IF(N$30="",1,IF(N45="",0,IFERROR(CHOOSE(AK$28,IF(ISNA(MATCH(N45,$AB$30:$AC$30,0)),0,1),IF(ISNUMBER(N45),1,0),IF(N45=TRUNC(N45),1,0),IF(AND(N45*1=N45,N45&gt;=0),1,0),IF(AND(N45=TRUNC(N45),N45&gt;=0),1,0),IF(AND(N45*1=N45,N45&gt;0),1,0),IF(AND(N45=TRUNC(N45),N45&gt;0),1,0),1,IF(ISNA(HLOOKUP(N45,$AE$4:$AN$4,1,0)),0,1)),0)))</f>
        <v>0</v>
      </c>
      <c r="AL45" s="192">
        <f t="shared" ref="AL45:AL108" si="17">IF(O$30="",1,IF(O45="",0,IFERROR(CHOOSE(AL$28,IF(ISNA(MATCH(O45,$AB$30:$AC$30,0)),0,1),IF(ISNUMBER(O45),1,0),IF(O45=TRUNC(O45),1,0),IF(AND(O45*1=O45,O45&gt;=0),1,0),IF(AND(O45=TRUNC(O45),O45&gt;=0),1,0),IF(AND(O45*1=O45,O45&gt;0),1,0),IF(AND(O45=TRUNC(O45),O45&gt;0),1,0),1,IF(ISNA(HLOOKUP(O45,$AE$4:$AN$4,1,0)),0,1)),0)))</f>
        <v>0</v>
      </c>
    </row>
    <row r="46" spans="2:38" ht="32.25" customHeight="1" x14ac:dyDescent="0.25">
      <c r="B46" s="7" t="str">
        <f t="shared" si="6"/>
        <v/>
      </c>
      <c r="C46" s="4"/>
      <c r="D46" s="4"/>
      <c r="E46" s="4"/>
      <c r="F46" s="230" t="str">
        <f>IF('תנאי סף'!AO46&lt;&gt;1,"",'תנאי סף'!F46)</f>
        <v/>
      </c>
      <c r="G46" s="159" t="str">
        <f>IF($F46="","",'מספר הרצות'!G46)</f>
        <v/>
      </c>
      <c r="H46" s="6"/>
      <c r="I46" s="6"/>
      <c r="J46" s="6"/>
      <c r="K46" s="6"/>
      <c r="L46" s="6"/>
      <c r="M46" s="6"/>
      <c r="N46" s="6"/>
      <c r="O46" s="6"/>
      <c r="P46" s="177"/>
      <c r="Q46" s="8"/>
      <c r="R46" s="8"/>
      <c r="S46" s="8"/>
      <c r="T46" s="8"/>
      <c r="U46" s="159" t="str">
        <f t="shared" si="7"/>
        <v/>
      </c>
      <c r="V46" s="8">
        <v>1</v>
      </c>
      <c r="W46" s="8" t="str">
        <f t="shared" si="8"/>
        <v/>
      </c>
      <c r="X46" s="8">
        <v>1</v>
      </c>
      <c r="Y46" s="8" t="str">
        <f t="shared" si="9"/>
        <v/>
      </c>
      <c r="Z46" s="352" t="str">
        <f t="shared" si="10"/>
        <v/>
      </c>
      <c r="AA46" s="192">
        <f t="shared" si="11"/>
        <v>0</v>
      </c>
      <c r="AB46" s="192" t="str">
        <f t="shared" si="12"/>
        <v/>
      </c>
      <c r="AC46" s="192" t="str">
        <f t="shared" si="12"/>
        <v/>
      </c>
      <c r="AE46" s="192">
        <f t="shared" ref="AE46:AE109" si="18">IF(H$30="",1,IF(H46="",0,IFERROR(CHOOSE(AE$28,IF(ISNA(MATCH(H46,$AB$30:$AC$30,0)),0,1),IF(ISNUMBER(H46),1,0),IF(H46=TRUNC(H46),1,0),IF(AND(H46*1=H46,H46&gt;=0),1,0),IF(AND(H46=TRUNC(H46),H46&gt;=0),1,0),IF(AND(H46*1=H46,H46&gt;0),1,0),IF(AND(H46=TRUNC(H46),H46&gt;0),1,0),1,IF(ISNA(HLOOKUP(H46,$AE$4:$AN$4,1,0)),0,1)),0)))</f>
        <v>0</v>
      </c>
      <c r="AF46" s="192">
        <f t="shared" ref="AF46:AF109" si="19">IF(I$30="",1,IF(I46="",0,IFERROR(CHOOSE(AF$28,IF(ISNA(MATCH(I46,$AB$30:$AC$30,0)),0,1),IF(ISNUMBER(I46),1,0),IF(I46=TRUNC(I46),1,0),IF(AND(I46*1=I46,I46&gt;=0),1,0),IF(AND(I46=TRUNC(I46),I46&gt;=0),1,0),IF(AND(I46*1=I46,I46&gt;0),1,0),IF(AND(I46=TRUNC(I46),I46&gt;0),1,0),1,IF(ISNA(HLOOKUP(I46,$AE$4:$AN$4,1,0)),0,1)),0)))</f>
        <v>0</v>
      </c>
      <c r="AG46" s="192">
        <f t="shared" ref="AG46:AG109" si="20">IF(J$30="",1,IF(J46="",0,IFERROR(CHOOSE(AG$28,IF(ISNA(MATCH(J46,$AB$30:$AC$30,0)),0,1),IF(ISNUMBER(J46),1,0),IF(J46=TRUNC(J46),1,0),IF(AND(J46*1=J46,J46&gt;=0),1,0),IF(AND(J46=TRUNC(J46),J46&gt;=0),1,0),IF(AND(J46*1=J46,J46&gt;0),1,0),IF(AND(J46=TRUNC(J46),J46&gt;0),1,0),1,IF(ISNA(HLOOKUP(J46,$AE$4:$AN$4,1,0)),0,1)),0)))</f>
        <v>0</v>
      </c>
      <c r="AH46" s="192">
        <f t="shared" si="13"/>
        <v>0</v>
      </c>
      <c r="AI46" s="192">
        <f t="shared" si="14"/>
        <v>0</v>
      </c>
      <c r="AJ46" s="192">
        <f t="shared" si="15"/>
        <v>0</v>
      </c>
      <c r="AK46" s="192">
        <f t="shared" si="16"/>
        <v>0</v>
      </c>
      <c r="AL46" s="192">
        <f t="shared" si="17"/>
        <v>0</v>
      </c>
    </row>
    <row r="47" spans="2:38" ht="32.25" customHeight="1" x14ac:dyDescent="0.25">
      <c r="B47" s="7">
        <f t="shared" si="6"/>
        <v>17</v>
      </c>
      <c r="C47" s="4"/>
      <c r="D47" s="4"/>
      <c r="E47" s="4"/>
      <c r="F47" s="230" t="str">
        <f>IF('תנאי סף'!AO47&lt;&gt;1,"",'תנאי סף'!F47)</f>
        <v>הרכב עמית פרידמן</v>
      </c>
      <c r="G47" s="159">
        <f>IF($F47="","",'מספר הרצות'!G47)</f>
        <v>36</v>
      </c>
      <c r="H47" s="6">
        <v>11</v>
      </c>
      <c r="I47" s="6">
        <v>24</v>
      </c>
      <c r="J47" s="6">
        <v>0</v>
      </c>
      <c r="K47" s="6">
        <v>1</v>
      </c>
      <c r="L47" s="6">
        <v>0</v>
      </c>
      <c r="M47" s="6">
        <v>0</v>
      </c>
      <c r="N47" s="6">
        <v>0</v>
      </c>
      <c r="O47" s="6">
        <v>0</v>
      </c>
      <c r="P47" s="177"/>
      <c r="Q47" s="8"/>
      <c r="R47" s="8"/>
      <c r="S47" s="8"/>
      <c r="T47" s="8"/>
      <c r="U47" s="159">
        <f t="shared" si="7"/>
        <v>13.5</v>
      </c>
      <c r="V47" s="8">
        <v>1</v>
      </c>
      <c r="W47" s="8">
        <f t="shared" si="8"/>
        <v>13.5</v>
      </c>
      <c r="X47" s="8">
        <v>1</v>
      </c>
      <c r="Y47" s="8">
        <f t="shared" si="9"/>
        <v>13.5</v>
      </c>
      <c r="Z47" s="352">
        <f t="shared" si="10"/>
        <v>3.0167597765363128E-2</v>
      </c>
      <c r="AA47" s="192">
        <f t="shared" si="11"/>
        <v>1</v>
      </c>
      <c r="AB47" s="192">
        <f t="shared" si="12"/>
        <v>0</v>
      </c>
      <c r="AC47" s="192">
        <f t="shared" si="12"/>
        <v>1</v>
      </c>
      <c r="AE47" s="192">
        <f t="shared" si="18"/>
        <v>1</v>
      </c>
      <c r="AF47" s="192">
        <f t="shared" si="19"/>
        <v>1</v>
      </c>
      <c r="AG47" s="192">
        <f t="shared" si="20"/>
        <v>1</v>
      </c>
      <c r="AH47" s="192">
        <f t="shared" si="13"/>
        <v>1</v>
      </c>
      <c r="AI47" s="192">
        <f t="shared" si="14"/>
        <v>1</v>
      </c>
      <c r="AJ47" s="192">
        <f t="shared" si="15"/>
        <v>1</v>
      </c>
      <c r="AK47" s="192">
        <f t="shared" si="16"/>
        <v>1</v>
      </c>
      <c r="AL47" s="192">
        <f t="shared" si="17"/>
        <v>1</v>
      </c>
    </row>
    <row r="48" spans="2:38" ht="32.25" customHeight="1" x14ac:dyDescent="0.25">
      <c r="B48" s="7" t="str">
        <f t="shared" si="6"/>
        <v/>
      </c>
      <c r="C48" s="4"/>
      <c r="D48" s="4"/>
      <c r="E48" s="4"/>
      <c r="F48" s="230" t="str">
        <f>IF('תנאי סף'!AO48&lt;&gt;1,"",'תנאי סף'!F48)</f>
        <v/>
      </c>
      <c r="G48" s="159" t="str">
        <f>IF($F48="","",'מספר הרצות'!G48)</f>
        <v/>
      </c>
      <c r="H48" s="6"/>
      <c r="I48" s="6"/>
      <c r="J48" s="6"/>
      <c r="K48" s="6"/>
      <c r="L48" s="6"/>
      <c r="M48" s="6"/>
      <c r="N48" s="6"/>
      <c r="O48" s="6"/>
      <c r="P48" s="177"/>
      <c r="Q48" s="8"/>
      <c r="R48" s="8"/>
      <c r="S48" s="8"/>
      <c r="T48" s="8"/>
      <c r="U48" s="159" t="str">
        <f t="shared" si="7"/>
        <v/>
      </c>
      <c r="V48" s="8">
        <v>1</v>
      </c>
      <c r="W48" s="8" t="str">
        <f t="shared" si="8"/>
        <v/>
      </c>
      <c r="X48" s="8">
        <v>1</v>
      </c>
      <c r="Y48" s="8" t="str">
        <f t="shared" si="9"/>
        <v/>
      </c>
      <c r="Z48" s="352" t="str">
        <f t="shared" si="10"/>
        <v/>
      </c>
      <c r="AA48" s="192">
        <f t="shared" si="11"/>
        <v>0</v>
      </c>
      <c r="AB48" s="192" t="str">
        <f t="shared" si="12"/>
        <v/>
      </c>
      <c r="AC48" s="192" t="str">
        <f t="shared" si="12"/>
        <v/>
      </c>
      <c r="AE48" s="192">
        <f t="shared" si="18"/>
        <v>0</v>
      </c>
      <c r="AF48" s="192">
        <f t="shared" si="19"/>
        <v>0</v>
      </c>
      <c r="AG48" s="192">
        <f t="shared" si="20"/>
        <v>0</v>
      </c>
      <c r="AH48" s="192">
        <f t="shared" si="13"/>
        <v>0</v>
      </c>
      <c r="AI48" s="192">
        <f t="shared" si="14"/>
        <v>0</v>
      </c>
      <c r="AJ48" s="192">
        <f t="shared" si="15"/>
        <v>0</v>
      </c>
      <c r="AK48" s="192">
        <f t="shared" si="16"/>
        <v>0</v>
      </c>
      <c r="AL48" s="192">
        <f t="shared" si="17"/>
        <v>0</v>
      </c>
    </row>
    <row r="49" spans="2:38" ht="32.25" customHeight="1" x14ac:dyDescent="0.25">
      <c r="B49" s="7" t="str">
        <f t="shared" si="6"/>
        <v/>
      </c>
      <c r="C49" s="4"/>
      <c r="D49" s="4"/>
      <c r="E49" s="4"/>
      <c r="F49" s="230" t="str">
        <f>IF('תנאי סף'!AO49&lt;&gt;1,"",'תנאי סף'!F49)</f>
        <v/>
      </c>
      <c r="G49" s="159" t="str">
        <f>IF($F49="","",'מספר הרצות'!G49)</f>
        <v/>
      </c>
      <c r="H49" s="6"/>
      <c r="I49" s="6"/>
      <c r="J49" s="6"/>
      <c r="K49" s="6"/>
      <c r="L49" s="6"/>
      <c r="M49" s="6"/>
      <c r="N49" s="6"/>
      <c r="O49" s="6"/>
      <c r="P49" s="177"/>
      <c r="Q49" s="8"/>
      <c r="R49" s="8"/>
      <c r="S49" s="8"/>
      <c r="T49" s="8"/>
      <c r="U49" s="159" t="str">
        <f t="shared" si="7"/>
        <v/>
      </c>
      <c r="V49" s="8">
        <v>1</v>
      </c>
      <c r="W49" s="8" t="str">
        <f t="shared" si="8"/>
        <v/>
      </c>
      <c r="X49" s="8">
        <v>1</v>
      </c>
      <c r="Y49" s="8" t="str">
        <f t="shared" si="9"/>
        <v/>
      </c>
      <c r="Z49" s="352" t="str">
        <f t="shared" si="10"/>
        <v/>
      </c>
      <c r="AA49" s="192">
        <f t="shared" si="11"/>
        <v>0</v>
      </c>
      <c r="AB49" s="192" t="str">
        <f t="shared" si="12"/>
        <v/>
      </c>
      <c r="AC49" s="192" t="str">
        <f t="shared" si="12"/>
        <v/>
      </c>
      <c r="AE49" s="192">
        <f t="shared" si="18"/>
        <v>0</v>
      </c>
      <c r="AF49" s="192">
        <f t="shared" si="19"/>
        <v>0</v>
      </c>
      <c r="AG49" s="192">
        <f t="shared" si="20"/>
        <v>0</v>
      </c>
      <c r="AH49" s="192">
        <f t="shared" si="13"/>
        <v>0</v>
      </c>
      <c r="AI49" s="192">
        <f t="shared" si="14"/>
        <v>0</v>
      </c>
      <c r="AJ49" s="192">
        <f t="shared" si="15"/>
        <v>0</v>
      </c>
      <c r="AK49" s="192">
        <f t="shared" si="16"/>
        <v>0</v>
      </c>
      <c r="AL49" s="192">
        <f t="shared" si="17"/>
        <v>0</v>
      </c>
    </row>
    <row r="50" spans="2:38" ht="32.25" customHeight="1" x14ac:dyDescent="0.25">
      <c r="B50" s="7" t="str">
        <f t="shared" si="6"/>
        <v/>
      </c>
      <c r="C50" s="4"/>
      <c r="D50" s="4"/>
      <c r="E50" s="4"/>
      <c r="F50" s="230" t="str">
        <f>IF('תנאי סף'!AO50&lt;&gt;1,"",'תנאי סף'!F50)</f>
        <v/>
      </c>
      <c r="G50" s="159" t="str">
        <f>IF($F50="","",'מספר הרצות'!G50)</f>
        <v/>
      </c>
      <c r="H50" s="6"/>
      <c r="I50" s="6"/>
      <c r="J50" s="6"/>
      <c r="K50" s="6"/>
      <c r="L50" s="6"/>
      <c r="M50" s="6"/>
      <c r="N50" s="6"/>
      <c r="O50" s="6"/>
      <c r="P50" s="177"/>
      <c r="Q50" s="8"/>
      <c r="R50" s="8"/>
      <c r="S50" s="8"/>
      <c r="T50" s="8"/>
      <c r="U50" s="159" t="str">
        <f t="shared" si="7"/>
        <v/>
      </c>
      <c r="V50" s="8">
        <v>1</v>
      </c>
      <c r="W50" s="8" t="str">
        <f t="shared" si="8"/>
        <v/>
      </c>
      <c r="X50" s="8">
        <v>1</v>
      </c>
      <c r="Y50" s="8" t="str">
        <f t="shared" si="9"/>
        <v/>
      </c>
      <c r="Z50" s="352" t="str">
        <f t="shared" si="10"/>
        <v/>
      </c>
      <c r="AA50" s="192">
        <f t="shared" si="11"/>
        <v>0</v>
      </c>
      <c r="AB50" s="192" t="str">
        <f t="shared" si="12"/>
        <v/>
      </c>
      <c r="AC50" s="192" t="str">
        <f t="shared" si="12"/>
        <v/>
      </c>
      <c r="AE50" s="192">
        <f t="shared" si="18"/>
        <v>0</v>
      </c>
      <c r="AF50" s="192">
        <f t="shared" si="19"/>
        <v>0</v>
      </c>
      <c r="AG50" s="192">
        <f t="shared" si="20"/>
        <v>0</v>
      </c>
      <c r="AH50" s="192">
        <f t="shared" si="13"/>
        <v>0</v>
      </c>
      <c r="AI50" s="192">
        <f t="shared" si="14"/>
        <v>0</v>
      </c>
      <c r="AJ50" s="192">
        <f t="shared" si="15"/>
        <v>0</v>
      </c>
      <c r="AK50" s="192">
        <f t="shared" si="16"/>
        <v>0</v>
      </c>
      <c r="AL50" s="192">
        <f t="shared" si="17"/>
        <v>0</v>
      </c>
    </row>
    <row r="51" spans="2:38" ht="32.25" customHeight="1" x14ac:dyDescent="0.25">
      <c r="B51" s="7">
        <f t="shared" si="6"/>
        <v>21</v>
      </c>
      <c r="C51" s="4"/>
      <c r="D51" s="4"/>
      <c r="E51" s="4"/>
      <c r="F51" s="230" t="str">
        <f>IF('תנאי סף'!AO51&lt;&gt;1,"",'תנאי סף'!F51)</f>
        <v>חמישיית תל אביב לכלי נשיפה</v>
      </c>
      <c r="G51" s="159">
        <f>IF($F51="","",'מספר הרצות'!G51)</f>
        <v>29</v>
      </c>
      <c r="H51" s="6">
        <v>9</v>
      </c>
      <c r="I51" s="6">
        <v>1</v>
      </c>
      <c r="J51" s="6">
        <v>11</v>
      </c>
      <c r="K51" s="6">
        <v>2</v>
      </c>
      <c r="L51" s="6">
        <v>0</v>
      </c>
      <c r="M51" s="6">
        <v>0</v>
      </c>
      <c r="N51" s="6">
        <v>5</v>
      </c>
      <c r="O51" s="6">
        <v>1</v>
      </c>
      <c r="P51" s="177"/>
      <c r="Q51" s="8"/>
      <c r="R51" s="8"/>
      <c r="S51" s="8"/>
      <c r="T51" s="8"/>
      <c r="U51" s="159">
        <f t="shared" si="7"/>
        <v>25</v>
      </c>
      <c r="V51" s="8">
        <v>1</v>
      </c>
      <c r="W51" s="8">
        <f t="shared" si="8"/>
        <v>25</v>
      </c>
      <c r="X51" s="8">
        <v>1</v>
      </c>
      <c r="Y51" s="8">
        <f t="shared" si="9"/>
        <v>25</v>
      </c>
      <c r="Z51" s="352">
        <f t="shared" si="10"/>
        <v>5.5865921787709494E-2</v>
      </c>
      <c r="AA51" s="192">
        <f t="shared" si="11"/>
        <v>1</v>
      </c>
      <c r="AB51" s="192">
        <f t="shared" si="12"/>
        <v>0</v>
      </c>
      <c r="AC51" s="192">
        <f t="shared" si="12"/>
        <v>1</v>
      </c>
      <c r="AE51" s="192">
        <f t="shared" si="18"/>
        <v>1</v>
      </c>
      <c r="AF51" s="192">
        <f t="shared" si="19"/>
        <v>1</v>
      </c>
      <c r="AG51" s="192">
        <f t="shared" si="20"/>
        <v>1</v>
      </c>
      <c r="AH51" s="192">
        <f t="shared" si="13"/>
        <v>1</v>
      </c>
      <c r="AI51" s="192">
        <f t="shared" si="14"/>
        <v>1</v>
      </c>
      <c r="AJ51" s="192">
        <f t="shared" si="15"/>
        <v>1</v>
      </c>
      <c r="AK51" s="192">
        <f t="shared" si="16"/>
        <v>1</v>
      </c>
      <c r="AL51" s="192">
        <f t="shared" si="17"/>
        <v>1</v>
      </c>
    </row>
    <row r="52" spans="2:38" ht="32.25" customHeight="1" x14ac:dyDescent="0.25">
      <c r="B52" s="7">
        <f t="shared" si="6"/>
        <v>22</v>
      </c>
      <c r="C52" s="4"/>
      <c r="D52" s="4"/>
      <c r="E52" s="4"/>
      <c r="F52" s="230" t="str">
        <f>IF('תנאי סף'!AO52&lt;&gt;1,"",'תנאי סף'!F52)</f>
        <v>הרכב אקוט</v>
      </c>
      <c r="G52" s="159">
        <f>IF($F52="","",'מספר הרצות'!G52)</f>
        <v>32</v>
      </c>
      <c r="H52" s="6">
        <v>6</v>
      </c>
      <c r="I52" s="6">
        <v>1</v>
      </c>
      <c r="J52" s="6">
        <v>6</v>
      </c>
      <c r="K52" s="6">
        <v>0</v>
      </c>
      <c r="L52" s="6">
        <v>12</v>
      </c>
      <c r="M52" s="6">
        <v>0</v>
      </c>
      <c r="N52" s="6">
        <v>4</v>
      </c>
      <c r="O52" s="6">
        <v>3</v>
      </c>
      <c r="P52" s="177"/>
      <c r="Q52" s="8"/>
      <c r="R52" s="8"/>
      <c r="S52" s="8"/>
      <c r="T52" s="8"/>
      <c r="U52" s="159">
        <f t="shared" si="7"/>
        <v>27.5</v>
      </c>
      <c r="V52" s="8">
        <v>1</v>
      </c>
      <c r="W52" s="8">
        <f t="shared" si="8"/>
        <v>27.5</v>
      </c>
      <c r="X52" s="8">
        <v>1</v>
      </c>
      <c r="Y52" s="8">
        <f t="shared" si="9"/>
        <v>27.5</v>
      </c>
      <c r="Z52" s="352">
        <f t="shared" si="10"/>
        <v>6.1452513966480445E-2</v>
      </c>
      <c r="AA52" s="192">
        <f t="shared" si="11"/>
        <v>1</v>
      </c>
      <c r="AB52" s="192">
        <f t="shared" si="12"/>
        <v>0</v>
      </c>
      <c r="AC52" s="192">
        <f t="shared" si="12"/>
        <v>1</v>
      </c>
      <c r="AE52" s="192">
        <f t="shared" si="18"/>
        <v>1</v>
      </c>
      <c r="AF52" s="192">
        <f t="shared" si="19"/>
        <v>1</v>
      </c>
      <c r="AG52" s="192">
        <f t="shared" si="20"/>
        <v>1</v>
      </c>
      <c r="AH52" s="192">
        <f t="shared" si="13"/>
        <v>1</v>
      </c>
      <c r="AI52" s="192">
        <f t="shared" si="14"/>
        <v>1</v>
      </c>
      <c r="AJ52" s="192">
        <f t="shared" si="15"/>
        <v>1</v>
      </c>
      <c r="AK52" s="192">
        <f t="shared" si="16"/>
        <v>1</v>
      </c>
      <c r="AL52" s="192">
        <f t="shared" si="17"/>
        <v>1</v>
      </c>
    </row>
    <row r="53" spans="2:38" ht="32.25" customHeight="1" x14ac:dyDescent="0.25">
      <c r="B53" s="7">
        <f t="shared" si="6"/>
        <v>23</v>
      </c>
      <c r="C53" s="4"/>
      <c r="D53" s="4"/>
      <c r="E53" s="4"/>
      <c r="F53" s="230" t="str">
        <f>IF('תנאי סף'!AO53&lt;&gt;1,"",'תנאי סף'!F53)</f>
        <v>שלישיית עתר</v>
      </c>
      <c r="G53" s="159">
        <f>IF($F53="","",'מספר הרצות'!G53)</f>
        <v>28</v>
      </c>
      <c r="H53" s="6">
        <v>1</v>
      </c>
      <c r="I53" s="6">
        <v>0</v>
      </c>
      <c r="J53" s="6">
        <v>18</v>
      </c>
      <c r="K53" s="6">
        <v>3</v>
      </c>
      <c r="L53" s="6">
        <v>6</v>
      </c>
      <c r="M53" s="6">
        <v>0</v>
      </c>
      <c r="N53" s="6">
        <v>0</v>
      </c>
      <c r="O53" s="6">
        <v>0</v>
      </c>
      <c r="P53" s="177"/>
      <c r="Q53" s="8"/>
      <c r="R53" s="8"/>
      <c r="S53" s="8"/>
      <c r="T53" s="8"/>
      <c r="U53" s="159">
        <f t="shared" si="7"/>
        <v>25.5</v>
      </c>
      <c r="V53" s="8">
        <v>1</v>
      </c>
      <c r="W53" s="8">
        <f t="shared" si="8"/>
        <v>25.5</v>
      </c>
      <c r="X53" s="8">
        <v>1</v>
      </c>
      <c r="Y53" s="8">
        <f t="shared" si="9"/>
        <v>25.5</v>
      </c>
      <c r="Z53" s="352">
        <f t="shared" si="10"/>
        <v>5.6983240223463689E-2</v>
      </c>
      <c r="AA53" s="192">
        <f t="shared" si="11"/>
        <v>1</v>
      </c>
      <c r="AB53" s="192">
        <f t="shared" si="12"/>
        <v>0</v>
      </c>
      <c r="AC53" s="192">
        <f t="shared" si="12"/>
        <v>1</v>
      </c>
      <c r="AE53" s="192">
        <f t="shared" si="18"/>
        <v>1</v>
      </c>
      <c r="AF53" s="192">
        <f t="shared" si="19"/>
        <v>1</v>
      </c>
      <c r="AG53" s="192">
        <f t="shared" si="20"/>
        <v>1</v>
      </c>
      <c r="AH53" s="192">
        <f t="shared" si="13"/>
        <v>1</v>
      </c>
      <c r="AI53" s="192">
        <f t="shared" si="14"/>
        <v>1</v>
      </c>
      <c r="AJ53" s="192">
        <f t="shared" si="15"/>
        <v>1</v>
      </c>
      <c r="AK53" s="192">
        <f t="shared" si="16"/>
        <v>1</v>
      </c>
      <c r="AL53" s="192">
        <f t="shared" si="17"/>
        <v>1</v>
      </c>
    </row>
    <row r="54" spans="2:38" ht="32.25" customHeight="1" x14ac:dyDescent="0.25">
      <c r="B54" s="7" t="str">
        <f t="shared" si="6"/>
        <v/>
      </c>
      <c r="C54" s="4"/>
      <c r="D54" s="4"/>
      <c r="E54" s="4"/>
      <c r="F54" s="230" t="str">
        <f>IF('תנאי סף'!AO54&lt;&gt;1,"",'תנאי סף'!F54)</f>
        <v/>
      </c>
      <c r="G54" s="159" t="str">
        <f>IF($F54="","",'מספר הרצות'!G54)</f>
        <v/>
      </c>
      <c r="H54" s="6"/>
      <c r="I54" s="6"/>
      <c r="J54" s="6"/>
      <c r="K54" s="6"/>
      <c r="L54" s="6"/>
      <c r="M54" s="6"/>
      <c r="N54" s="6"/>
      <c r="O54" s="6"/>
      <c r="P54" s="177"/>
      <c r="Q54" s="8"/>
      <c r="R54" s="8"/>
      <c r="S54" s="8"/>
      <c r="T54" s="8"/>
      <c r="U54" s="159" t="str">
        <f t="shared" si="7"/>
        <v/>
      </c>
      <c r="V54" s="8">
        <v>1</v>
      </c>
      <c r="W54" s="8" t="str">
        <f t="shared" si="8"/>
        <v/>
      </c>
      <c r="X54" s="8">
        <v>1</v>
      </c>
      <c r="Y54" s="8" t="str">
        <f t="shared" si="9"/>
        <v/>
      </c>
      <c r="Z54" s="352" t="str">
        <f t="shared" si="10"/>
        <v/>
      </c>
      <c r="AA54" s="192">
        <f t="shared" si="11"/>
        <v>0</v>
      </c>
      <c r="AB54" s="192" t="str">
        <f t="shared" si="12"/>
        <v/>
      </c>
      <c r="AC54" s="192" t="str">
        <f t="shared" si="12"/>
        <v/>
      </c>
      <c r="AE54" s="192">
        <f t="shared" si="18"/>
        <v>0</v>
      </c>
      <c r="AF54" s="192">
        <f t="shared" si="19"/>
        <v>0</v>
      </c>
      <c r="AG54" s="192">
        <f t="shared" si="20"/>
        <v>0</v>
      </c>
      <c r="AH54" s="192">
        <f t="shared" si="13"/>
        <v>0</v>
      </c>
      <c r="AI54" s="192">
        <f t="shared" si="14"/>
        <v>0</v>
      </c>
      <c r="AJ54" s="192">
        <f t="shared" si="15"/>
        <v>0</v>
      </c>
      <c r="AK54" s="192">
        <f t="shared" si="16"/>
        <v>0</v>
      </c>
      <c r="AL54" s="192">
        <f t="shared" si="17"/>
        <v>0</v>
      </c>
    </row>
    <row r="55" spans="2:38" ht="32.25" customHeight="1" x14ac:dyDescent="0.25">
      <c r="B55" s="7" t="str">
        <f t="shared" si="6"/>
        <v/>
      </c>
      <c r="C55" s="4"/>
      <c r="D55" s="4"/>
      <c r="E55" s="4"/>
      <c r="F55" s="230" t="str">
        <f>IF('תנאי סף'!AO55&lt;&gt;1,"",'תנאי סף'!F55)</f>
        <v/>
      </c>
      <c r="G55" s="159" t="str">
        <f>IF($F55="","",'מספר הרצות'!G55)</f>
        <v/>
      </c>
      <c r="H55" s="6"/>
      <c r="I55" s="6"/>
      <c r="J55" s="6"/>
      <c r="K55" s="6"/>
      <c r="L55" s="6"/>
      <c r="M55" s="6"/>
      <c r="N55" s="6"/>
      <c r="O55" s="6"/>
      <c r="P55" s="177"/>
      <c r="Q55" s="8"/>
      <c r="R55" s="8"/>
      <c r="S55" s="8"/>
      <c r="T55" s="8"/>
      <c r="U55" s="159" t="str">
        <f t="shared" si="7"/>
        <v/>
      </c>
      <c r="V55" s="8">
        <v>1</v>
      </c>
      <c r="W55" s="8" t="str">
        <f t="shared" si="8"/>
        <v/>
      </c>
      <c r="X55" s="8">
        <v>1</v>
      </c>
      <c r="Y55" s="8" t="str">
        <f t="shared" si="9"/>
        <v/>
      </c>
      <c r="Z55" s="352" t="str">
        <f t="shared" si="10"/>
        <v/>
      </c>
      <c r="AA55" s="192">
        <f t="shared" si="11"/>
        <v>0</v>
      </c>
      <c r="AB55" s="192" t="str">
        <f t="shared" si="12"/>
        <v/>
      </c>
      <c r="AC55" s="192" t="str">
        <f t="shared" si="12"/>
        <v/>
      </c>
      <c r="AE55" s="192">
        <f t="shared" si="18"/>
        <v>0</v>
      </c>
      <c r="AF55" s="192">
        <f t="shared" si="19"/>
        <v>0</v>
      </c>
      <c r="AG55" s="192">
        <f t="shared" si="20"/>
        <v>0</v>
      </c>
      <c r="AH55" s="192">
        <f t="shared" si="13"/>
        <v>0</v>
      </c>
      <c r="AI55" s="192">
        <f t="shared" si="14"/>
        <v>0</v>
      </c>
      <c r="AJ55" s="192">
        <f t="shared" si="15"/>
        <v>0</v>
      </c>
      <c r="AK55" s="192">
        <f t="shared" si="16"/>
        <v>0</v>
      </c>
      <c r="AL55" s="192">
        <f t="shared" si="17"/>
        <v>0</v>
      </c>
    </row>
    <row r="56" spans="2:38" ht="32.25" customHeight="1" x14ac:dyDescent="0.25">
      <c r="B56" s="7">
        <f t="shared" si="6"/>
        <v>26</v>
      </c>
      <c r="C56" s="4"/>
      <c r="D56" s="4"/>
      <c r="E56" s="4"/>
      <c r="F56" s="230" t="str">
        <f>IF('תנאי סף'!AO56&lt;&gt;1,"",'תנאי סף'!F56)</f>
        <v>אנסמבל מצו</v>
      </c>
      <c r="G56" s="159">
        <f>IF($F56="","",'מספר הרצות'!G56)</f>
        <v>35</v>
      </c>
      <c r="H56" s="6">
        <v>16</v>
      </c>
      <c r="I56" s="6">
        <v>2</v>
      </c>
      <c r="J56" s="6">
        <v>4</v>
      </c>
      <c r="K56" s="6">
        <v>5</v>
      </c>
      <c r="L56" s="6">
        <v>0</v>
      </c>
      <c r="M56" s="6">
        <v>0</v>
      </c>
      <c r="N56" s="6">
        <v>5</v>
      </c>
      <c r="O56" s="6">
        <v>3</v>
      </c>
      <c r="P56" s="177"/>
      <c r="Q56" s="8"/>
      <c r="R56" s="8"/>
      <c r="S56" s="8"/>
      <c r="T56" s="8"/>
      <c r="U56" s="159">
        <f t="shared" si="7"/>
        <v>29</v>
      </c>
      <c r="V56" s="8">
        <v>1</v>
      </c>
      <c r="W56" s="8">
        <f t="shared" si="8"/>
        <v>29</v>
      </c>
      <c r="X56" s="8">
        <v>1</v>
      </c>
      <c r="Y56" s="8">
        <f t="shared" si="9"/>
        <v>29</v>
      </c>
      <c r="Z56" s="352">
        <f t="shared" si="10"/>
        <v>6.4804469273743018E-2</v>
      </c>
      <c r="AA56" s="192">
        <f t="shared" si="11"/>
        <v>1</v>
      </c>
      <c r="AB56" s="192">
        <f t="shared" si="12"/>
        <v>0</v>
      </c>
      <c r="AC56" s="192">
        <f t="shared" si="12"/>
        <v>1</v>
      </c>
      <c r="AE56" s="192">
        <f t="shared" si="18"/>
        <v>1</v>
      </c>
      <c r="AF56" s="192">
        <f t="shared" si="19"/>
        <v>1</v>
      </c>
      <c r="AG56" s="192">
        <f t="shared" si="20"/>
        <v>1</v>
      </c>
      <c r="AH56" s="192">
        <f t="shared" si="13"/>
        <v>1</v>
      </c>
      <c r="AI56" s="192">
        <f t="shared" si="14"/>
        <v>1</v>
      </c>
      <c r="AJ56" s="192">
        <f t="shared" si="15"/>
        <v>1</v>
      </c>
      <c r="AK56" s="192">
        <f t="shared" si="16"/>
        <v>1</v>
      </c>
      <c r="AL56" s="192">
        <f t="shared" si="17"/>
        <v>1</v>
      </c>
    </row>
    <row r="57" spans="2:38" ht="32.25" customHeight="1" x14ac:dyDescent="0.25">
      <c r="B57" s="7" t="str">
        <f t="shared" si="6"/>
        <v/>
      </c>
      <c r="C57" s="4"/>
      <c r="D57" s="4"/>
      <c r="E57" s="4"/>
      <c r="F57" s="230" t="str">
        <f>IF('תנאי סף'!AO57&lt;&gt;1,"",'תנאי סף'!F57)</f>
        <v/>
      </c>
      <c r="G57" s="159" t="str">
        <f>IF($F57="","",'מספר הרצות'!G57)</f>
        <v/>
      </c>
      <c r="H57" s="6"/>
      <c r="I57" s="6"/>
      <c r="J57" s="6"/>
      <c r="K57" s="6"/>
      <c r="L57" s="6"/>
      <c r="M57" s="6"/>
      <c r="N57" s="6"/>
      <c r="O57" s="6"/>
      <c r="P57" s="177"/>
      <c r="Q57" s="8"/>
      <c r="R57" s="8"/>
      <c r="S57" s="8"/>
      <c r="T57" s="8"/>
      <c r="U57" s="159" t="str">
        <f t="shared" si="7"/>
        <v/>
      </c>
      <c r="V57" s="8">
        <v>1</v>
      </c>
      <c r="W57" s="8" t="str">
        <f t="shared" si="8"/>
        <v/>
      </c>
      <c r="X57" s="8">
        <v>1</v>
      </c>
      <c r="Y57" s="8" t="str">
        <f t="shared" si="9"/>
        <v/>
      </c>
      <c r="Z57" s="352" t="str">
        <f t="shared" si="10"/>
        <v/>
      </c>
      <c r="AA57" s="192">
        <f t="shared" si="11"/>
        <v>0</v>
      </c>
      <c r="AB57" s="192" t="str">
        <f t="shared" si="12"/>
        <v/>
      </c>
      <c r="AC57" s="192" t="str">
        <f t="shared" si="12"/>
        <v/>
      </c>
      <c r="AE57" s="192">
        <f t="shared" si="18"/>
        <v>0</v>
      </c>
      <c r="AF57" s="192">
        <f t="shared" si="19"/>
        <v>0</v>
      </c>
      <c r="AG57" s="192">
        <f t="shared" si="20"/>
        <v>0</v>
      </c>
      <c r="AH57" s="192">
        <f t="shared" si="13"/>
        <v>0</v>
      </c>
      <c r="AI57" s="192">
        <f t="shared" si="14"/>
        <v>0</v>
      </c>
      <c r="AJ57" s="192">
        <f t="shared" si="15"/>
        <v>0</v>
      </c>
      <c r="AK57" s="192">
        <f t="shared" si="16"/>
        <v>0</v>
      </c>
      <c r="AL57" s="192">
        <f t="shared" si="17"/>
        <v>0</v>
      </c>
    </row>
    <row r="58" spans="2:38" ht="32.25" customHeight="1" x14ac:dyDescent="0.25">
      <c r="B58" s="7">
        <f t="shared" si="6"/>
        <v>28</v>
      </c>
      <c r="C58" s="4"/>
      <c r="D58" s="4"/>
      <c r="E58" s="4"/>
      <c r="F58" s="230" t="str">
        <f>IF('תנאי סף'!AO58&lt;&gt;1,"",'תנאי סף'!F58)</f>
        <v>תמיכה שותפת- קבוצת מוסיקה נובה</v>
      </c>
      <c r="G58" s="159">
        <f>IF($F58="","",'מספר הרצות'!G58)</f>
        <v>16</v>
      </c>
      <c r="H58" s="6">
        <v>10</v>
      </c>
      <c r="I58" s="6">
        <v>0</v>
      </c>
      <c r="J58" s="6">
        <v>3</v>
      </c>
      <c r="K58" s="6">
        <v>0</v>
      </c>
      <c r="L58" s="6">
        <v>0</v>
      </c>
      <c r="M58" s="6">
        <v>0</v>
      </c>
      <c r="N58" s="6">
        <v>3</v>
      </c>
      <c r="O58" s="6">
        <v>0</v>
      </c>
      <c r="P58" s="177"/>
      <c r="Q58" s="8"/>
      <c r="R58" s="8"/>
      <c r="S58" s="8"/>
      <c r="T58" s="8"/>
      <c r="U58" s="159">
        <f t="shared" si="7"/>
        <v>7.5</v>
      </c>
      <c r="V58" s="8">
        <v>1</v>
      </c>
      <c r="W58" s="8">
        <f t="shared" si="8"/>
        <v>7.5</v>
      </c>
      <c r="X58" s="8">
        <v>1</v>
      </c>
      <c r="Y58" s="8">
        <f t="shared" si="9"/>
        <v>7.5</v>
      </c>
      <c r="Z58" s="352">
        <f t="shared" si="10"/>
        <v>1.6759776536312849E-2</v>
      </c>
      <c r="AA58" s="192">
        <f t="shared" si="11"/>
        <v>1</v>
      </c>
      <c r="AB58" s="192">
        <f t="shared" si="12"/>
        <v>0</v>
      </c>
      <c r="AC58" s="192">
        <f t="shared" si="12"/>
        <v>1</v>
      </c>
      <c r="AE58" s="192">
        <f t="shared" si="18"/>
        <v>1</v>
      </c>
      <c r="AF58" s="192">
        <f t="shared" si="19"/>
        <v>1</v>
      </c>
      <c r="AG58" s="192">
        <f t="shared" si="20"/>
        <v>1</v>
      </c>
      <c r="AH58" s="192">
        <f t="shared" si="13"/>
        <v>1</v>
      </c>
      <c r="AI58" s="192">
        <f t="shared" si="14"/>
        <v>1</v>
      </c>
      <c r="AJ58" s="192">
        <f t="shared" si="15"/>
        <v>1</v>
      </c>
      <c r="AK58" s="192">
        <f t="shared" si="16"/>
        <v>1</v>
      </c>
      <c r="AL58" s="192">
        <f t="shared" si="17"/>
        <v>1</v>
      </c>
    </row>
    <row r="59" spans="2:38" ht="32.25" customHeight="1" x14ac:dyDescent="0.25">
      <c r="B59" s="7" t="str">
        <f t="shared" si="6"/>
        <v/>
      </c>
      <c r="C59" s="4"/>
      <c r="D59" s="4"/>
      <c r="E59" s="4"/>
      <c r="F59" s="230" t="str">
        <f>IF('תנאי סף'!AO59&lt;&gt;1,"",'תנאי סף'!F59)</f>
        <v/>
      </c>
      <c r="G59" s="159" t="str">
        <f>IF($F59="","",'מספר הרצות'!G59)</f>
        <v/>
      </c>
      <c r="H59" s="6"/>
      <c r="I59" s="6"/>
      <c r="J59" s="6"/>
      <c r="K59" s="6"/>
      <c r="L59" s="6"/>
      <c r="M59" s="6"/>
      <c r="N59" s="6"/>
      <c r="O59" s="6"/>
      <c r="P59" s="177"/>
      <c r="Q59" s="8"/>
      <c r="R59" s="8"/>
      <c r="S59" s="8"/>
      <c r="T59" s="8"/>
      <c r="U59" s="159" t="str">
        <f t="shared" si="7"/>
        <v/>
      </c>
      <c r="V59" s="8">
        <v>1</v>
      </c>
      <c r="W59" s="8" t="str">
        <f t="shared" si="8"/>
        <v/>
      </c>
      <c r="X59" s="8">
        <v>1</v>
      </c>
      <c r="Y59" s="8" t="str">
        <f t="shared" si="9"/>
        <v/>
      </c>
      <c r="Z59" s="352" t="str">
        <f t="shared" si="10"/>
        <v/>
      </c>
      <c r="AA59" s="192">
        <f t="shared" si="11"/>
        <v>0</v>
      </c>
      <c r="AB59" s="192" t="str">
        <f t="shared" si="12"/>
        <v/>
      </c>
      <c r="AC59" s="192" t="str">
        <f t="shared" si="12"/>
        <v/>
      </c>
      <c r="AE59" s="192">
        <f t="shared" si="18"/>
        <v>0</v>
      </c>
      <c r="AF59" s="192">
        <f t="shared" si="19"/>
        <v>0</v>
      </c>
      <c r="AG59" s="192">
        <f t="shared" si="20"/>
        <v>0</v>
      </c>
      <c r="AH59" s="192">
        <f t="shared" si="13"/>
        <v>0</v>
      </c>
      <c r="AI59" s="192">
        <f t="shared" si="14"/>
        <v>0</v>
      </c>
      <c r="AJ59" s="192">
        <f t="shared" si="15"/>
        <v>0</v>
      </c>
      <c r="AK59" s="192">
        <f t="shared" si="16"/>
        <v>0</v>
      </c>
      <c r="AL59" s="192">
        <f t="shared" si="17"/>
        <v>0</v>
      </c>
    </row>
    <row r="60" spans="2:38" ht="32.25" customHeight="1" x14ac:dyDescent="0.25">
      <c r="B60" s="7" t="str">
        <f t="shared" si="6"/>
        <v/>
      </c>
      <c r="C60" s="4"/>
      <c r="D60" s="4"/>
      <c r="E60" s="4"/>
      <c r="F60" s="230" t="str">
        <f>IF('תנאי סף'!AO60&lt;&gt;1,"",'תנאי סף'!F60)</f>
        <v/>
      </c>
      <c r="G60" s="159" t="str">
        <f>IF($F60="","",'מספר הרצות'!G60)</f>
        <v/>
      </c>
      <c r="H60" s="6"/>
      <c r="I60" s="6"/>
      <c r="J60" s="6"/>
      <c r="K60" s="6"/>
      <c r="L60" s="6"/>
      <c r="M60" s="6"/>
      <c r="N60" s="6"/>
      <c r="O60" s="6"/>
      <c r="P60" s="177"/>
      <c r="Q60" s="8"/>
      <c r="R60" s="8"/>
      <c r="S60" s="8"/>
      <c r="T60" s="8"/>
      <c r="U60" s="159" t="str">
        <f t="shared" si="7"/>
        <v/>
      </c>
      <c r="V60" s="8">
        <v>1</v>
      </c>
      <c r="W60" s="8" t="str">
        <f t="shared" si="8"/>
        <v/>
      </c>
      <c r="X60" s="8">
        <v>1</v>
      </c>
      <c r="Y60" s="8" t="str">
        <f t="shared" si="9"/>
        <v/>
      </c>
      <c r="Z60" s="352" t="str">
        <f t="shared" si="10"/>
        <v/>
      </c>
      <c r="AA60" s="192">
        <f t="shared" si="11"/>
        <v>0</v>
      </c>
      <c r="AB60" s="192" t="str">
        <f t="shared" si="12"/>
        <v/>
      </c>
      <c r="AC60" s="192" t="str">
        <f t="shared" si="12"/>
        <v/>
      </c>
      <c r="AE60" s="192">
        <f t="shared" si="18"/>
        <v>0</v>
      </c>
      <c r="AF60" s="192">
        <f t="shared" si="19"/>
        <v>0</v>
      </c>
      <c r="AG60" s="192">
        <f t="shared" si="20"/>
        <v>0</v>
      </c>
      <c r="AH60" s="192">
        <f t="shared" si="13"/>
        <v>0</v>
      </c>
      <c r="AI60" s="192">
        <f t="shared" si="14"/>
        <v>0</v>
      </c>
      <c r="AJ60" s="192">
        <f t="shared" si="15"/>
        <v>0</v>
      </c>
      <c r="AK60" s="192">
        <f t="shared" si="16"/>
        <v>0</v>
      </c>
      <c r="AL60" s="192">
        <f t="shared" si="17"/>
        <v>0</v>
      </c>
    </row>
    <row r="61" spans="2:38" ht="32.25" customHeight="1" x14ac:dyDescent="0.25">
      <c r="B61" s="7" t="str">
        <f t="shared" si="6"/>
        <v/>
      </c>
      <c r="C61" s="4"/>
      <c r="D61" s="4"/>
      <c r="E61" s="4"/>
      <c r="F61" s="230" t="str">
        <f>IF('תנאי סף'!AO61&lt;&gt;1,"",'תנאי סף'!F61)</f>
        <v/>
      </c>
      <c r="G61" s="159" t="str">
        <f>IF($F61="","",'מספר הרצות'!G61)</f>
        <v/>
      </c>
      <c r="H61" s="6"/>
      <c r="I61" s="6"/>
      <c r="J61" s="6"/>
      <c r="K61" s="6"/>
      <c r="L61" s="6"/>
      <c r="M61" s="6"/>
      <c r="N61" s="6"/>
      <c r="O61" s="6"/>
      <c r="P61" s="177"/>
      <c r="Q61" s="8"/>
      <c r="R61" s="8"/>
      <c r="S61" s="8"/>
      <c r="T61" s="8"/>
      <c r="U61" s="159" t="str">
        <f t="shared" si="7"/>
        <v/>
      </c>
      <c r="V61" s="8">
        <v>1</v>
      </c>
      <c r="W61" s="8" t="str">
        <f t="shared" si="8"/>
        <v/>
      </c>
      <c r="X61" s="8">
        <v>1</v>
      </c>
      <c r="Y61" s="8" t="str">
        <f t="shared" si="9"/>
        <v/>
      </c>
      <c r="Z61" s="352" t="str">
        <f t="shared" si="10"/>
        <v/>
      </c>
      <c r="AA61" s="192">
        <f t="shared" si="11"/>
        <v>0</v>
      </c>
      <c r="AB61" s="192" t="str">
        <f t="shared" si="12"/>
        <v/>
      </c>
      <c r="AC61" s="192" t="str">
        <f t="shared" si="12"/>
        <v/>
      </c>
      <c r="AE61" s="192">
        <f t="shared" si="18"/>
        <v>0</v>
      </c>
      <c r="AF61" s="192">
        <f t="shared" si="19"/>
        <v>0</v>
      </c>
      <c r="AG61" s="192">
        <f t="shared" si="20"/>
        <v>0</v>
      </c>
      <c r="AH61" s="192">
        <f t="shared" si="13"/>
        <v>0</v>
      </c>
      <c r="AI61" s="192">
        <f t="shared" si="14"/>
        <v>0</v>
      </c>
      <c r="AJ61" s="192">
        <f t="shared" si="15"/>
        <v>0</v>
      </c>
      <c r="AK61" s="192">
        <f t="shared" si="16"/>
        <v>0</v>
      </c>
      <c r="AL61" s="192">
        <f t="shared" si="17"/>
        <v>0</v>
      </c>
    </row>
    <row r="62" spans="2:38" ht="32.25" customHeight="1" x14ac:dyDescent="0.25">
      <c r="B62" s="7" t="str">
        <f t="shared" si="6"/>
        <v/>
      </c>
      <c r="C62" s="4"/>
      <c r="D62" s="4"/>
      <c r="E62" s="4"/>
      <c r="F62" s="230" t="str">
        <f>IF('תנאי סף'!AO62&lt;&gt;1,"",'תנאי סף'!F62)</f>
        <v/>
      </c>
      <c r="G62" s="159" t="str">
        <f>IF($F62="","",'מספר הרצות'!G62)</f>
        <v/>
      </c>
      <c r="H62" s="6"/>
      <c r="I62" s="6"/>
      <c r="J62" s="6"/>
      <c r="K62" s="6"/>
      <c r="L62" s="6"/>
      <c r="M62" s="6"/>
      <c r="N62" s="6"/>
      <c r="O62" s="6"/>
      <c r="P62" s="177"/>
      <c r="Q62" s="8"/>
      <c r="R62" s="8"/>
      <c r="S62" s="8"/>
      <c r="T62" s="8"/>
      <c r="U62" s="159" t="str">
        <f t="shared" si="7"/>
        <v/>
      </c>
      <c r="V62" s="8">
        <v>1</v>
      </c>
      <c r="W62" s="8" t="str">
        <f t="shared" si="8"/>
        <v/>
      </c>
      <c r="X62" s="8">
        <v>1</v>
      </c>
      <c r="Y62" s="8" t="str">
        <f t="shared" si="9"/>
        <v/>
      </c>
      <c r="Z62" s="352" t="str">
        <f t="shared" si="10"/>
        <v/>
      </c>
      <c r="AA62" s="192">
        <f t="shared" si="11"/>
        <v>0</v>
      </c>
      <c r="AB62" s="192" t="str">
        <f t="shared" si="12"/>
        <v/>
      </c>
      <c r="AC62" s="192" t="str">
        <f t="shared" si="12"/>
        <v/>
      </c>
      <c r="AE62" s="192">
        <f t="shared" si="18"/>
        <v>0</v>
      </c>
      <c r="AF62" s="192">
        <f t="shared" si="19"/>
        <v>0</v>
      </c>
      <c r="AG62" s="192">
        <f t="shared" si="20"/>
        <v>0</v>
      </c>
      <c r="AH62" s="192">
        <f t="shared" si="13"/>
        <v>0</v>
      </c>
      <c r="AI62" s="192">
        <f t="shared" si="14"/>
        <v>0</v>
      </c>
      <c r="AJ62" s="192">
        <f t="shared" si="15"/>
        <v>0</v>
      </c>
      <c r="AK62" s="192">
        <f t="shared" si="16"/>
        <v>0</v>
      </c>
      <c r="AL62" s="192">
        <f t="shared" si="17"/>
        <v>0</v>
      </c>
    </row>
    <row r="63" spans="2:38" ht="32.25" customHeight="1" x14ac:dyDescent="0.25">
      <c r="B63" s="7" t="str">
        <f t="shared" si="6"/>
        <v/>
      </c>
      <c r="C63" s="4"/>
      <c r="D63" s="4"/>
      <c r="E63" s="4"/>
      <c r="F63" s="230" t="str">
        <f>IF('תנאי סף'!AO63&lt;&gt;1,"",'תנאי סף'!F63)</f>
        <v/>
      </c>
      <c r="G63" s="159" t="str">
        <f>IF($F63="","",'מספר הרצות'!G63)</f>
        <v/>
      </c>
      <c r="H63" s="6"/>
      <c r="I63" s="6"/>
      <c r="J63" s="6"/>
      <c r="K63" s="6"/>
      <c r="L63" s="6"/>
      <c r="M63" s="6"/>
      <c r="N63" s="6"/>
      <c r="O63" s="6"/>
      <c r="P63" s="177"/>
      <c r="Q63" s="8"/>
      <c r="R63" s="8"/>
      <c r="S63" s="8"/>
      <c r="T63" s="8"/>
      <c r="U63" s="159" t="str">
        <f t="shared" si="7"/>
        <v/>
      </c>
      <c r="V63" s="8">
        <v>1</v>
      </c>
      <c r="W63" s="8" t="str">
        <f t="shared" si="8"/>
        <v/>
      </c>
      <c r="X63" s="8">
        <v>1</v>
      </c>
      <c r="Y63" s="8" t="str">
        <f t="shared" si="9"/>
        <v/>
      </c>
      <c r="Z63" s="352" t="str">
        <f t="shared" si="10"/>
        <v/>
      </c>
      <c r="AA63" s="192">
        <f t="shared" si="11"/>
        <v>0</v>
      </c>
      <c r="AB63" s="192" t="str">
        <f t="shared" si="12"/>
        <v/>
      </c>
      <c r="AC63" s="192" t="str">
        <f t="shared" si="12"/>
        <v/>
      </c>
      <c r="AE63" s="192">
        <f t="shared" si="18"/>
        <v>0</v>
      </c>
      <c r="AF63" s="192">
        <f t="shared" si="19"/>
        <v>0</v>
      </c>
      <c r="AG63" s="192">
        <f t="shared" si="20"/>
        <v>0</v>
      </c>
      <c r="AH63" s="192">
        <f t="shared" si="13"/>
        <v>0</v>
      </c>
      <c r="AI63" s="192">
        <f t="shared" si="14"/>
        <v>0</v>
      </c>
      <c r="AJ63" s="192">
        <f t="shared" si="15"/>
        <v>0</v>
      </c>
      <c r="AK63" s="192">
        <f t="shared" si="16"/>
        <v>0</v>
      </c>
      <c r="AL63" s="192">
        <f t="shared" si="17"/>
        <v>0</v>
      </c>
    </row>
    <row r="64" spans="2:38" ht="32.25" customHeight="1" x14ac:dyDescent="0.25">
      <c r="B64" s="7" t="str">
        <f t="shared" si="6"/>
        <v/>
      </c>
      <c r="C64" s="4"/>
      <c r="D64" s="4"/>
      <c r="E64" s="4"/>
      <c r="F64" s="230" t="str">
        <f>IF('תנאי סף'!AO64&lt;&gt;1,"",'תנאי סף'!F64)</f>
        <v/>
      </c>
      <c r="G64" s="159" t="str">
        <f>IF($F64="","",'מספר הרצות'!G64)</f>
        <v/>
      </c>
      <c r="H64" s="6"/>
      <c r="I64" s="6"/>
      <c r="J64" s="6"/>
      <c r="K64" s="6"/>
      <c r="L64" s="6"/>
      <c r="M64" s="6"/>
      <c r="N64" s="6"/>
      <c r="O64" s="6"/>
      <c r="P64" s="177"/>
      <c r="Q64" s="8"/>
      <c r="R64" s="8"/>
      <c r="S64" s="8"/>
      <c r="T64" s="8"/>
      <c r="U64" s="159" t="str">
        <f t="shared" si="7"/>
        <v/>
      </c>
      <c r="V64" s="8">
        <v>1</v>
      </c>
      <c r="W64" s="8" t="str">
        <f t="shared" si="8"/>
        <v/>
      </c>
      <c r="X64" s="8">
        <v>1</v>
      </c>
      <c r="Y64" s="8" t="str">
        <f t="shared" si="9"/>
        <v/>
      </c>
      <c r="Z64" s="352" t="str">
        <f t="shared" si="10"/>
        <v/>
      </c>
      <c r="AA64" s="192">
        <f t="shared" si="11"/>
        <v>0</v>
      </c>
      <c r="AB64" s="192" t="str">
        <f t="shared" ref="AB64:AC91" si="21">IF($F64="","",AB$30)</f>
        <v/>
      </c>
      <c r="AC64" s="192" t="str">
        <f t="shared" si="21"/>
        <v/>
      </c>
      <c r="AE64" s="192">
        <f t="shared" si="18"/>
        <v>0</v>
      </c>
      <c r="AF64" s="192">
        <f t="shared" si="19"/>
        <v>0</v>
      </c>
      <c r="AG64" s="192">
        <f t="shared" si="20"/>
        <v>0</v>
      </c>
      <c r="AH64" s="192">
        <f t="shared" si="13"/>
        <v>0</v>
      </c>
      <c r="AI64" s="192">
        <f t="shared" si="14"/>
        <v>0</v>
      </c>
      <c r="AJ64" s="192">
        <f t="shared" si="15"/>
        <v>0</v>
      </c>
      <c r="AK64" s="192">
        <f t="shared" si="16"/>
        <v>0</v>
      </c>
      <c r="AL64" s="192">
        <f t="shared" si="17"/>
        <v>0</v>
      </c>
    </row>
    <row r="65" spans="2:38" ht="32.25" customHeight="1" x14ac:dyDescent="0.25">
      <c r="B65" s="7">
        <f t="shared" si="6"/>
        <v>35</v>
      </c>
      <c r="C65" s="4"/>
      <c r="D65" s="4"/>
      <c r="E65" s="4"/>
      <c r="F65" s="230" t="str">
        <f>IF('תנאי סף'!AO65&lt;&gt;1,"",'תנאי סף'!F65)</f>
        <v>אנסמבל מיתר</v>
      </c>
      <c r="G65" s="159">
        <f>IF($F65="","",'מספר הרצות'!G65)</f>
        <v>26</v>
      </c>
      <c r="H65" s="6">
        <v>19</v>
      </c>
      <c r="I65" s="6">
        <v>1</v>
      </c>
      <c r="J65" s="6">
        <v>2</v>
      </c>
      <c r="K65" s="6">
        <v>0</v>
      </c>
      <c r="L65" s="6">
        <v>0</v>
      </c>
      <c r="M65" s="6">
        <v>1</v>
      </c>
      <c r="N65" s="6">
        <v>3</v>
      </c>
      <c r="O65" s="6">
        <v>0</v>
      </c>
      <c r="P65" s="177"/>
      <c r="Q65" s="8"/>
      <c r="R65" s="8"/>
      <c r="S65" s="8"/>
      <c r="T65" s="8"/>
      <c r="U65" s="159">
        <f t="shared" si="7"/>
        <v>8</v>
      </c>
      <c r="V65" s="8">
        <v>1</v>
      </c>
      <c r="W65" s="8">
        <f t="shared" si="8"/>
        <v>8</v>
      </c>
      <c r="X65" s="8">
        <v>1</v>
      </c>
      <c r="Y65" s="8">
        <f t="shared" si="9"/>
        <v>8</v>
      </c>
      <c r="Z65" s="352">
        <f t="shared" si="10"/>
        <v>1.7877094972067038E-2</v>
      </c>
      <c r="AA65" s="192">
        <f t="shared" si="11"/>
        <v>1</v>
      </c>
      <c r="AB65" s="192">
        <f t="shared" si="21"/>
        <v>0</v>
      </c>
      <c r="AC65" s="192">
        <f t="shared" si="21"/>
        <v>1</v>
      </c>
      <c r="AE65" s="192">
        <f t="shared" si="18"/>
        <v>1</v>
      </c>
      <c r="AF65" s="192">
        <f t="shared" si="19"/>
        <v>1</v>
      </c>
      <c r="AG65" s="192">
        <f t="shared" si="20"/>
        <v>1</v>
      </c>
      <c r="AH65" s="192">
        <f t="shared" si="13"/>
        <v>1</v>
      </c>
      <c r="AI65" s="192">
        <f t="shared" si="14"/>
        <v>1</v>
      </c>
      <c r="AJ65" s="192">
        <f t="shared" si="15"/>
        <v>1</v>
      </c>
      <c r="AK65" s="192">
        <f t="shared" si="16"/>
        <v>1</v>
      </c>
      <c r="AL65" s="192">
        <f t="shared" si="17"/>
        <v>1</v>
      </c>
    </row>
    <row r="66" spans="2:38" ht="32.25" customHeight="1" x14ac:dyDescent="0.25">
      <c r="B66" s="7" t="str">
        <f t="shared" si="6"/>
        <v/>
      </c>
      <c r="C66" s="4"/>
      <c r="D66" s="4"/>
      <c r="E66" s="4"/>
      <c r="F66" s="230" t="str">
        <f>IF('תנאי סף'!AO66&lt;&gt;1,"",'תנאי סף'!F66)</f>
        <v/>
      </c>
      <c r="G66" s="159" t="str">
        <f>IF($F66="","",'מספר הרצות'!G66)</f>
        <v/>
      </c>
      <c r="H66" s="6"/>
      <c r="I66" s="6"/>
      <c r="J66" s="6"/>
      <c r="K66" s="6"/>
      <c r="L66" s="6"/>
      <c r="M66" s="6"/>
      <c r="N66" s="6"/>
      <c r="O66" s="6"/>
      <c r="P66" s="177"/>
      <c r="Q66" s="8"/>
      <c r="R66" s="8"/>
      <c r="S66" s="8"/>
      <c r="T66" s="8"/>
      <c r="U66" s="159" t="str">
        <f t="shared" si="7"/>
        <v/>
      </c>
      <c r="V66" s="8">
        <v>1</v>
      </c>
      <c r="W66" s="8" t="str">
        <f t="shared" si="8"/>
        <v/>
      </c>
      <c r="X66" s="8">
        <v>1</v>
      </c>
      <c r="Y66" s="8" t="str">
        <f t="shared" si="9"/>
        <v/>
      </c>
      <c r="Z66" s="352" t="str">
        <f t="shared" si="10"/>
        <v/>
      </c>
      <c r="AA66" s="192">
        <f t="shared" si="11"/>
        <v>0</v>
      </c>
      <c r="AB66" s="192" t="str">
        <f t="shared" si="21"/>
        <v/>
      </c>
      <c r="AC66" s="192" t="str">
        <f t="shared" si="21"/>
        <v/>
      </c>
      <c r="AE66" s="192">
        <f t="shared" si="18"/>
        <v>0</v>
      </c>
      <c r="AF66" s="192">
        <f t="shared" si="19"/>
        <v>0</v>
      </c>
      <c r="AG66" s="192">
        <f t="shared" si="20"/>
        <v>0</v>
      </c>
      <c r="AH66" s="192">
        <f t="shared" si="13"/>
        <v>0</v>
      </c>
      <c r="AI66" s="192">
        <f t="shared" si="14"/>
        <v>0</v>
      </c>
      <c r="AJ66" s="192">
        <f t="shared" si="15"/>
        <v>0</v>
      </c>
      <c r="AK66" s="192">
        <f t="shared" si="16"/>
        <v>0</v>
      </c>
      <c r="AL66" s="192">
        <f t="shared" si="17"/>
        <v>0</v>
      </c>
    </row>
    <row r="67" spans="2:38" ht="32.25" customHeight="1" x14ac:dyDescent="0.25">
      <c r="B67" s="7">
        <f t="shared" si="6"/>
        <v>37</v>
      </c>
      <c r="C67" s="4"/>
      <c r="D67" s="4"/>
      <c r="E67" s="4"/>
      <c r="F67" s="230" t="str">
        <f>IF('תנאי סף'!AO67&lt;&gt;1,"",'תנאי סף'!F67)</f>
        <v>אנסמבל ארז נטף</v>
      </c>
      <c r="G67" s="159">
        <f>IF($F67="","",'מספר הרצות'!G67)</f>
        <v>22</v>
      </c>
      <c r="H67" s="6">
        <v>4</v>
      </c>
      <c r="I67" s="6">
        <v>2</v>
      </c>
      <c r="J67" s="6">
        <v>4</v>
      </c>
      <c r="K67" s="6">
        <v>1</v>
      </c>
      <c r="L67" s="6">
        <v>3</v>
      </c>
      <c r="M67" s="6">
        <v>1</v>
      </c>
      <c r="N67" s="6">
        <v>7</v>
      </c>
      <c r="O67" s="6">
        <v>0</v>
      </c>
      <c r="P67" s="177"/>
      <c r="Q67" s="8"/>
      <c r="R67" s="8"/>
      <c r="S67" s="8"/>
      <c r="T67" s="8"/>
      <c r="U67" s="159">
        <f t="shared" si="7"/>
        <v>19.5</v>
      </c>
      <c r="V67" s="8">
        <v>1</v>
      </c>
      <c r="W67" s="8">
        <f t="shared" si="8"/>
        <v>19.5</v>
      </c>
      <c r="X67" s="8">
        <v>1</v>
      </c>
      <c r="Y67" s="8">
        <f t="shared" si="9"/>
        <v>19.5</v>
      </c>
      <c r="Z67" s="352">
        <f t="shared" si="10"/>
        <v>4.357541899441341E-2</v>
      </c>
      <c r="AA67" s="192">
        <f t="shared" si="11"/>
        <v>1</v>
      </c>
      <c r="AB67" s="192">
        <f t="shared" si="21"/>
        <v>0</v>
      </c>
      <c r="AC67" s="192">
        <f t="shared" si="21"/>
        <v>1</v>
      </c>
      <c r="AE67" s="192">
        <f t="shared" si="18"/>
        <v>1</v>
      </c>
      <c r="AF67" s="192">
        <f t="shared" si="19"/>
        <v>1</v>
      </c>
      <c r="AG67" s="192">
        <f t="shared" si="20"/>
        <v>1</v>
      </c>
      <c r="AH67" s="192">
        <f t="shared" si="13"/>
        <v>1</v>
      </c>
      <c r="AI67" s="192">
        <f t="shared" si="14"/>
        <v>1</v>
      </c>
      <c r="AJ67" s="192">
        <f t="shared" si="15"/>
        <v>1</v>
      </c>
      <c r="AK67" s="192">
        <f t="shared" si="16"/>
        <v>1</v>
      </c>
      <c r="AL67" s="192">
        <f t="shared" si="17"/>
        <v>1</v>
      </c>
    </row>
    <row r="68" spans="2:38" ht="32.25" customHeight="1" x14ac:dyDescent="0.25">
      <c r="B68" s="7" t="str">
        <f t="shared" si="6"/>
        <v/>
      </c>
      <c r="C68" s="4"/>
      <c r="D68" s="4"/>
      <c r="E68" s="4"/>
      <c r="F68" s="230" t="str">
        <f>IF('תנאי סף'!AO68&lt;&gt;1,"",'תנאי סף'!F68)</f>
        <v/>
      </c>
      <c r="G68" s="159" t="str">
        <f>IF($F68="","",'מספר הרצות'!G68)</f>
        <v/>
      </c>
      <c r="H68" s="6"/>
      <c r="I68" s="6"/>
      <c r="J68" s="6"/>
      <c r="K68" s="6"/>
      <c r="L68" s="6"/>
      <c r="M68" s="6"/>
      <c r="N68" s="6"/>
      <c r="O68" s="6"/>
      <c r="P68" s="177"/>
      <c r="Q68" s="8"/>
      <c r="R68" s="8"/>
      <c r="S68" s="8"/>
      <c r="T68" s="8"/>
      <c r="U68" s="159" t="str">
        <f t="shared" si="7"/>
        <v/>
      </c>
      <c r="V68" s="8">
        <v>1</v>
      </c>
      <c r="W68" s="8" t="str">
        <f t="shared" si="8"/>
        <v/>
      </c>
      <c r="X68" s="8">
        <v>1</v>
      </c>
      <c r="Y68" s="8" t="str">
        <f t="shared" si="9"/>
        <v/>
      </c>
      <c r="Z68" s="352" t="str">
        <f t="shared" si="10"/>
        <v/>
      </c>
      <c r="AA68" s="192">
        <f t="shared" si="11"/>
        <v>0</v>
      </c>
      <c r="AB68" s="192" t="str">
        <f t="shared" si="21"/>
        <v/>
      </c>
      <c r="AC68" s="192" t="str">
        <f t="shared" si="21"/>
        <v/>
      </c>
      <c r="AE68" s="192">
        <f t="shared" si="18"/>
        <v>0</v>
      </c>
      <c r="AF68" s="192">
        <f t="shared" si="19"/>
        <v>0</v>
      </c>
      <c r="AG68" s="192">
        <f t="shared" si="20"/>
        <v>0</v>
      </c>
      <c r="AH68" s="192">
        <f t="shared" si="13"/>
        <v>0</v>
      </c>
      <c r="AI68" s="192">
        <f t="shared" si="14"/>
        <v>0</v>
      </c>
      <c r="AJ68" s="192">
        <f t="shared" si="15"/>
        <v>0</v>
      </c>
      <c r="AK68" s="192">
        <f t="shared" si="16"/>
        <v>0</v>
      </c>
      <c r="AL68" s="192">
        <f t="shared" si="17"/>
        <v>0</v>
      </c>
    </row>
    <row r="69" spans="2:38" ht="32.25" customHeight="1" x14ac:dyDescent="0.25">
      <c r="B69" s="7" t="str">
        <f t="shared" si="6"/>
        <v/>
      </c>
      <c r="C69" s="4"/>
      <c r="D69" s="4"/>
      <c r="E69" s="4"/>
      <c r="F69" s="230" t="str">
        <f>IF('תנאי סף'!AO69&lt;&gt;1,"",'תנאי סף'!F69)</f>
        <v/>
      </c>
      <c r="G69" s="159" t="str">
        <f>IF($F69="","",'מספר הרצות'!G69)</f>
        <v/>
      </c>
      <c r="H69" s="6"/>
      <c r="I69" s="6"/>
      <c r="J69" s="6"/>
      <c r="K69" s="6"/>
      <c r="L69" s="6"/>
      <c r="M69" s="6"/>
      <c r="N69" s="6"/>
      <c r="O69" s="6"/>
      <c r="P69" s="177"/>
      <c r="Q69" s="8"/>
      <c r="R69" s="8"/>
      <c r="S69" s="8"/>
      <c r="T69" s="8"/>
      <c r="U69" s="159" t="str">
        <f t="shared" si="7"/>
        <v/>
      </c>
      <c r="V69" s="8">
        <v>1</v>
      </c>
      <c r="W69" s="8" t="str">
        <f t="shared" si="8"/>
        <v/>
      </c>
      <c r="X69" s="8">
        <v>1</v>
      </c>
      <c r="Y69" s="8" t="str">
        <f t="shared" si="9"/>
        <v/>
      </c>
      <c r="Z69" s="352" t="str">
        <f t="shared" si="10"/>
        <v/>
      </c>
      <c r="AA69" s="192">
        <f t="shared" si="11"/>
        <v>0</v>
      </c>
      <c r="AB69" s="192" t="str">
        <f t="shared" si="21"/>
        <v/>
      </c>
      <c r="AC69" s="192" t="str">
        <f t="shared" si="21"/>
        <v/>
      </c>
      <c r="AE69" s="192">
        <f t="shared" si="18"/>
        <v>0</v>
      </c>
      <c r="AF69" s="192">
        <f t="shared" si="19"/>
        <v>0</v>
      </c>
      <c r="AG69" s="192">
        <f t="shared" si="20"/>
        <v>0</v>
      </c>
      <c r="AH69" s="192">
        <f t="shared" si="13"/>
        <v>0</v>
      </c>
      <c r="AI69" s="192">
        <f t="shared" si="14"/>
        <v>0</v>
      </c>
      <c r="AJ69" s="192">
        <f t="shared" si="15"/>
        <v>0</v>
      </c>
      <c r="AK69" s="192">
        <f t="shared" si="16"/>
        <v>0</v>
      </c>
      <c r="AL69" s="192">
        <f t="shared" si="17"/>
        <v>0</v>
      </c>
    </row>
    <row r="70" spans="2:38" ht="32.25" customHeight="1" x14ac:dyDescent="0.25">
      <c r="B70" s="7">
        <f t="shared" si="6"/>
        <v>40</v>
      </c>
      <c r="C70" s="4"/>
      <c r="D70" s="4"/>
      <c r="E70" s="4"/>
      <c r="F70" s="230" t="str">
        <f>IF('תנאי סף'!AO70&lt;&gt;1,"",'תנאי סף'!F70)</f>
        <v>תו המשווה (ע"ר)</v>
      </c>
      <c r="G70" s="159">
        <f>IF($F70="","",'מספר הרצות'!G70)</f>
        <v>22</v>
      </c>
      <c r="H70" s="6">
        <v>6</v>
      </c>
      <c r="I70" s="6">
        <v>10</v>
      </c>
      <c r="J70" s="6">
        <v>0</v>
      </c>
      <c r="K70" s="6">
        <v>0</v>
      </c>
      <c r="L70" s="6">
        <v>0</v>
      </c>
      <c r="M70" s="6">
        <v>1</v>
      </c>
      <c r="N70" s="6">
        <v>2</v>
      </c>
      <c r="O70" s="6">
        <v>3</v>
      </c>
      <c r="P70" s="177"/>
      <c r="Q70" s="8"/>
      <c r="R70" s="8"/>
      <c r="S70" s="8"/>
      <c r="T70" s="8"/>
      <c r="U70" s="159">
        <f t="shared" si="7"/>
        <v>18</v>
      </c>
      <c r="V70" s="8">
        <v>1</v>
      </c>
      <c r="W70" s="8">
        <f t="shared" si="8"/>
        <v>18</v>
      </c>
      <c r="X70" s="8">
        <v>1</v>
      </c>
      <c r="Y70" s="8">
        <f t="shared" si="9"/>
        <v>18</v>
      </c>
      <c r="Z70" s="352">
        <f t="shared" si="10"/>
        <v>4.0223463687150837E-2</v>
      </c>
      <c r="AA70" s="192">
        <f t="shared" si="11"/>
        <v>1</v>
      </c>
      <c r="AB70" s="192">
        <f t="shared" si="21"/>
        <v>0</v>
      </c>
      <c r="AC70" s="192">
        <f t="shared" si="21"/>
        <v>1</v>
      </c>
      <c r="AE70" s="192">
        <f t="shared" si="18"/>
        <v>1</v>
      </c>
      <c r="AF70" s="192">
        <f t="shared" si="19"/>
        <v>1</v>
      </c>
      <c r="AG70" s="192">
        <f t="shared" si="20"/>
        <v>1</v>
      </c>
      <c r="AH70" s="192">
        <f t="shared" si="13"/>
        <v>1</v>
      </c>
      <c r="AI70" s="192">
        <f t="shared" si="14"/>
        <v>1</v>
      </c>
      <c r="AJ70" s="192">
        <f t="shared" si="15"/>
        <v>1</v>
      </c>
      <c r="AK70" s="192">
        <f t="shared" si="16"/>
        <v>1</v>
      </c>
      <c r="AL70" s="192">
        <f t="shared" si="17"/>
        <v>1</v>
      </c>
    </row>
    <row r="71" spans="2:38" ht="32.25" customHeight="1" x14ac:dyDescent="0.25">
      <c r="B71" s="7" t="str">
        <f t="shared" si="6"/>
        <v/>
      </c>
      <c r="C71" s="4"/>
      <c r="D71" s="4"/>
      <c r="E71" s="4"/>
      <c r="F71" s="230" t="str">
        <f>IF('תנאי סף'!AO71&lt;&gt;1,"",'תנאי סף'!F71)</f>
        <v/>
      </c>
      <c r="G71" s="159" t="str">
        <f>IF($F71="","",'מספר הרצות'!G71)</f>
        <v/>
      </c>
      <c r="H71" s="6"/>
      <c r="I71" s="6"/>
      <c r="J71" s="6"/>
      <c r="K71" s="6"/>
      <c r="L71" s="6"/>
      <c r="M71" s="6"/>
      <c r="N71" s="6"/>
      <c r="O71" s="6"/>
      <c r="P71" s="177"/>
      <c r="Q71" s="8"/>
      <c r="R71" s="8"/>
      <c r="S71" s="8"/>
      <c r="T71" s="8"/>
      <c r="U71" s="159" t="str">
        <f t="shared" si="7"/>
        <v/>
      </c>
      <c r="V71" s="8">
        <v>1</v>
      </c>
      <c r="W71" s="8" t="str">
        <f t="shared" si="8"/>
        <v/>
      </c>
      <c r="X71" s="8">
        <v>1</v>
      </c>
      <c r="Y71" s="8" t="str">
        <f t="shared" si="9"/>
        <v/>
      </c>
      <c r="Z71" s="123" t="str">
        <f t="shared" si="10"/>
        <v/>
      </c>
      <c r="AA71" s="192">
        <f t="shared" si="11"/>
        <v>0</v>
      </c>
      <c r="AB71" s="192" t="str">
        <f t="shared" si="21"/>
        <v/>
      </c>
      <c r="AC71" s="192" t="str">
        <f t="shared" si="21"/>
        <v/>
      </c>
      <c r="AE71" s="192">
        <f t="shared" si="18"/>
        <v>0</v>
      </c>
      <c r="AF71" s="192">
        <f t="shared" si="19"/>
        <v>0</v>
      </c>
      <c r="AG71" s="192">
        <f t="shared" si="20"/>
        <v>0</v>
      </c>
      <c r="AH71" s="192">
        <f t="shared" si="13"/>
        <v>0</v>
      </c>
      <c r="AI71" s="192">
        <f t="shared" si="14"/>
        <v>0</v>
      </c>
      <c r="AJ71" s="192">
        <f t="shared" si="15"/>
        <v>0</v>
      </c>
      <c r="AK71" s="192">
        <f t="shared" si="16"/>
        <v>0</v>
      </c>
      <c r="AL71" s="192">
        <f t="shared" si="17"/>
        <v>0</v>
      </c>
    </row>
    <row r="72" spans="2:38" ht="32.25" customHeight="1" x14ac:dyDescent="0.25">
      <c r="B72" s="7" t="str">
        <f t="shared" si="6"/>
        <v/>
      </c>
      <c r="C72" s="4"/>
      <c r="D72" s="4"/>
      <c r="E72" s="4"/>
      <c r="F72" s="230" t="str">
        <f>IF('תנאי סף'!AO72&lt;&gt;1,"",'תנאי סף'!F72)</f>
        <v/>
      </c>
      <c r="G72" s="159" t="str">
        <f>IF($F72="","",'מספר הרצות'!G72)</f>
        <v/>
      </c>
      <c r="H72" s="6"/>
      <c r="I72" s="6"/>
      <c r="J72" s="6"/>
      <c r="K72" s="6"/>
      <c r="L72" s="6"/>
      <c r="M72" s="6"/>
      <c r="N72" s="6"/>
      <c r="O72" s="6"/>
      <c r="P72" s="177"/>
      <c r="Q72" s="8"/>
      <c r="R72" s="8"/>
      <c r="S72" s="8"/>
      <c r="T72" s="8"/>
      <c r="U72" s="159" t="str">
        <f t="shared" si="7"/>
        <v/>
      </c>
      <c r="V72" s="8">
        <v>1</v>
      </c>
      <c r="W72" s="8" t="str">
        <f t="shared" si="8"/>
        <v/>
      </c>
      <c r="X72" s="8">
        <v>1</v>
      </c>
      <c r="Y72" s="8" t="str">
        <f t="shared" si="9"/>
        <v/>
      </c>
      <c r="Z72" s="123" t="str">
        <f t="shared" si="10"/>
        <v/>
      </c>
      <c r="AA72" s="192">
        <f t="shared" si="11"/>
        <v>0</v>
      </c>
      <c r="AB72" s="192" t="str">
        <f t="shared" si="21"/>
        <v/>
      </c>
      <c r="AC72" s="192" t="str">
        <f t="shared" si="21"/>
        <v/>
      </c>
      <c r="AE72" s="192">
        <f t="shared" si="18"/>
        <v>0</v>
      </c>
      <c r="AF72" s="192">
        <f t="shared" si="19"/>
        <v>0</v>
      </c>
      <c r="AG72" s="192">
        <f t="shared" si="20"/>
        <v>0</v>
      </c>
      <c r="AH72" s="192">
        <f t="shared" si="13"/>
        <v>0</v>
      </c>
      <c r="AI72" s="192">
        <f t="shared" si="14"/>
        <v>0</v>
      </c>
      <c r="AJ72" s="192">
        <f t="shared" si="15"/>
        <v>0</v>
      </c>
      <c r="AK72" s="192">
        <f t="shared" si="16"/>
        <v>0</v>
      </c>
      <c r="AL72" s="192">
        <f t="shared" si="17"/>
        <v>0</v>
      </c>
    </row>
    <row r="73" spans="2:38" ht="32.25" customHeight="1" x14ac:dyDescent="0.25">
      <c r="B73" s="7">
        <f t="shared" si="6"/>
        <v>43</v>
      </c>
      <c r="C73" s="4"/>
      <c r="D73" s="4"/>
      <c r="E73" s="4"/>
      <c r="F73" s="230" t="str">
        <f>IF('תנאי סף'!AO73&lt;&gt;1,"",'תנאי סף'!F73)</f>
        <v>בר קיימא ואקלקוטנטקט</v>
      </c>
      <c r="G73" s="159">
        <f>IF($F73="","",'מספר הרצות'!G73)</f>
        <v>16</v>
      </c>
      <c r="H73" s="6">
        <v>0</v>
      </c>
      <c r="I73" s="6">
        <v>0</v>
      </c>
      <c r="J73" s="6">
        <v>0</v>
      </c>
      <c r="K73" s="6">
        <v>0</v>
      </c>
      <c r="L73" s="6">
        <v>16</v>
      </c>
      <c r="M73" s="6">
        <v>0</v>
      </c>
      <c r="N73" s="6">
        <v>0</v>
      </c>
      <c r="O73" s="6">
        <v>0</v>
      </c>
      <c r="P73" s="177"/>
      <c r="Q73" s="8"/>
      <c r="R73" s="8"/>
      <c r="S73" s="8"/>
      <c r="T73" s="8"/>
      <c r="U73" s="159">
        <f t="shared" si="7"/>
        <v>8</v>
      </c>
      <c r="V73" s="8">
        <v>1</v>
      </c>
      <c r="W73" s="8">
        <f t="shared" si="8"/>
        <v>8</v>
      </c>
      <c r="X73" s="8">
        <v>1</v>
      </c>
      <c r="Y73" s="8">
        <f t="shared" si="9"/>
        <v>8</v>
      </c>
      <c r="Z73" s="123">
        <f t="shared" si="10"/>
        <v>1.7877094972067038E-2</v>
      </c>
      <c r="AA73" s="192">
        <f t="shared" si="11"/>
        <v>1</v>
      </c>
      <c r="AB73" s="192">
        <f t="shared" si="21"/>
        <v>0</v>
      </c>
      <c r="AC73" s="192">
        <f t="shared" si="21"/>
        <v>1</v>
      </c>
      <c r="AE73" s="192">
        <f t="shared" si="18"/>
        <v>1</v>
      </c>
      <c r="AF73" s="192">
        <f t="shared" si="19"/>
        <v>1</v>
      </c>
      <c r="AG73" s="192">
        <f t="shared" si="20"/>
        <v>1</v>
      </c>
      <c r="AH73" s="192">
        <f t="shared" si="13"/>
        <v>1</v>
      </c>
      <c r="AI73" s="192">
        <f t="shared" si="14"/>
        <v>1</v>
      </c>
      <c r="AJ73" s="192">
        <f t="shared" si="15"/>
        <v>1</v>
      </c>
      <c r="AK73" s="192">
        <f t="shared" si="16"/>
        <v>1</v>
      </c>
      <c r="AL73" s="192">
        <f t="shared" si="17"/>
        <v>1</v>
      </c>
    </row>
    <row r="74" spans="2:38" ht="32.25" customHeight="1" x14ac:dyDescent="0.25">
      <c r="B74" s="7" t="str">
        <f t="shared" si="6"/>
        <v/>
      </c>
      <c r="C74" s="4"/>
      <c r="D74" s="4"/>
      <c r="E74" s="4"/>
      <c r="F74" s="230" t="str">
        <f>IF('תנאי סף'!AO74&lt;&gt;1,"",'תנאי סף'!F74)</f>
        <v/>
      </c>
      <c r="G74" s="159" t="str">
        <f>IF($F74="","",'מספר הרצות'!G74)</f>
        <v/>
      </c>
      <c r="H74" s="6"/>
      <c r="I74" s="6"/>
      <c r="J74" s="6"/>
      <c r="K74" s="6"/>
      <c r="L74" s="6"/>
      <c r="M74" s="6"/>
      <c r="N74" s="6"/>
      <c r="O74" s="6"/>
      <c r="P74" s="177"/>
      <c r="Q74" s="8"/>
      <c r="R74" s="8"/>
      <c r="S74" s="8"/>
      <c r="T74" s="8"/>
      <c r="U74" s="159" t="str">
        <f t="shared" si="7"/>
        <v/>
      </c>
      <c r="V74" s="8">
        <v>1</v>
      </c>
      <c r="W74" s="8" t="str">
        <f t="shared" si="8"/>
        <v/>
      </c>
      <c r="X74" s="8">
        <v>1</v>
      </c>
      <c r="Y74" s="8" t="str">
        <f t="shared" si="9"/>
        <v/>
      </c>
      <c r="Z74" s="123" t="str">
        <f t="shared" si="10"/>
        <v/>
      </c>
      <c r="AA74" s="192">
        <f t="shared" si="11"/>
        <v>0</v>
      </c>
      <c r="AB74" s="192" t="str">
        <f t="shared" si="21"/>
        <v/>
      </c>
      <c r="AC74" s="192" t="str">
        <f t="shared" si="21"/>
        <v/>
      </c>
      <c r="AE74" s="192">
        <f t="shared" si="18"/>
        <v>0</v>
      </c>
      <c r="AF74" s="192">
        <f t="shared" si="19"/>
        <v>0</v>
      </c>
      <c r="AG74" s="192">
        <f t="shared" si="20"/>
        <v>0</v>
      </c>
      <c r="AH74" s="192">
        <f t="shared" si="13"/>
        <v>0</v>
      </c>
      <c r="AI74" s="192">
        <f t="shared" si="14"/>
        <v>0</v>
      </c>
      <c r="AJ74" s="192">
        <f t="shared" si="15"/>
        <v>0</v>
      </c>
      <c r="AK74" s="192">
        <f t="shared" si="16"/>
        <v>0</v>
      </c>
      <c r="AL74" s="192">
        <f t="shared" si="17"/>
        <v>0</v>
      </c>
    </row>
    <row r="75" spans="2:38" ht="32.25" customHeight="1" x14ac:dyDescent="0.25">
      <c r="B75" s="7">
        <f t="shared" si="6"/>
        <v>45</v>
      </c>
      <c r="C75" s="4"/>
      <c r="D75" s="4"/>
      <c r="E75" s="4"/>
      <c r="F75" s="230" t="str">
        <f>IF('תנאי סף'!AO75&lt;&gt;1,"",'תנאי סף'!F75)</f>
        <v>אלקאת התזמורת התימנית</v>
      </c>
      <c r="G75" s="159">
        <f>IF($F75="","",'מספר הרצות'!G75)</f>
        <v>12</v>
      </c>
      <c r="H75" s="6">
        <v>6</v>
      </c>
      <c r="I75" s="6">
        <v>0</v>
      </c>
      <c r="J75" s="6">
        <v>1</v>
      </c>
      <c r="K75" s="6">
        <v>0</v>
      </c>
      <c r="L75" s="6">
        <v>0</v>
      </c>
      <c r="M75" s="6">
        <v>0</v>
      </c>
      <c r="N75" s="6">
        <v>5</v>
      </c>
      <c r="O75" s="6">
        <v>0</v>
      </c>
      <c r="P75" s="177"/>
      <c r="Q75" s="8"/>
      <c r="R75" s="8"/>
      <c r="S75" s="8"/>
      <c r="T75" s="8"/>
      <c r="U75" s="159">
        <f t="shared" si="7"/>
        <v>8.5</v>
      </c>
      <c r="V75" s="8">
        <v>1</v>
      </c>
      <c r="W75" s="8">
        <f t="shared" si="8"/>
        <v>8.5</v>
      </c>
      <c r="X75" s="8">
        <v>1</v>
      </c>
      <c r="Y75" s="8">
        <f t="shared" si="9"/>
        <v>8.5</v>
      </c>
      <c r="Z75" s="123">
        <f t="shared" si="10"/>
        <v>1.899441340782123E-2</v>
      </c>
      <c r="AA75" s="192">
        <f t="shared" si="11"/>
        <v>1</v>
      </c>
      <c r="AB75" s="192">
        <f t="shared" si="21"/>
        <v>0</v>
      </c>
      <c r="AC75" s="192">
        <f t="shared" si="21"/>
        <v>1</v>
      </c>
      <c r="AE75" s="192">
        <f t="shared" si="18"/>
        <v>1</v>
      </c>
      <c r="AF75" s="192">
        <f t="shared" si="19"/>
        <v>1</v>
      </c>
      <c r="AG75" s="192">
        <f t="shared" si="20"/>
        <v>1</v>
      </c>
      <c r="AH75" s="192">
        <f t="shared" si="13"/>
        <v>1</v>
      </c>
      <c r="AI75" s="192">
        <f t="shared" si="14"/>
        <v>1</v>
      </c>
      <c r="AJ75" s="192">
        <f t="shared" si="15"/>
        <v>1</v>
      </c>
      <c r="AK75" s="192">
        <f t="shared" si="16"/>
        <v>1</v>
      </c>
      <c r="AL75" s="192">
        <f t="shared" si="17"/>
        <v>1</v>
      </c>
    </row>
    <row r="76" spans="2:38" ht="32.25" customHeight="1" x14ac:dyDescent="0.25">
      <c r="B76" s="7" t="str">
        <f t="shared" si="6"/>
        <v/>
      </c>
      <c r="C76" s="4"/>
      <c r="D76" s="4"/>
      <c r="E76" s="4"/>
      <c r="F76" s="230" t="str">
        <f>IF('תנאי סף'!AO76&lt;&gt;1,"",'תנאי סף'!F76)</f>
        <v/>
      </c>
      <c r="G76" s="159" t="str">
        <f>IF($F76="","",'מספר הרצות'!G76)</f>
        <v/>
      </c>
      <c r="H76" s="6"/>
      <c r="I76" s="6"/>
      <c r="J76" s="6"/>
      <c r="K76" s="6"/>
      <c r="L76" s="6"/>
      <c r="M76" s="6"/>
      <c r="N76" s="6"/>
      <c r="O76" s="6"/>
      <c r="P76" s="177"/>
      <c r="Q76" s="8"/>
      <c r="R76" s="8"/>
      <c r="S76" s="8"/>
      <c r="T76" s="8"/>
      <c r="U76" s="159" t="str">
        <f t="shared" si="7"/>
        <v/>
      </c>
      <c r="V76" s="8">
        <v>1</v>
      </c>
      <c r="W76" s="8" t="str">
        <f t="shared" si="8"/>
        <v/>
      </c>
      <c r="X76" s="8">
        <v>1</v>
      </c>
      <c r="Y76" s="8" t="str">
        <f t="shared" si="9"/>
        <v/>
      </c>
      <c r="Z76" s="123" t="str">
        <f t="shared" si="10"/>
        <v/>
      </c>
      <c r="AA76" s="192">
        <f t="shared" si="11"/>
        <v>0</v>
      </c>
      <c r="AB76" s="192" t="str">
        <f t="shared" si="21"/>
        <v/>
      </c>
      <c r="AC76" s="192" t="str">
        <f t="shared" si="21"/>
        <v/>
      </c>
      <c r="AE76" s="192">
        <f t="shared" si="18"/>
        <v>0</v>
      </c>
      <c r="AF76" s="192">
        <f t="shared" si="19"/>
        <v>0</v>
      </c>
      <c r="AG76" s="192">
        <f t="shared" si="20"/>
        <v>0</v>
      </c>
      <c r="AH76" s="192">
        <f t="shared" si="13"/>
        <v>0</v>
      </c>
      <c r="AI76" s="192">
        <f t="shared" si="14"/>
        <v>0</v>
      </c>
      <c r="AJ76" s="192">
        <f t="shared" si="15"/>
        <v>0</v>
      </c>
      <c r="AK76" s="192">
        <f t="shared" si="16"/>
        <v>0</v>
      </c>
      <c r="AL76" s="192">
        <f t="shared" si="17"/>
        <v>0</v>
      </c>
    </row>
    <row r="77" spans="2:38" ht="32.25" customHeight="1" x14ac:dyDescent="0.25">
      <c r="B77" s="7" t="str">
        <f t="shared" si="6"/>
        <v/>
      </c>
      <c r="C77" s="4"/>
      <c r="D77" s="4"/>
      <c r="E77" s="4"/>
      <c r="F77" s="230" t="str">
        <f>IF('תנאי סף'!AO77&lt;&gt;1,"",'תנאי סף'!F77)</f>
        <v/>
      </c>
      <c r="G77" s="159" t="str">
        <f>IF($F77="","",'מספר הרצות'!G77)</f>
        <v/>
      </c>
      <c r="H77" s="6"/>
      <c r="I77" s="6"/>
      <c r="J77" s="6"/>
      <c r="K77" s="6"/>
      <c r="L77" s="6"/>
      <c r="M77" s="6"/>
      <c r="N77" s="6"/>
      <c r="O77" s="6"/>
      <c r="P77" s="177"/>
      <c r="Q77" s="8"/>
      <c r="R77" s="8"/>
      <c r="S77" s="8"/>
      <c r="T77" s="8"/>
      <c r="U77" s="159" t="str">
        <f t="shared" si="7"/>
        <v/>
      </c>
      <c r="V77" s="8">
        <v>1</v>
      </c>
      <c r="W77" s="8" t="str">
        <f t="shared" si="8"/>
        <v/>
      </c>
      <c r="X77" s="8">
        <v>1</v>
      </c>
      <c r="Y77" s="8" t="str">
        <f t="shared" si="9"/>
        <v/>
      </c>
      <c r="Z77" s="123" t="str">
        <f t="shared" si="10"/>
        <v/>
      </c>
      <c r="AA77" s="192">
        <f t="shared" si="11"/>
        <v>0</v>
      </c>
      <c r="AB77" s="192" t="str">
        <f t="shared" si="21"/>
        <v/>
      </c>
      <c r="AC77" s="192" t="str">
        <f t="shared" si="21"/>
        <v/>
      </c>
      <c r="AE77" s="192">
        <f t="shared" si="18"/>
        <v>0</v>
      </c>
      <c r="AF77" s="192">
        <f t="shared" si="19"/>
        <v>0</v>
      </c>
      <c r="AG77" s="192">
        <f t="shared" si="20"/>
        <v>0</v>
      </c>
      <c r="AH77" s="192">
        <f t="shared" si="13"/>
        <v>0</v>
      </c>
      <c r="AI77" s="192">
        <f t="shared" si="14"/>
        <v>0</v>
      </c>
      <c r="AJ77" s="192">
        <f t="shared" si="15"/>
        <v>0</v>
      </c>
      <c r="AK77" s="192">
        <f t="shared" si="16"/>
        <v>0</v>
      </c>
      <c r="AL77" s="192">
        <f t="shared" si="17"/>
        <v>0</v>
      </c>
    </row>
    <row r="78" spans="2:38" ht="32.25" customHeight="1" x14ac:dyDescent="0.25">
      <c r="B78" s="7">
        <f t="shared" si="6"/>
        <v>48</v>
      </c>
      <c r="C78" s="4"/>
      <c r="D78" s="4"/>
      <c r="E78" s="4"/>
      <c r="F78" s="230" t="str">
        <f>IF('תנאי סף'!AO78&lt;&gt;1,"",'תנאי סף'!F78)</f>
        <v>גיא מינטוס- טריו</v>
      </c>
      <c r="G78" s="159">
        <f>IF($F78="","",'מספר הרצות'!G78)</f>
        <v>23</v>
      </c>
      <c r="H78" s="6">
        <v>20</v>
      </c>
      <c r="I78" s="6">
        <v>0</v>
      </c>
      <c r="J78" s="6">
        <v>0</v>
      </c>
      <c r="K78" s="6">
        <v>0</v>
      </c>
      <c r="L78" s="6">
        <v>0</v>
      </c>
      <c r="M78" s="6">
        <v>0</v>
      </c>
      <c r="N78" s="6">
        <v>1</v>
      </c>
      <c r="O78" s="6">
        <v>2</v>
      </c>
      <c r="P78" s="177"/>
      <c r="Q78" s="8"/>
      <c r="R78" s="8"/>
      <c r="S78" s="8"/>
      <c r="T78" s="8"/>
      <c r="U78" s="159">
        <f t="shared" si="7"/>
        <v>7.5</v>
      </c>
      <c r="V78" s="8">
        <v>1</v>
      </c>
      <c r="W78" s="8">
        <f t="shared" si="8"/>
        <v>7.5</v>
      </c>
      <c r="X78" s="8">
        <v>1</v>
      </c>
      <c r="Y78" s="8">
        <f t="shared" si="9"/>
        <v>7.5</v>
      </c>
      <c r="Z78" s="123">
        <f t="shared" si="10"/>
        <v>1.6759776536312849E-2</v>
      </c>
      <c r="AA78" s="192">
        <f t="shared" si="11"/>
        <v>1</v>
      </c>
      <c r="AB78" s="192">
        <f t="shared" si="21"/>
        <v>0</v>
      </c>
      <c r="AC78" s="192">
        <f t="shared" si="21"/>
        <v>1</v>
      </c>
      <c r="AE78" s="192">
        <f t="shared" si="18"/>
        <v>1</v>
      </c>
      <c r="AF78" s="192">
        <f t="shared" si="19"/>
        <v>1</v>
      </c>
      <c r="AG78" s="192">
        <f t="shared" si="20"/>
        <v>1</v>
      </c>
      <c r="AH78" s="192">
        <f t="shared" si="13"/>
        <v>1</v>
      </c>
      <c r="AI78" s="192">
        <f t="shared" si="14"/>
        <v>1</v>
      </c>
      <c r="AJ78" s="192">
        <f t="shared" si="15"/>
        <v>1</v>
      </c>
      <c r="AK78" s="192">
        <f t="shared" si="16"/>
        <v>1</v>
      </c>
      <c r="AL78" s="192">
        <f t="shared" si="17"/>
        <v>1</v>
      </c>
    </row>
    <row r="79" spans="2:38" ht="32.25" customHeight="1" x14ac:dyDescent="0.25">
      <c r="B79" s="7" t="str">
        <f t="shared" si="6"/>
        <v/>
      </c>
      <c r="C79" s="4"/>
      <c r="D79" s="4"/>
      <c r="E79" s="4"/>
      <c r="F79" s="230" t="str">
        <f>IF('תנאי סף'!AO79&lt;&gt;1,"",'תנאי סף'!F79)</f>
        <v/>
      </c>
      <c r="G79" s="159" t="str">
        <f>IF($F79="","",'מספר הרצות'!G79)</f>
        <v/>
      </c>
      <c r="H79" s="6"/>
      <c r="I79" s="6"/>
      <c r="J79" s="6"/>
      <c r="K79" s="6"/>
      <c r="L79" s="6"/>
      <c r="M79" s="6"/>
      <c r="N79" s="6"/>
      <c r="O79" s="6"/>
      <c r="P79" s="177"/>
      <c r="Q79" s="8"/>
      <c r="R79" s="8"/>
      <c r="S79" s="8"/>
      <c r="T79" s="8"/>
      <c r="U79" s="159" t="str">
        <f t="shared" si="7"/>
        <v/>
      </c>
      <c r="V79" s="8">
        <v>1</v>
      </c>
      <c r="W79" s="8" t="str">
        <f t="shared" si="8"/>
        <v/>
      </c>
      <c r="X79" s="8">
        <v>1</v>
      </c>
      <c r="Y79" s="8" t="str">
        <f t="shared" si="9"/>
        <v/>
      </c>
      <c r="Z79" s="123" t="str">
        <f t="shared" si="10"/>
        <v/>
      </c>
      <c r="AA79" s="192">
        <f t="shared" si="11"/>
        <v>0</v>
      </c>
      <c r="AB79" s="192" t="str">
        <f t="shared" si="21"/>
        <v/>
      </c>
      <c r="AC79" s="192" t="str">
        <f t="shared" si="21"/>
        <v/>
      </c>
      <c r="AE79" s="192">
        <f t="shared" si="18"/>
        <v>0</v>
      </c>
      <c r="AF79" s="192">
        <f t="shared" si="19"/>
        <v>0</v>
      </c>
      <c r="AG79" s="192">
        <f t="shared" si="20"/>
        <v>0</v>
      </c>
      <c r="AH79" s="192">
        <f t="shared" si="13"/>
        <v>0</v>
      </c>
      <c r="AI79" s="192">
        <f t="shared" si="14"/>
        <v>0</v>
      </c>
      <c r="AJ79" s="192">
        <f t="shared" si="15"/>
        <v>0</v>
      </c>
      <c r="AK79" s="192">
        <f t="shared" si="16"/>
        <v>0</v>
      </c>
      <c r="AL79" s="192">
        <f t="shared" si="17"/>
        <v>0</v>
      </c>
    </row>
    <row r="80" spans="2:38" ht="32.25" customHeight="1" x14ac:dyDescent="0.25">
      <c r="B80" s="7" t="str">
        <f t="shared" si="6"/>
        <v/>
      </c>
      <c r="C80" s="4"/>
      <c r="D80" s="4"/>
      <c r="E80" s="4"/>
      <c r="F80" s="230" t="str">
        <f>IF('תנאי סף'!AO80&lt;&gt;1,"",'תנאי סף'!F80)</f>
        <v/>
      </c>
      <c r="G80" s="159" t="str">
        <f>IF($F80="","",'מספר הרצות'!G80)</f>
        <v/>
      </c>
      <c r="H80" s="6"/>
      <c r="I80" s="6"/>
      <c r="J80" s="6"/>
      <c r="K80" s="6"/>
      <c r="L80" s="6"/>
      <c r="M80" s="6"/>
      <c r="N80" s="6"/>
      <c r="O80" s="6"/>
      <c r="P80" s="177"/>
      <c r="Q80" s="8"/>
      <c r="R80" s="8"/>
      <c r="S80" s="8"/>
      <c r="T80" s="8"/>
      <c r="U80" s="159" t="str">
        <f t="shared" si="7"/>
        <v/>
      </c>
      <c r="V80" s="8">
        <v>1</v>
      </c>
      <c r="W80" s="8" t="str">
        <f t="shared" si="8"/>
        <v/>
      </c>
      <c r="X80" s="8">
        <v>1</v>
      </c>
      <c r="Y80" s="8" t="str">
        <f t="shared" si="9"/>
        <v/>
      </c>
      <c r="Z80" s="123" t="str">
        <f t="shared" si="10"/>
        <v/>
      </c>
      <c r="AA80" s="192">
        <f t="shared" si="11"/>
        <v>0</v>
      </c>
      <c r="AB80" s="192" t="str">
        <f t="shared" si="21"/>
        <v/>
      </c>
      <c r="AC80" s="192" t="str">
        <f t="shared" si="21"/>
        <v/>
      </c>
      <c r="AE80" s="192">
        <f t="shared" si="18"/>
        <v>0</v>
      </c>
      <c r="AF80" s="192">
        <f t="shared" si="19"/>
        <v>0</v>
      </c>
      <c r="AG80" s="192">
        <f t="shared" si="20"/>
        <v>0</v>
      </c>
      <c r="AH80" s="192">
        <f t="shared" si="13"/>
        <v>0</v>
      </c>
      <c r="AI80" s="192">
        <f t="shared" si="14"/>
        <v>0</v>
      </c>
      <c r="AJ80" s="192">
        <f t="shared" si="15"/>
        <v>0</v>
      </c>
      <c r="AK80" s="192">
        <f t="shared" si="16"/>
        <v>0</v>
      </c>
      <c r="AL80" s="192">
        <f t="shared" si="17"/>
        <v>0</v>
      </c>
    </row>
    <row r="81" spans="2:38" ht="32.25" customHeight="1" x14ac:dyDescent="0.25">
      <c r="B81" s="7" t="str">
        <f t="shared" si="6"/>
        <v/>
      </c>
      <c r="C81" s="4"/>
      <c r="D81" s="4"/>
      <c r="E81" s="4"/>
      <c r="F81" s="230" t="str">
        <f>IF('תנאי סף'!AO81&lt;&gt;1,"",'תנאי סף'!F81)</f>
        <v/>
      </c>
      <c r="G81" s="159" t="str">
        <f>IF($F81="","",'מספר הרצות'!G81)</f>
        <v/>
      </c>
      <c r="H81" s="6"/>
      <c r="I81" s="6"/>
      <c r="J81" s="6"/>
      <c r="K81" s="6"/>
      <c r="L81" s="6"/>
      <c r="M81" s="6"/>
      <c r="N81" s="6"/>
      <c r="O81" s="6"/>
      <c r="P81" s="177"/>
      <c r="Q81" s="8"/>
      <c r="R81" s="8"/>
      <c r="S81" s="8"/>
      <c r="T81" s="8"/>
      <c r="U81" s="159" t="str">
        <f t="shared" si="7"/>
        <v/>
      </c>
      <c r="V81" s="8">
        <v>1</v>
      </c>
      <c r="W81" s="8" t="str">
        <f t="shared" si="8"/>
        <v/>
      </c>
      <c r="X81" s="8">
        <v>1</v>
      </c>
      <c r="Y81" s="8" t="str">
        <f t="shared" si="9"/>
        <v/>
      </c>
      <c r="Z81" s="123" t="str">
        <f t="shared" si="10"/>
        <v/>
      </c>
      <c r="AA81" s="192">
        <f t="shared" si="11"/>
        <v>0</v>
      </c>
      <c r="AB81" s="192" t="str">
        <f t="shared" si="21"/>
        <v/>
      </c>
      <c r="AC81" s="192" t="str">
        <f t="shared" si="21"/>
        <v/>
      </c>
      <c r="AE81" s="192">
        <f t="shared" si="18"/>
        <v>0</v>
      </c>
      <c r="AF81" s="192">
        <f t="shared" si="19"/>
        <v>0</v>
      </c>
      <c r="AG81" s="192">
        <f t="shared" si="20"/>
        <v>0</v>
      </c>
      <c r="AH81" s="192">
        <f t="shared" si="13"/>
        <v>0</v>
      </c>
      <c r="AI81" s="192">
        <f t="shared" si="14"/>
        <v>0</v>
      </c>
      <c r="AJ81" s="192">
        <f t="shared" si="15"/>
        <v>0</v>
      </c>
      <c r="AK81" s="192">
        <f t="shared" si="16"/>
        <v>0</v>
      </c>
      <c r="AL81" s="192">
        <f t="shared" si="17"/>
        <v>0</v>
      </c>
    </row>
    <row r="82" spans="2:38" ht="32.25" customHeight="1" x14ac:dyDescent="0.25">
      <c r="B82" s="7">
        <f t="shared" si="6"/>
        <v>52</v>
      </c>
      <c r="C82" s="4"/>
      <c r="D82" s="4"/>
      <c r="E82" s="4"/>
      <c r="F82" s="230" t="str">
        <f>IF('תנאי סף'!AO82&lt;&gt;1,"",'תנאי סף'!F82)</f>
        <v xml:space="preserve">פולקעס - בר-קיימא לתרבות </v>
      </c>
      <c r="G82" s="159">
        <f>IF($F82="","",'מספר הרצות'!G82)</f>
        <v>27</v>
      </c>
      <c r="H82" s="6">
        <v>0</v>
      </c>
      <c r="I82" s="6">
        <v>3</v>
      </c>
      <c r="J82" s="6">
        <v>4</v>
      </c>
      <c r="K82" s="6">
        <v>4</v>
      </c>
      <c r="L82" s="6">
        <v>10</v>
      </c>
      <c r="M82" s="6">
        <v>0</v>
      </c>
      <c r="N82" s="6">
        <v>1</v>
      </c>
      <c r="O82" s="6">
        <v>5</v>
      </c>
      <c r="P82" s="177"/>
      <c r="Q82" s="8"/>
      <c r="R82" s="8"/>
      <c r="S82" s="8"/>
      <c r="T82" s="8"/>
      <c r="U82" s="159">
        <f t="shared" si="7"/>
        <v>33</v>
      </c>
      <c r="V82" s="8">
        <v>1</v>
      </c>
      <c r="W82" s="8">
        <f t="shared" si="8"/>
        <v>33</v>
      </c>
      <c r="X82" s="8">
        <v>1</v>
      </c>
      <c r="Y82" s="8">
        <f t="shared" si="9"/>
        <v>33</v>
      </c>
      <c r="Z82" s="123">
        <f t="shared" si="10"/>
        <v>7.3743016759776542E-2</v>
      </c>
      <c r="AA82" s="192">
        <f t="shared" si="11"/>
        <v>1</v>
      </c>
      <c r="AB82" s="192">
        <f t="shared" si="21"/>
        <v>0</v>
      </c>
      <c r="AC82" s="192">
        <f t="shared" si="21"/>
        <v>1</v>
      </c>
      <c r="AE82" s="192">
        <f t="shared" si="18"/>
        <v>1</v>
      </c>
      <c r="AF82" s="192">
        <f t="shared" si="19"/>
        <v>1</v>
      </c>
      <c r="AG82" s="192">
        <f t="shared" si="20"/>
        <v>1</v>
      </c>
      <c r="AH82" s="192">
        <f t="shared" si="13"/>
        <v>1</v>
      </c>
      <c r="AI82" s="192">
        <f t="shared" si="14"/>
        <v>1</v>
      </c>
      <c r="AJ82" s="192">
        <f t="shared" si="15"/>
        <v>1</v>
      </c>
      <c r="AK82" s="192">
        <f t="shared" si="16"/>
        <v>1</v>
      </c>
      <c r="AL82" s="192">
        <f t="shared" si="17"/>
        <v>1</v>
      </c>
    </row>
    <row r="83" spans="2:38" ht="32.25" customHeight="1" x14ac:dyDescent="0.25">
      <c r="B83" s="7" t="str">
        <f t="shared" si="6"/>
        <v/>
      </c>
      <c r="C83" s="4"/>
      <c r="D83" s="4"/>
      <c r="E83" s="4"/>
      <c r="F83" s="230" t="str">
        <f>IF('תנאי סף'!AO83&lt;&gt;1,"",'תנאי סף'!F83)</f>
        <v/>
      </c>
      <c r="G83" s="159" t="str">
        <f>IF($F83="","",'מספר הרצות'!G83)</f>
        <v/>
      </c>
      <c r="H83" s="6"/>
      <c r="I83" s="6"/>
      <c r="J83" s="6"/>
      <c r="K83" s="6"/>
      <c r="L83" s="6"/>
      <c r="M83" s="6"/>
      <c r="N83" s="6"/>
      <c r="O83" s="6"/>
      <c r="P83" s="177"/>
      <c r="Q83" s="8"/>
      <c r="R83" s="8"/>
      <c r="S83" s="8"/>
      <c r="T83" s="8"/>
      <c r="U83" s="159" t="str">
        <f t="shared" si="7"/>
        <v/>
      </c>
      <c r="V83" s="8">
        <v>1</v>
      </c>
      <c r="W83" s="8" t="str">
        <f t="shared" si="8"/>
        <v/>
      </c>
      <c r="X83" s="8">
        <v>1</v>
      </c>
      <c r="Y83" s="8" t="str">
        <f t="shared" si="9"/>
        <v/>
      </c>
      <c r="Z83" s="123" t="str">
        <f t="shared" si="10"/>
        <v/>
      </c>
      <c r="AA83" s="192">
        <f t="shared" si="11"/>
        <v>0</v>
      </c>
      <c r="AB83" s="192" t="str">
        <f t="shared" si="21"/>
        <v/>
      </c>
      <c r="AC83" s="192" t="str">
        <f t="shared" si="21"/>
        <v/>
      </c>
      <c r="AE83" s="192">
        <f t="shared" si="18"/>
        <v>0</v>
      </c>
      <c r="AF83" s="192">
        <f t="shared" si="19"/>
        <v>0</v>
      </c>
      <c r="AG83" s="192">
        <f t="shared" si="20"/>
        <v>0</v>
      </c>
      <c r="AH83" s="192">
        <f t="shared" si="13"/>
        <v>0</v>
      </c>
      <c r="AI83" s="192">
        <f t="shared" si="14"/>
        <v>0</v>
      </c>
      <c r="AJ83" s="192">
        <f t="shared" si="15"/>
        <v>0</v>
      </c>
      <c r="AK83" s="192">
        <f t="shared" si="16"/>
        <v>0</v>
      </c>
      <c r="AL83" s="192">
        <f t="shared" si="17"/>
        <v>0</v>
      </c>
    </row>
    <row r="84" spans="2:38" ht="32.25" customHeight="1" x14ac:dyDescent="0.25">
      <c r="B84" s="7" t="str">
        <f t="shared" si="6"/>
        <v/>
      </c>
      <c r="C84" s="4"/>
      <c r="D84" s="4"/>
      <c r="E84" s="4"/>
      <c r="F84" s="230" t="str">
        <f>IF('תנאי סף'!AO84&lt;&gt;1,"",'תנאי סף'!F84)</f>
        <v/>
      </c>
      <c r="G84" s="159" t="str">
        <f>IF($F84="","",'מספר הרצות'!G84)</f>
        <v/>
      </c>
      <c r="H84" s="6"/>
      <c r="I84" s="6"/>
      <c r="J84" s="6"/>
      <c r="K84" s="6"/>
      <c r="L84" s="6"/>
      <c r="M84" s="6"/>
      <c r="N84" s="6"/>
      <c r="O84" s="6"/>
      <c r="P84" s="177"/>
      <c r="Q84" s="8"/>
      <c r="R84" s="8"/>
      <c r="S84" s="8"/>
      <c r="T84" s="8"/>
      <c r="U84" s="159" t="str">
        <f t="shared" si="7"/>
        <v/>
      </c>
      <c r="V84" s="8">
        <v>1</v>
      </c>
      <c r="W84" s="8" t="str">
        <f t="shared" si="8"/>
        <v/>
      </c>
      <c r="X84" s="8">
        <v>1</v>
      </c>
      <c r="Y84" s="8" t="str">
        <f t="shared" si="9"/>
        <v/>
      </c>
      <c r="Z84" s="123" t="str">
        <f t="shared" si="10"/>
        <v/>
      </c>
      <c r="AA84" s="192">
        <f t="shared" si="11"/>
        <v>0</v>
      </c>
      <c r="AB84" s="192" t="str">
        <f t="shared" si="21"/>
        <v/>
      </c>
      <c r="AC84" s="192" t="str">
        <f t="shared" si="21"/>
        <v/>
      </c>
      <c r="AE84" s="192">
        <f t="shared" si="18"/>
        <v>0</v>
      </c>
      <c r="AF84" s="192">
        <f t="shared" si="19"/>
        <v>0</v>
      </c>
      <c r="AG84" s="192">
        <f t="shared" si="20"/>
        <v>0</v>
      </c>
      <c r="AH84" s="192">
        <f t="shared" si="13"/>
        <v>0</v>
      </c>
      <c r="AI84" s="192">
        <f t="shared" si="14"/>
        <v>0</v>
      </c>
      <c r="AJ84" s="192">
        <f t="shared" si="15"/>
        <v>0</v>
      </c>
      <c r="AK84" s="192">
        <f t="shared" si="16"/>
        <v>0</v>
      </c>
      <c r="AL84" s="192">
        <f t="shared" si="17"/>
        <v>0</v>
      </c>
    </row>
    <row r="85" spans="2:38" ht="32.25" customHeight="1" x14ac:dyDescent="0.25">
      <c r="B85" s="7">
        <f t="shared" si="6"/>
        <v>55</v>
      </c>
      <c r="C85" s="4"/>
      <c r="D85" s="4"/>
      <c r="E85" s="4"/>
      <c r="F85" s="230" t="str">
        <f>IF('תנאי סף'!AO85&lt;&gt;1,"",'תנאי סף'!F85)</f>
        <v>מכון רננות</v>
      </c>
      <c r="G85" s="159">
        <f>IF($F85="","",'מספר הרצות'!G85)</f>
        <v>11</v>
      </c>
      <c r="H85" s="6">
        <v>0</v>
      </c>
      <c r="I85" s="6">
        <v>1</v>
      </c>
      <c r="J85" s="6">
        <v>2</v>
      </c>
      <c r="K85" s="6">
        <v>0</v>
      </c>
      <c r="L85" s="6">
        <v>7</v>
      </c>
      <c r="M85" s="6">
        <v>0</v>
      </c>
      <c r="N85" s="6">
        <v>0</v>
      </c>
      <c r="O85" s="6">
        <v>1</v>
      </c>
      <c r="P85" s="177"/>
      <c r="Q85" s="8"/>
      <c r="R85" s="8"/>
      <c r="S85" s="8"/>
      <c r="T85" s="8"/>
      <c r="U85" s="159">
        <f t="shared" si="7"/>
        <v>9</v>
      </c>
      <c r="V85" s="8">
        <v>1</v>
      </c>
      <c r="W85" s="8">
        <f t="shared" si="8"/>
        <v>9</v>
      </c>
      <c r="X85" s="8">
        <v>1</v>
      </c>
      <c r="Y85" s="8">
        <f t="shared" si="9"/>
        <v>9</v>
      </c>
      <c r="Z85" s="123">
        <f t="shared" si="10"/>
        <v>2.0111731843575419E-2</v>
      </c>
      <c r="AA85" s="192">
        <f t="shared" si="11"/>
        <v>1</v>
      </c>
      <c r="AB85" s="192">
        <f t="shared" si="21"/>
        <v>0</v>
      </c>
      <c r="AC85" s="192">
        <f t="shared" si="21"/>
        <v>1</v>
      </c>
      <c r="AE85" s="192">
        <f t="shared" si="18"/>
        <v>1</v>
      </c>
      <c r="AF85" s="192">
        <f t="shared" si="19"/>
        <v>1</v>
      </c>
      <c r="AG85" s="192">
        <f t="shared" si="20"/>
        <v>1</v>
      </c>
      <c r="AH85" s="192">
        <f t="shared" si="13"/>
        <v>1</v>
      </c>
      <c r="AI85" s="192">
        <f t="shared" si="14"/>
        <v>1</v>
      </c>
      <c r="AJ85" s="192">
        <f t="shared" si="15"/>
        <v>1</v>
      </c>
      <c r="AK85" s="192">
        <f t="shared" si="16"/>
        <v>1</v>
      </c>
      <c r="AL85" s="192">
        <f t="shared" si="17"/>
        <v>1</v>
      </c>
    </row>
    <row r="86" spans="2:38" ht="32.25" customHeight="1" x14ac:dyDescent="0.25">
      <c r="B86" s="7" t="str">
        <f t="shared" si="6"/>
        <v/>
      </c>
      <c r="C86" s="4"/>
      <c r="D86" s="4"/>
      <c r="E86" s="4"/>
      <c r="F86" s="230" t="str">
        <f>IF('תנאי סף'!AO86&lt;&gt;1,"",'תנאי סף'!F86)</f>
        <v/>
      </c>
      <c r="G86" s="159" t="str">
        <f>IF($F86="","",'מספר הרצות'!G86)</f>
        <v/>
      </c>
      <c r="H86" s="6"/>
      <c r="I86" s="6"/>
      <c r="J86" s="6"/>
      <c r="K86" s="6"/>
      <c r="L86" s="6"/>
      <c r="M86" s="6"/>
      <c r="N86" s="6"/>
      <c r="O86" s="6"/>
      <c r="P86" s="177"/>
      <c r="Q86" s="8"/>
      <c r="R86" s="8"/>
      <c r="S86" s="8"/>
      <c r="T86" s="8"/>
      <c r="U86" s="159" t="str">
        <f t="shared" si="7"/>
        <v/>
      </c>
      <c r="V86" s="8">
        <v>1</v>
      </c>
      <c r="W86" s="8" t="str">
        <f t="shared" si="8"/>
        <v/>
      </c>
      <c r="X86" s="8">
        <v>1</v>
      </c>
      <c r="Y86" s="8" t="str">
        <f t="shared" si="9"/>
        <v/>
      </c>
      <c r="Z86" s="123" t="str">
        <f t="shared" si="10"/>
        <v/>
      </c>
      <c r="AA86" s="192">
        <f t="shared" si="11"/>
        <v>0</v>
      </c>
      <c r="AB86" s="192" t="str">
        <f t="shared" si="21"/>
        <v/>
      </c>
      <c r="AC86" s="192" t="str">
        <f t="shared" si="21"/>
        <v/>
      </c>
      <c r="AE86" s="192">
        <f t="shared" si="18"/>
        <v>0</v>
      </c>
      <c r="AF86" s="192">
        <f t="shared" si="19"/>
        <v>0</v>
      </c>
      <c r="AG86" s="192">
        <f t="shared" si="20"/>
        <v>0</v>
      </c>
      <c r="AH86" s="192">
        <f t="shared" si="13"/>
        <v>0</v>
      </c>
      <c r="AI86" s="192">
        <f t="shared" si="14"/>
        <v>0</v>
      </c>
      <c r="AJ86" s="192">
        <f t="shared" si="15"/>
        <v>0</v>
      </c>
      <c r="AK86" s="192">
        <f t="shared" si="16"/>
        <v>0</v>
      </c>
      <c r="AL86" s="192">
        <f t="shared" si="17"/>
        <v>0</v>
      </c>
    </row>
    <row r="87" spans="2:38" ht="32.25" customHeight="1" x14ac:dyDescent="0.25">
      <c r="B87" s="7">
        <f t="shared" si="6"/>
        <v>57</v>
      </c>
      <c r="C87" s="4"/>
      <c r="D87" s="4"/>
      <c r="E87" s="4"/>
      <c r="F87" s="230" t="str">
        <f>IF('תנאי סף'!AO87&lt;&gt;1,"",'תנאי סף'!F87)</f>
        <v>עמותת מפעל המוזיקה צימבליסטה</v>
      </c>
      <c r="G87" s="159">
        <f>IF($F87="","",'מספר הרצות'!G87)</f>
        <v>10</v>
      </c>
      <c r="H87" s="6">
        <v>8</v>
      </c>
      <c r="I87" s="6">
        <v>0</v>
      </c>
      <c r="J87" s="6">
        <v>0</v>
      </c>
      <c r="K87" s="6">
        <v>1</v>
      </c>
      <c r="L87" s="6">
        <v>0</v>
      </c>
      <c r="M87" s="6">
        <v>0</v>
      </c>
      <c r="N87" s="6">
        <v>1</v>
      </c>
      <c r="O87" s="6">
        <v>0</v>
      </c>
      <c r="P87" s="177"/>
      <c r="Q87" s="8"/>
      <c r="R87" s="8"/>
      <c r="S87" s="8"/>
      <c r="T87" s="8"/>
      <c r="U87" s="159">
        <f t="shared" si="7"/>
        <v>3</v>
      </c>
      <c r="V87" s="8">
        <v>1</v>
      </c>
      <c r="W87" s="8">
        <f t="shared" si="8"/>
        <v>3</v>
      </c>
      <c r="X87" s="8">
        <v>1</v>
      </c>
      <c r="Y87" s="8">
        <f t="shared" si="9"/>
        <v>3</v>
      </c>
      <c r="Z87" s="123">
        <f t="shared" si="10"/>
        <v>6.7039106145251395E-3</v>
      </c>
      <c r="AA87" s="192">
        <f t="shared" si="11"/>
        <v>1</v>
      </c>
      <c r="AB87" s="192">
        <f t="shared" si="21"/>
        <v>0</v>
      </c>
      <c r="AC87" s="192">
        <f t="shared" si="21"/>
        <v>1</v>
      </c>
      <c r="AE87" s="192">
        <f t="shared" si="18"/>
        <v>1</v>
      </c>
      <c r="AF87" s="192">
        <f t="shared" si="19"/>
        <v>1</v>
      </c>
      <c r="AG87" s="192">
        <f t="shared" si="20"/>
        <v>1</v>
      </c>
      <c r="AH87" s="192">
        <f t="shared" si="13"/>
        <v>1</v>
      </c>
      <c r="AI87" s="192">
        <f t="shared" si="14"/>
        <v>1</v>
      </c>
      <c r="AJ87" s="192">
        <f t="shared" si="15"/>
        <v>1</v>
      </c>
      <c r="AK87" s="192">
        <f t="shared" si="16"/>
        <v>1</v>
      </c>
      <c r="AL87" s="192">
        <f t="shared" si="17"/>
        <v>1</v>
      </c>
    </row>
    <row r="88" spans="2:38" ht="32.25" customHeight="1" x14ac:dyDescent="0.25">
      <c r="B88" s="7" t="str">
        <f t="shared" si="6"/>
        <v/>
      </c>
      <c r="C88" s="4"/>
      <c r="D88" s="4"/>
      <c r="E88" s="4"/>
      <c r="F88" s="230" t="str">
        <f>IF('תנאי סף'!AO88&lt;&gt;1,"",'תנאי סף'!F88)</f>
        <v/>
      </c>
      <c r="G88" s="159" t="str">
        <f>IF($F88="","",'מספר הרצות'!G88)</f>
        <v/>
      </c>
      <c r="H88" s="6"/>
      <c r="I88" s="6"/>
      <c r="J88" s="6"/>
      <c r="K88" s="6"/>
      <c r="L88" s="6"/>
      <c r="M88" s="6"/>
      <c r="N88" s="6"/>
      <c r="O88" s="6"/>
      <c r="P88" s="177"/>
      <c r="Q88" s="8"/>
      <c r="R88" s="8"/>
      <c r="S88" s="8"/>
      <c r="T88" s="8"/>
      <c r="U88" s="159" t="str">
        <f t="shared" si="7"/>
        <v/>
      </c>
      <c r="V88" s="8">
        <v>1</v>
      </c>
      <c r="W88" s="8" t="str">
        <f t="shared" si="8"/>
        <v/>
      </c>
      <c r="X88" s="8">
        <v>1</v>
      </c>
      <c r="Y88" s="8" t="str">
        <f t="shared" si="9"/>
        <v/>
      </c>
      <c r="Z88" s="123" t="str">
        <f t="shared" si="10"/>
        <v/>
      </c>
      <c r="AA88" s="192">
        <f t="shared" si="11"/>
        <v>0</v>
      </c>
      <c r="AB88" s="192" t="str">
        <f t="shared" si="21"/>
        <v/>
      </c>
      <c r="AC88" s="192" t="str">
        <f t="shared" si="21"/>
        <v/>
      </c>
      <c r="AE88" s="192">
        <f t="shared" si="18"/>
        <v>0</v>
      </c>
      <c r="AF88" s="192">
        <f t="shared" si="19"/>
        <v>0</v>
      </c>
      <c r="AG88" s="192">
        <f t="shared" si="20"/>
        <v>0</v>
      </c>
      <c r="AH88" s="192">
        <f t="shared" si="13"/>
        <v>0</v>
      </c>
      <c r="AI88" s="192">
        <f t="shared" si="14"/>
        <v>0</v>
      </c>
      <c r="AJ88" s="192">
        <f t="shared" si="15"/>
        <v>0</v>
      </c>
      <c r="AK88" s="192">
        <f t="shared" si="16"/>
        <v>0</v>
      </c>
      <c r="AL88" s="192">
        <f t="shared" si="17"/>
        <v>0</v>
      </c>
    </row>
    <row r="89" spans="2:38" ht="32.25" customHeight="1" x14ac:dyDescent="0.25">
      <c r="B89" s="7">
        <f t="shared" si="6"/>
        <v>59</v>
      </c>
      <c r="C89" s="4"/>
      <c r="D89" s="4"/>
      <c r="E89" s="4"/>
      <c r="F89" s="230" t="str">
        <f>IF('תנאי סף'!AO89&lt;&gt;1,"",'תנאי סף'!F89)</f>
        <v>העמותה לקידום המוסיקה הערבית</v>
      </c>
      <c r="G89" s="159">
        <f>IF($F89="","",'מספר הרצות'!G89)</f>
        <v>18</v>
      </c>
      <c r="H89" s="6">
        <v>0</v>
      </c>
      <c r="I89" s="6">
        <v>4</v>
      </c>
      <c r="J89" s="6">
        <v>0</v>
      </c>
      <c r="K89" s="6">
        <v>0</v>
      </c>
      <c r="L89" s="6">
        <v>6</v>
      </c>
      <c r="M89" s="6">
        <v>5</v>
      </c>
      <c r="N89" s="6">
        <v>1</v>
      </c>
      <c r="O89" s="6">
        <v>2</v>
      </c>
      <c r="P89" s="177"/>
      <c r="Q89" s="8"/>
      <c r="R89" s="8"/>
      <c r="S89" s="8"/>
      <c r="T89" s="8"/>
      <c r="U89" s="159">
        <f t="shared" si="7"/>
        <v>17.5</v>
      </c>
      <c r="V89" s="8">
        <v>1</v>
      </c>
      <c r="W89" s="8">
        <f t="shared" si="8"/>
        <v>17.5</v>
      </c>
      <c r="X89" s="8">
        <v>1</v>
      </c>
      <c r="Y89" s="8">
        <f t="shared" si="9"/>
        <v>17.5</v>
      </c>
      <c r="Z89" s="123">
        <f t="shared" si="10"/>
        <v>3.9106145251396648E-2</v>
      </c>
      <c r="AA89" s="192">
        <f t="shared" si="11"/>
        <v>1</v>
      </c>
      <c r="AB89" s="192">
        <f t="shared" si="21"/>
        <v>0</v>
      </c>
      <c r="AC89" s="192">
        <f t="shared" si="21"/>
        <v>1</v>
      </c>
      <c r="AE89" s="192">
        <f t="shared" si="18"/>
        <v>1</v>
      </c>
      <c r="AF89" s="192">
        <f t="shared" si="19"/>
        <v>1</v>
      </c>
      <c r="AG89" s="192">
        <f t="shared" si="20"/>
        <v>1</v>
      </c>
      <c r="AH89" s="192">
        <f t="shared" si="13"/>
        <v>1</v>
      </c>
      <c r="AI89" s="192">
        <f t="shared" si="14"/>
        <v>1</v>
      </c>
      <c r="AJ89" s="192">
        <f t="shared" si="15"/>
        <v>1</v>
      </c>
      <c r="AK89" s="192">
        <f t="shared" si="16"/>
        <v>1</v>
      </c>
      <c r="AL89" s="192">
        <f t="shared" si="17"/>
        <v>1</v>
      </c>
    </row>
    <row r="90" spans="2:38" ht="32.25" customHeight="1" x14ac:dyDescent="0.25">
      <c r="B90" s="7">
        <f t="shared" si="6"/>
        <v>60</v>
      </c>
      <c r="C90" s="4"/>
      <c r="D90" s="4"/>
      <c r="E90" s="4"/>
      <c r="F90" s="230" t="str">
        <f>IF('תנאי סף'!AO90&lt;&gt;1,"",'תנאי סף'!F90)</f>
        <v>תמיכה בתזמורת TLV (הערבית יהודית)</v>
      </c>
      <c r="G90" s="159">
        <f>IF($F90="","",'מספר הרצות'!G90)</f>
        <v>8</v>
      </c>
      <c r="H90" s="6">
        <v>4</v>
      </c>
      <c r="I90" s="6">
        <v>1</v>
      </c>
      <c r="J90" s="6">
        <v>0</v>
      </c>
      <c r="K90" s="6">
        <v>0</v>
      </c>
      <c r="L90" s="6">
        <v>0</v>
      </c>
      <c r="M90" s="6">
        <v>2</v>
      </c>
      <c r="N90" s="6">
        <v>0</v>
      </c>
      <c r="O90" s="6">
        <v>1</v>
      </c>
      <c r="P90" s="177"/>
      <c r="Q90" s="8"/>
      <c r="R90" s="8"/>
      <c r="S90" s="8"/>
      <c r="T90" s="8"/>
      <c r="U90" s="159">
        <f t="shared" si="7"/>
        <v>5.5</v>
      </c>
      <c r="V90" s="8">
        <v>1</v>
      </c>
      <c r="W90" s="8">
        <f t="shared" si="8"/>
        <v>5.5</v>
      </c>
      <c r="X90" s="8">
        <v>1</v>
      </c>
      <c r="Y90" s="8">
        <f t="shared" si="9"/>
        <v>5.5</v>
      </c>
      <c r="Z90" s="123">
        <f t="shared" si="10"/>
        <v>1.2290502793296089E-2</v>
      </c>
      <c r="AA90" s="192">
        <f t="shared" si="11"/>
        <v>1</v>
      </c>
      <c r="AB90" s="192">
        <f t="shared" si="21"/>
        <v>0</v>
      </c>
      <c r="AC90" s="192">
        <f t="shared" si="21"/>
        <v>1</v>
      </c>
      <c r="AE90" s="192">
        <f t="shared" si="18"/>
        <v>1</v>
      </c>
      <c r="AF90" s="192">
        <f t="shared" si="19"/>
        <v>1</v>
      </c>
      <c r="AG90" s="192">
        <f t="shared" si="20"/>
        <v>1</v>
      </c>
      <c r="AH90" s="192">
        <f t="shared" si="13"/>
        <v>1</v>
      </c>
      <c r="AI90" s="192">
        <f t="shared" si="14"/>
        <v>1</v>
      </c>
      <c r="AJ90" s="192">
        <f t="shared" si="15"/>
        <v>1</v>
      </c>
      <c r="AK90" s="192">
        <f t="shared" si="16"/>
        <v>1</v>
      </c>
      <c r="AL90" s="192">
        <f t="shared" si="17"/>
        <v>1</v>
      </c>
    </row>
    <row r="91" spans="2:38" ht="32.25" customHeight="1" x14ac:dyDescent="0.25">
      <c r="B91" s="7">
        <f t="shared" si="6"/>
        <v>61</v>
      </c>
      <c r="C91" s="4"/>
      <c r="D91" s="4"/>
      <c r="E91" s="4"/>
      <c r="F91" s="230" t="str">
        <f>IF('תנאי סף'!AO91&lt;&gt;1,"",'תנאי סף'!F91)</f>
        <v>אנסמבל גליל</v>
      </c>
      <c r="G91" s="159">
        <f>IF($F91="","",'מספר הרצות'!G91)</f>
        <v>8</v>
      </c>
      <c r="H91" s="6">
        <v>1</v>
      </c>
      <c r="I91" s="6">
        <v>0</v>
      </c>
      <c r="J91" s="6">
        <v>1</v>
      </c>
      <c r="K91" s="6">
        <v>4</v>
      </c>
      <c r="L91" s="6">
        <v>0</v>
      </c>
      <c r="M91" s="6">
        <v>0</v>
      </c>
      <c r="N91" s="6">
        <v>0</v>
      </c>
      <c r="O91" s="6">
        <v>2</v>
      </c>
      <c r="P91" s="177"/>
      <c r="Q91" s="8"/>
      <c r="R91" s="8"/>
      <c r="S91" s="8"/>
      <c r="T91" s="8"/>
      <c r="U91" s="159">
        <f t="shared" si="7"/>
        <v>13</v>
      </c>
      <c r="V91" s="8">
        <v>1</v>
      </c>
      <c r="W91" s="8">
        <f t="shared" si="8"/>
        <v>13</v>
      </c>
      <c r="X91" s="8">
        <v>1</v>
      </c>
      <c r="Y91" s="8">
        <f t="shared" si="9"/>
        <v>13</v>
      </c>
      <c r="Z91" s="123">
        <f t="shared" si="10"/>
        <v>2.9050279329608939E-2</v>
      </c>
      <c r="AA91" s="192">
        <f t="shared" si="11"/>
        <v>1</v>
      </c>
      <c r="AB91" s="192">
        <f t="shared" si="21"/>
        <v>0</v>
      </c>
      <c r="AC91" s="192">
        <f t="shared" si="21"/>
        <v>1</v>
      </c>
      <c r="AE91" s="192">
        <f t="shared" si="18"/>
        <v>1</v>
      </c>
      <c r="AF91" s="192">
        <f t="shared" si="19"/>
        <v>1</v>
      </c>
      <c r="AG91" s="192">
        <f t="shared" si="20"/>
        <v>1</v>
      </c>
      <c r="AH91" s="192">
        <f t="shared" si="13"/>
        <v>1</v>
      </c>
      <c r="AI91" s="192">
        <f t="shared" si="14"/>
        <v>1</v>
      </c>
      <c r="AJ91" s="192">
        <f t="shared" si="15"/>
        <v>1</v>
      </c>
      <c r="AK91" s="192">
        <f t="shared" si="16"/>
        <v>1</v>
      </c>
      <c r="AL91" s="192">
        <f t="shared" si="17"/>
        <v>1</v>
      </c>
    </row>
    <row r="92" spans="2:38" ht="32.25" customHeight="1" x14ac:dyDescent="0.25">
      <c r="B92" s="7">
        <f t="shared" si="6"/>
        <v>62</v>
      </c>
      <c r="C92" s="4"/>
      <c r="D92" s="4"/>
      <c r="E92" s="4"/>
      <c r="F92" s="230" t="str">
        <f>IF('תנאי סף'!AO92&lt;&gt;1,"",'תנאי סף'!F92)</f>
        <v>דריה- הרכב אינסטרומנטלי</v>
      </c>
      <c r="G92" s="159">
        <f>IF($F92="","",'מספר הרצות'!G92)</f>
        <v>10</v>
      </c>
      <c r="H92" s="6">
        <v>7</v>
      </c>
      <c r="I92" s="6">
        <v>0</v>
      </c>
      <c r="J92" s="6">
        <v>0</v>
      </c>
      <c r="K92" s="6">
        <v>0</v>
      </c>
      <c r="L92" s="6">
        <v>0</v>
      </c>
      <c r="M92" s="6">
        <v>0</v>
      </c>
      <c r="N92" s="6">
        <v>3</v>
      </c>
      <c r="O92" s="6">
        <v>0</v>
      </c>
      <c r="P92" s="177"/>
      <c r="Q92" s="8"/>
      <c r="R92" s="8"/>
      <c r="S92" s="8"/>
      <c r="T92" s="8"/>
      <c r="U92" s="159">
        <f t="shared" si="7"/>
        <v>4.5</v>
      </c>
      <c r="V92" s="8">
        <v>1</v>
      </c>
      <c r="W92" s="8">
        <f t="shared" si="8"/>
        <v>4.5</v>
      </c>
      <c r="X92" s="8">
        <v>1</v>
      </c>
      <c r="Y92" s="8">
        <f t="shared" si="9"/>
        <v>4.5</v>
      </c>
      <c r="Z92" s="123">
        <f t="shared" si="10"/>
        <v>1.0055865921787709E-2</v>
      </c>
      <c r="AA92" s="192">
        <f t="shared" si="11"/>
        <v>1</v>
      </c>
      <c r="AB92" s="192">
        <f t="shared" ref="AB92:AC130" si="22">IF($F92="","",AB$30)</f>
        <v>0</v>
      </c>
      <c r="AC92" s="192">
        <f t="shared" si="22"/>
        <v>1</v>
      </c>
      <c r="AE92" s="192">
        <f t="shared" si="18"/>
        <v>1</v>
      </c>
      <c r="AF92" s="192">
        <f t="shared" si="19"/>
        <v>1</v>
      </c>
      <c r="AG92" s="192">
        <f t="shared" si="20"/>
        <v>1</v>
      </c>
      <c r="AH92" s="192">
        <f t="shared" si="13"/>
        <v>1</v>
      </c>
      <c r="AI92" s="192">
        <f t="shared" si="14"/>
        <v>1</v>
      </c>
      <c r="AJ92" s="192">
        <f t="shared" si="15"/>
        <v>1</v>
      </c>
      <c r="AK92" s="192">
        <f t="shared" si="16"/>
        <v>1</v>
      </c>
      <c r="AL92" s="192">
        <f t="shared" si="17"/>
        <v>1</v>
      </c>
    </row>
    <row r="93" spans="2:38" ht="32.25" customHeight="1" x14ac:dyDescent="0.25">
      <c r="B93" s="7">
        <f t="shared" si="6"/>
        <v>63</v>
      </c>
      <c r="C93" s="4"/>
      <c r="D93" s="4"/>
      <c r="E93" s="4"/>
      <c r="F93" s="230" t="str">
        <f>IF('תנאי סף'!AO93&lt;&gt;1,"",'תנאי סף'!F93)</f>
        <v>להקת שלוש</v>
      </c>
      <c r="G93" s="159">
        <f>IF($F93="","",'מספר הרצות'!G93)</f>
        <v>13</v>
      </c>
      <c r="H93" s="6">
        <v>12</v>
      </c>
      <c r="I93" s="6">
        <v>0</v>
      </c>
      <c r="J93" s="6">
        <v>0</v>
      </c>
      <c r="K93" s="6">
        <v>0</v>
      </c>
      <c r="L93" s="6">
        <v>0</v>
      </c>
      <c r="M93" s="6">
        <v>1</v>
      </c>
      <c r="N93" s="6">
        <v>0</v>
      </c>
      <c r="O93" s="6">
        <v>0</v>
      </c>
      <c r="P93" s="177"/>
      <c r="Q93" s="8"/>
      <c r="R93" s="8"/>
      <c r="S93" s="8"/>
      <c r="T93" s="8"/>
      <c r="U93" s="159">
        <f t="shared" si="7"/>
        <v>1</v>
      </c>
      <c r="V93" s="8">
        <v>1</v>
      </c>
      <c r="W93" s="8">
        <f t="shared" si="8"/>
        <v>1</v>
      </c>
      <c r="X93" s="8">
        <v>1</v>
      </c>
      <c r="Y93" s="8">
        <f t="shared" si="9"/>
        <v>1</v>
      </c>
      <c r="Z93" s="123">
        <f t="shared" si="10"/>
        <v>2.2346368715083797E-3</v>
      </c>
      <c r="AA93" s="192">
        <f t="shared" si="11"/>
        <v>1</v>
      </c>
      <c r="AB93" s="192">
        <f t="shared" si="22"/>
        <v>0</v>
      </c>
      <c r="AC93" s="192">
        <f t="shared" si="22"/>
        <v>1</v>
      </c>
      <c r="AE93" s="192">
        <f t="shared" si="18"/>
        <v>1</v>
      </c>
      <c r="AF93" s="192">
        <f t="shared" si="19"/>
        <v>1</v>
      </c>
      <c r="AG93" s="192">
        <f t="shared" si="20"/>
        <v>1</v>
      </c>
      <c r="AH93" s="192">
        <f t="shared" si="13"/>
        <v>1</v>
      </c>
      <c r="AI93" s="192">
        <f t="shared" si="14"/>
        <v>1</v>
      </c>
      <c r="AJ93" s="192">
        <f t="shared" si="15"/>
        <v>1</v>
      </c>
      <c r="AK93" s="192">
        <f t="shared" si="16"/>
        <v>1</v>
      </c>
      <c r="AL93" s="192">
        <f t="shared" si="17"/>
        <v>1</v>
      </c>
    </row>
    <row r="94" spans="2:38" ht="32.25" customHeight="1" x14ac:dyDescent="0.25">
      <c r="B94" s="7">
        <f t="shared" si="6"/>
        <v>64</v>
      </c>
      <c r="C94" s="4"/>
      <c r="D94" s="4"/>
      <c r="E94" s="4"/>
      <c r="F94" s="230" t="str">
        <f>IF('תנאי סף'!AO94&lt;&gt;1,"",'תנאי סף'!F94)</f>
        <v>רביעיית טוסקאניני</v>
      </c>
      <c r="G94" s="159">
        <f>IF($F94="","",'מספר הרצות'!G94)</f>
        <v>13</v>
      </c>
      <c r="H94" s="6">
        <v>6</v>
      </c>
      <c r="I94" s="6">
        <v>0</v>
      </c>
      <c r="J94" s="6">
        <v>0</v>
      </c>
      <c r="K94" s="6">
        <v>0</v>
      </c>
      <c r="L94" s="6">
        <v>0</v>
      </c>
      <c r="M94" s="6">
        <v>0</v>
      </c>
      <c r="N94" s="6">
        <v>7</v>
      </c>
      <c r="O94" s="6">
        <v>0</v>
      </c>
      <c r="P94" s="177"/>
      <c r="Q94" s="8"/>
      <c r="R94" s="8"/>
      <c r="S94" s="8"/>
      <c r="T94" s="8"/>
      <c r="U94" s="159">
        <f t="shared" si="7"/>
        <v>10.5</v>
      </c>
      <c r="V94" s="8">
        <v>1</v>
      </c>
      <c r="W94" s="8">
        <f t="shared" si="8"/>
        <v>10.5</v>
      </c>
      <c r="X94" s="8">
        <v>1</v>
      </c>
      <c r="Y94" s="8">
        <f t="shared" si="9"/>
        <v>10.5</v>
      </c>
      <c r="Z94" s="123">
        <f t="shared" si="10"/>
        <v>2.3463687150837988E-2</v>
      </c>
      <c r="AA94" s="192">
        <f t="shared" si="11"/>
        <v>1</v>
      </c>
      <c r="AB94" s="192">
        <f t="shared" si="22"/>
        <v>0</v>
      </c>
      <c r="AC94" s="192">
        <f t="shared" si="22"/>
        <v>1</v>
      </c>
      <c r="AE94" s="192">
        <f t="shared" si="18"/>
        <v>1</v>
      </c>
      <c r="AF94" s="192">
        <f t="shared" si="19"/>
        <v>1</v>
      </c>
      <c r="AG94" s="192">
        <f t="shared" si="20"/>
        <v>1</v>
      </c>
      <c r="AH94" s="192">
        <f t="shared" si="13"/>
        <v>1</v>
      </c>
      <c r="AI94" s="192">
        <f t="shared" si="14"/>
        <v>1</v>
      </c>
      <c r="AJ94" s="192">
        <f t="shared" si="15"/>
        <v>1</v>
      </c>
      <c r="AK94" s="192">
        <f t="shared" si="16"/>
        <v>1</v>
      </c>
      <c r="AL94" s="192">
        <f t="shared" si="17"/>
        <v>1</v>
      </c>
    </row>
    <row r="95" spans="2:38" ht="32.25" customHeight="1" x14ac:dyDescent="0.25">
      <c r="B95" s="7">
        <f t="shared" si="6"/>
        <v>65</v>
      </c>
      <c r="C95" s="4"/>
      <c r="D95" s="4"/>
      <c r="E95" s="4"/>
      <c r="F95" s="230" t="str">
        <f>IF('תנאי סף'!AO95&lt;&gt;1,"",'תנאי סף'!F95)</f>
        <v>תקוע-קבוצה מוזיקלית - 'דאפה' 2024</v>
      </c>
      <c r="G95" s="159">
        <f>IF($F95="","",'מספר הרצות'!G95)</f>
        <v>9</v>
      </c>
      <c r="H95" s="6">
        <v>0</v>
      </c>
      <c r="I95" s="6">
        <v>0</v>
      </c>
      <c r="J95" s="6">
        <v>1</v>
      </c>
      <c r="K95" s="6">
        <v>0</v>
      </c>
      <c r="L95" s="6">
        <v>7</v>
      </c>
      <c r="M95" s="6">
        <v>0</v>
      </c>
      <c r="N95" s="6">
        <v>0</v>
      </c>
      <c r="O95" s="6">
        <v>1</v>
      </c>
      <c r="P95" s="177"/>
      <c r="Q95" s="8"/>
      <c r="R95" s="8"/>
      <c r="S95" s="8"/>
      <c r="T95" s="8"/>
      <c r="U95" s="159">
        <f t="shared" si="7"/>
        <v>7.5</v>
      </c>
      <c r="V95" s="8">
        <v>1</v>
      </c>
      <c r="W95" s="8">
        <f t="shared" si="8"/>
        <v>7.5</v>
      </c>
      <c r="X95" s="8">
        <v>1</v>
      </c>
      <c r="Y95" s="8">
        <f t="shared" si="9"/>
        <v>7.5</v>
      </c>
      <c r="Z95" s="123">
        <f t="shared" si="10"/>
        <v>1.6759776536312849E-2</v>
      </c>
      <c r="AA95" s="192">
        <f t="shared" si="11"/>
        <v>1</v>
      </c>
      <c r="AB95" s="192">
        <f t="shared" si="22"/>
        <v>0</v>
      </c>
      <c r="AC95" s="192">
        <f t="shared" si="22"/>
        <v>1</v>
      </c>
      <c r="AE95" s="192">
        <f t="shared" si="18"/>
        <v>1</v>
      </c>
      <c r="AF95" s="192">
        <f t="shared" si="19"/>
        <v>1</v>
      </c>
      <c r="AG95" s="192">
        <f t="shared" si="20"/>
        <v>1</v>
      </c>
      <c r="AH95" s="192">
        <f t="shared" si="13"/>
        <v>1</v>
      </c>
      <c r="AI95" s="192">
        <f t="shared" si="14"/>
        <v>1</v>
      </c>
      <c r="AJ95" s="192">
        <f t="shared" si="15"/>
        <v>1</v>
      </c>
      <c r="AK95" s="192">
        <f t="shared" si="16"/>
        <v>1</v>
      </c>
      <c r="AL95" s="192">
        <f t="shared" si="17"/>
        <v>1</v>
      </c>
    </row>
    <row r="96" spans="2:38" ht="32.25" customHeight="1" x14ac:dyDescent="0.25">
      <c r="B96" s="7">
        <f t="shared" ref="B96:B130" si="23">IF(F96="","",ROW()-30)</f>
        <v>66</v>
      </c>
      <c r="C96" s="4"/>
      <c r="D96" s="4"/>
      <c r="E96" s="4"/>
      <c r="F96" s="230" t="str">
        <f>IF('תנאי סף'!AO96&lt;&gt;1,"",'תנאי סף'!F96)</f>
        <v>טריו בן חיים</v>
      </c>
      <c r="G96" s="159">
        <f>IF($F96="","",'מספר הרצות'!G96)</f>
        <v>7</v>
      </c>
      <c r="H96" s="6">
        <v>3</v>
      </c>
      <c r="I96" s="6">
        <v>0</v>
      </c>
      <c r="J96" s="6">
        <v>1</v>
      </c>
      <c r="K96" s="6">
        <v>1</v>
      </c>
      <c r="L96" s="6">
        <v>0</v>
      </c>
      <c r="M96" s="6">
        <v>1</v>
      </c>
      <c r="N96" s="6">
        <v>0</v>
      </c>
      <c r="O96" s="6">
        <v>1</v>
      </c>
      <c r="P96" s="177"/>
      <c r="Q96" s="8"/>
      <c r="R96" s="8"/>
      <c r="S96" s="8"/>
      <c r="T96" s="8"/>
      <c r="U96" s="159">
        <f t="shared" ref="U96:U130" si="24">IF($F96="","",IF(OR(SUM(H96:O96)&lt;&gt;G96,$AA96&lt;&gt;1),$AB$1,IFERROR(MMULT(H96:K96,$G$5:$G$8)+MMULT(L96:O96,$H$5:$H$8),$AB$1)))</f>
        <v>6.5</v>
      </c>
      <c r="V96" s="8">
        <v>1</v>
      </c>
      <c r="W96" s="8">
        <f t="shared" ref="W96:W130" si="25">IF($F96="","",IF($AA96&lt;&gt;1,$AB$1,IFERROR(U96*V96,$AB$1)))</f>
        <v>6.5</v>
      </c>
      <c r="X96" s="8">
        <v>1</v>
      </c>
      <c r="Y96" s="8">
        <f t="shared" ref="Y96:Y130" si="26">IF($F96="","",IF($AA96&lt;&gt;1,$AB$1,IFERROR(W96*X96,$AB$1)))</f>
        <v>6.5</v>
      </c>
      <c r="Z96" s="123">
        <f t="shared" ref="Z96:Z130" si="27">IF($F96="","",IF(OR($AA96&lt;&gt;1,Y96=$AB$1),$AB$1,IFERROR(Y96/SUM($Y$31:$Y$130),0)))</f>
        <v>1.452513966480447E-2</v>
      </c>
      <c r="AA96" s="192">
        <f t="shared" ref="AA96:AA130" si="28">IF(SUM(AD96:AV96)=COUNT(AD96:AV96),1,0)</f>
        <v>1</v>
      </c>
      <c r="AB96" s="192">
        <f t="shared" si="22"/>
        <v>0</v>
      </c>
      <c r="AC96" s="192">
        <f t="shared" si="22"/>
        <v>1</v>
      </c>
      <c r="AE96" s="192">
        <f t="shared" si="18"/>
        <v>1</v>
      </c>
      <c r="AF96" s="192">
        <f t="shared" si="19"/>
        <v>1</v>
      </c>
      <c r="AG96" s="192">
        <f t="shared" si="20"/>
        <v>1</v>
      </c>
      <c r="AH96" s="192">
        <f t="shared" si="13"/>
        <v>1</v>
      </c>
      <c r="AI96" s="192">
        <f t="shared" si="14"/>
        <v>1</v>
      </c>
      <c r="AJ96" s="192">
        <f t="shared" si="15"/>
        <v>1</v>
      </c>
      <c r="AK96" s="192">
        <f t="shared" si="16"/>
        <v>1</v>
      </c>
      <c r="AL96" s="192">
        <f t="shared" si="17"/>
        <v>1</v>
      </c>
    </row>
    <row r="97" spans="2:38" ht="32.25" customHeight="1" x14ac:dyDescent="0.25">
      <c r="B97" s="7" t="str">
        <f t="shared" si="23"/>
        <v/>
      </c>
      <c r="C97" s="4"/>
      <c r="D97" s="4"/>
      <c r="E97" s="4"/>
      <c r="F97" s="230" t="str">
        <f>IF('תנאי סף'!AO97&lt;&gt;1,"",'תנאי סף'!F97)</f>
        <v/>
      </c>
      <c r="G97" s="159" t="str">
        <f>IF($F97="","",'מספר הרצות'!G97)</f>
        <v/>
      </c>
      <c r="H97" s="6"/>
      <c r="I97" s="6"/>
      <c r="J97" s="6"/>
      <c r="K97" s="6"/>
      <c r="L97" s="6"/>
      <c r="M97" s="6"/>
      <c r="N97" s="6"/>
      <c r="O97" s="6"/>
      <c r="P97" s="177"/>
      <c r="Q97" s="8"/>
      <c r="R97" s="8"/>
      <c r="S97" s="8"/>
      <c r="T97" s="8"/>
      <c r="U97" s="159" t="str">
        <f t="shared" si="24"/>
        <v/>
      </c>
      <c r="V97" s="8">
        <v>1</v>
      </c>
      <c r="W97" s="8" t="str">
        <f t="shared" si="25"/>
        <v/>
      </c>
      <c r="X97" s="8">
        <v>1</v>
      </c>
      <c r="Y97" s="8" t="str">
        <f t="shared" si="26"/>
        <v/>
      </c>
      <c r="Z97" s="123" t="str">
        <f t="shared" si="27"/>
        <v/>
      </c>
      <c r="AA97" s="192">
        <f t="shared" si="28"/>
        <v>0</v>
      </c>
      <c r="AB97" s="192" t="str">
        <f t="shared" si="22"/>
        <v/>
      </c>
      <c r="AC97" s="192" t="str">
        <f t="shared" si="22"/>
        <v/>
      </c>
      <c r="AE97" s="192">
        <f t="shared" si="18"/>
        <v>0</v>
      </c>
      <c r="AF97" s="192">
        <f t="shared" si="19"/>
        <v>0</v>
      </c>
      <c r="AG97" s="192">
        <f t="shared" si="20"/>
        <v>0</v>
      </c>
      <c r="AH97" s="192">
        <f t="shared" si="13"/>
        <v>0</v>
      </c>
      <c r="AI97" s="192">
        <f t="shared" si="14"/>
        <v>0</v>
      </c>
      <c r="AJ97" s="192">
        <f t="shared" si="15"/>
        <v>0</v>
      </c>
      <c r="AK97" s="192">
        <f t="shared" si="16"/>
        <v>0</v>
      </c>
      <c r="AL97" s="192">
        <f t="shared" si="17"/>
        <v>0</v>
      </c>
    </row>
    <row r="98" spans="2:38" ht="32.25" customHeight="1" x14ac:dyDescent="0.25">
      <c r="B98" s="7">
        <f t="shared" si="23"/>
        <v>68</v>
      </c>
      <c r="C98" s="4"/>
      <c r="D98" s="4"/>
      <c r="E98" s="4"/>
      <c r="F98" s="230" t="str">
        <f>IF('תנאי סף'!AO98&lt;&gt;1,"",'תנאי סף'!F98)</f>
        <v>אמיתי אריכא והפרויקט D1</v>
      </c>
      <c r="G98" s="159">
        <f>IF($F98="","",'מספר הרצות'!G98)</f>
        <v>12</v>
      </c>
      <c r="H98" s="6">
        <v>3</v>
      </c>
      <c r="I98" s="6">
        <v>1</v>
      </c>
      <c r="J98" s="6">
        <v>4</v>
      </c>
      <c r="K98" s="6">
        <v>0</v>
      </c>
      <c r="L98" s="6">
        <v>0</v>
      </c>
      <c r="M98" s="6">
        <v>0</v>
      </c>
      <c r="N98" s="6">
        <v>0</v>
      </c>
      <c r="O98" s="6">
        <v>4</v>
      </c>
      <c r="P98" s="177"/>
      <c r="Q98" s="8"/>
      <c r="R98" s="8"/>
      <c r="S98" s="8"/>
      <c r="T98" s="8"/>
      <c r="U98" s="159">
        <f t="shared" si="24"/>
        <v>16.5</v>
      </c>
      <c r="V98" s="8">
        <v>1</v>
      </c>
      <c r="W98" s="8">
        <f t="shared" si="25"/>
        <v>16.5</v>
      </c>
      <c r="X98" s="8">
        <v>1</v>
      </c>
      <c r="Y98" s="8">
        <f t="shared" si="26"/>
        <v>16.5</v>
      </c>
      <c r="Z98" s="123">
        <f t="shared" si="27"/>
        <v>3.6871508379888271E-2</v>
      </c>
      <c r="AA98" s="192">
        <f t="shared" si="28"/>
        <v>1</v>
      </c>
      <c r="AB98" s="192">
        <f t="shared" si="22"/>
        <v>0</v>
      </c>
      <c r="AC98" s="192">
        <f t="shared" si="22"/>
        <v>1</v>
      </c>
      <c r="AE98" s="192">
        <f t="shared" si="18"/>
        <v>1</v>
      </c>
      <c r="AF98" s="192">
        <f t="shared" si="19"/>
        <v>1</v>
      </c>
      <c r="AG98" s="192">
        <f t="shared" si="20"/>
        <v>1</v>
      </c>
      <c r="AH98" s="192">
        <f t="shared" si="13"/>
        <v>1</v>
      </c>
      <c r="AI98" s="192">
        <f t="shared" si="14"/>
        <v>1</v>
      </c>
      <c r="AJ98" s="192">
        <f t="shared" si="15"/>
        <v>1</v>
      </c>
      <c r="AK98" s="192">
        <f t="shared" si="16"/>
        <v>1</v>
      </c>
      <c r="AL98" s="192">
        <f t="shared" si="17"/>
        <v>1</v>
      </c>
    </row>
    <row r="99" spans="2:38" ht="32.25" customHeight="1" x14ac:dyDescent="0.25">
      <c r="B99" s="7" t="str">
        <f t="shared" si="23"/>
        <v/>
      </c>
      <c r="C99" s="4"/>
      <c r="D99" s="4"/>
      <c r="E99" s="4"/>
      <c r="F99" s="230" t="str">
        <f>IF('תנאי סף'!AO99&lt;&gt;1,"",'תנאי סף'!F99)</f>
        <v/>
      </c>
      <c r="G99" s="159" t="str">
        <f>IF($F99="","",'מספר הרצות'!G99)</f>
        <v/>
      </c>
      <c r="H99" s="6"/>
      <c r="I99" s="6"/>
      <c r="J99" s="6"/>
      <c r="K99" s="6"/>
      <c r="L99" s="6"/>
      <c r="M99" s="6"/>
      <c r="N99" s="6"/>
      <c r="O99" s="6"/>
      <c r="P99" s="177"/>
      <c r="Q99" s="8"/>
      <c r="R99" s="8"/>
      <c r="S99" s="8"/>
      <c r="T99" s="8"/>
      <c r="U99" s="159" t="str">
        <f t="shared" si="24"/>
        <v/>
      </c>
      <c r="V99" s="8">
        <v>1</v>
      </c>
      <c r="W99" s="8" t="str">
        <f t="shared" si="25"/>
        <v/>
      </c>
      <c r="X99" s="8">
        <v>1</v>
      </c>
      <c r="Y99" s="8" t="str">
        <f t="shared" si="26"/>
        <v/>
      </c>
      <c r="Z99" s="123" t="str">
        <f t="shared" si="27"/>
        <v/>
      </c>
      <c r="AA99" s="192">
        <f t="shared" si="28"/>
        <v>0</v>
      </c>
      <c r="AB99" s="192" t="str">
        <f t="shared" si="22"/>
        <v/>
      </c>
      <c r="AC99" s="192" t="str">
        <f t="shared" si="22"/>
        <v/>
      </c>
      <c r="AE99" s="192">
        <f t="shared" si="18"/>
        <v>0</v>
      </c>
      <c r="AF99" s="192">
        <f t="shared" si="19"/>
        <v>0</v>
      </c>
      <c r="AG99" s="192">
        <f t="shared" si="20"/>
        <v>0</v>
      </c>
      <c r="AH99" s="192">
        <f t="shared" si="13"/>
        <v>0</v>
      </c>
      <c r="AI99" s="192">
        <f t="shared" si="14"/>
        <v>0</v>
      </c>
      <c r="AJ99" s="192">
        <f t="shared" si="15"/>
        <v>0</v>
      </c>
      <c r="AK99" s="192">
        <f t="shared" si="16"/>
        <v>0</v>
      </c>
      <c r="AL99" s="192">
        <f t="shared" si="17"/>
        <v>0</v>
      </c>
    </row>
    <row r="100" spans="2:38" ht="32.25" customHeight="1" x14ac:dyDescent="0.25">
      <c r="B100" s="7" t="str">
        <f t="shared" si="23"/>
        <v/>
      </c>
      <c r="C100" s="4"/>
      <c r="D100" s="4"/>
      <c r="E100" s="4"/>
      <c r="F100" s="230" t="str">
        <f>IF('תנאי סף'!AO100&lt;&gt;1,"",'תנאי סף'!F100)</f>
        <v/>
      </c>
      <c r="G100" s="159" t="str">
        <f>IF($F100="","",'מספר הרצות'!G100)</f>
        <v/>
      </c>
      <c r="H100" s="6"/>
      <c r="I100" s="6"/>
      <c r="J100" s="6"/>
      <c r="K100" s="6"/>
      <c r="L100" s="6"/>
      <c r="M100" s="6"/>
      <c r="N100" s="6"/>
      <c r="O100" s="6"/>
      <c r="P100" s="177"/>
      <c r="Q100" s="8"/>
      <c r="R100" s="8"/>
      <c r="S100" s="8"/>
      <c r="T100" s="8"/>
      <c r="U100" s="159" t="str">
        <f t="shared" si="24"/>
        <v/>
      </c>
      <c r="V100" s="8">
        <v>1</v>
      </c>
      <c r="W100" s="8" t="str">
        <f t="shared" si="25"/>
        <v/>
      </c>
      <c r="X100" s="8">
        <v>1</v>
      </c>
      <c r="Y100" s="8" t="str">
        <f t="shared" si="26"/>
        <v/>
      </c>
      <c r="Z100" s="123" t="str">
        <f t="shared" si="27"/>
        <v/>
      </c>
      <c r="AA100" s="192">
        <f t="shared" si="28"/>
        <v>0</v>
      </c>
      <c r="AB100" s="192" t="str">
        <f t="shared" si="22"/>
        <v/>
      </c>
      <c r="AC100" s="192" t="str">
        <f t="shared" si="22"/>
        <v/>
      </c>
      <c r="AE100" s="192">
        <f t="shared" si="18"/>
        <v>0</v>
      </c>
      <c r="AF100" s="192">
        <f t="shared" si="19"/>
        <v>0</v>
      </c>
      <c r="AG100" s="192">
        <f t="shared" si="20"/>
        <v>0</v>
      </c>
      <c r="AH100" s="192">
        <f t="shared" si="13"/>
        <v>0</v>
      </c>
      <c r="AI100" s="192">
        <f t="shared" si="14"/>
        <v>0</v>
      </c>
      <c r="AJ100" s="192">
        <f t="shared" si="15"/>
        <v>0</v>
      </c>
      <c r="AK100" s="192">
        <f t="shared" si="16"/>
        <v>0</v>
      </c>
      <c r="AL100" s="192">
        <f t="shared" si="17"/>
        <v>0</v>
      </c>
    </row>
    <row r="101" spans="2:38" ht="32.25" customHeight="1" x14ac:dyDescent="0.25">
      <c r="B101" s="7" t="str">
        <f t="shared" si="23"/>
        <v/>
      </c>
      <c r="C101" s="4"/>
      <c r="D101" s="4"/>
      <c r="E101" s="4"/>
      <c r="F101" s="230" t="str">
        <f>IF('תנאי סף'!AO101&lt;&gt;1,"",'תנאי סף'!F101)</f>
        <v/>
      </c>
      <c r="G101" s="159" t="str">
        <f>IF($F101="","",'מספר הרצות'!G101)</f>
        <v/>
      </c>
      <c r="H101" s="6"/>
      <c r="I101" s="6"/>
      <c r="J101" s="6"/>
      <c r="K101" s="6"/>
      <c r="L101" s="6"/>
      <c r="M101" s="6"/>
      <c r="N101" s="6"/>
      <c r="O101" s="6"/>
      <c r="P101" s="177"/>
      <c r="Q101" s="8"/>
      <c r="R101" s="8"/>
      <c r="S101" s="8"/>
      <c r="T101" s="8"/>
      <c r="U101" s="159" t="str">
        <f t="shared" si="24"/>
        <v/>
      </c>
      <c r="V101" s="8">
        <v>1</v>
      </c>
      <c r="W101" s="8" t="str">
        <f t="shared" si="25"/>
        <v/>
      </c>
      <c r="X101" s="8">
        <v>1</v>
      </c>
      <c r="Y101" s="8" t="str">
        <f t="shared" si="26"/>
        <v/>
      </c>
      <c r="Z101" s="123" t="str">
        <f t="shared" si="27"/>
        <v/>
      </c>
      <c r="AA101" s="192">
        <f t="shared" si="28"/>
        <v>0</v>
      </c>
      <c r="AB101" s="192" t="str">
        <f t="shared" si="22"/>
        <v/>
      </c>
      <c r="AC101" s="192" t="str">
        <f t="shared" si="22"/>
        <v/>
      </c>
      <c r="AE101" s="192">
        <f t="shared" si="18"/>
        <v>0</v>
      </c>
      <c r="AF101" s="192">
        <f t="shared" si="19"/>
        <v>0</v>
      </c>
      <c r="AG101" s="192">
        <f t="shared" si="20"/>
        <v>0</v>
      </c>
      <c r="AH101" s="192">
        <f t="shared" si="13"/>
        <v>0</v>
      </c>
      <c r="AI101" s="192">
        <f t="shared" si="14"/>
        <v>0</v>
      </c>
      <c r="AJ101" s="192">
        <f t="shared" si="15"/>
        <v>0</v>
      </c>
      <c r="AK101" s="192">
        <f t="shared" si="16"/>
        <v>0</v>
      </c>
      <c r="AL101" s="192">
        <f t="shared" si="17"/>
        <v>0</v>
      </c>
    </row>
    <row r="102" spans="2:38" ht="32.25" customHeight="1" x14ac:dyDescent="0.25">
      <c r="B102" s="7" t="str">
        <f t="shared" si="23"/>
        <v/>
      </c>
      <c r="C102" s="4"/>
      <c r="D102" s="4"/>
      <c r="E102" s="4"/>
      <c r="F102" s="230" t="str">
        <f>IF('תנאי סף'!AO102&lt;&gt;1,"",'תנאי סף'!F102)</f>
        <v/>
      </c>
      <c r="G102" s="159" t="str">
        <f>IF($F102="","",'מספר הרצות'!G102)</f>
        <v/>
      </c>
      <c r="H102" s="6"/>
      <c r="I102" s="6"/>
      <c r="J102" s="6"/>
      <c r="K102" s="6"/>
      <c r="L102" s="6"/>
      <c r="M102" s="6"/>
      <c r="N102" s="6"/>
      <c r="O102" s="6"/>
      <c r="P102" s="177"/>
      <c r="Q102" s="8"/>
      <c r="R102" s="8"/>
      <c r="S102" s="8"/>
      <c r="T102" s="8"/>
      <c r="U102" s="159" t="str">
        <f t="shared" si="24"/>
        <v/>
      </c>
      <c r="V102" s="8">
        <v>1</v>
      </c>
      <c r="W102" s="8" t="str">
        <f t="shared" si="25"/>
        <v/>
      </c>
      <c r="X102" s="8">
        <v>1</v>
      </c>
      <c r="Y102" s="8" t="str">
        <f t="shared" si="26"/>
        <v/>
      </c>
      <c r="Z102" s="123" t="str">
        <f t="shared" si="27"/>
        <v/>
      </c>
      <c r="AA102" s="192">
        <f t="shared" si="28"/>
        <v>0</v>
      </c>
      <c r="AB102" s="192" t="str">
        <f t="shared" si="22"/>
        <v/>
      </c>
      <c r="AC102" s="192" t="str">
        <f t="shared" si="22"/>
        <v/>
      </c>
      <c r="AE102" s="192">
        <f t="shared" si="18"/>
        <v>0</v>
      </c>
      <c r="AF102" s="192">
        <f t="shared" si="19"/>
        <v>0</v>
      </c>
      <c r="AG102" s="192">
        <f t="shared" si="20"/>
        <v>0</v>
      </c>
      <c r="AH102" s="192">
        <f t="shared" si="13"/>
        <v>0</v>
      </c>
      <c r="AI102" s="192">
        <f t="shared" si="14"/>
        <v>0</v>
      </c>
      <c r="AJ102" s="192">
        <f t="shared" si="15"/>
        <v>0</v>
      </c>
      <c r="AK102" s="192">
        <f t="shared" si="16"/>
        <v>0</v>
      </c>
      <c r="AL102" s="192">
        <f t="shared" si="17"/>
        <v>0</v>
      </c>
    </row>
    <row r="103" spans="2:38" ht="32.25" customHeight="1" x14ac:dyDescent="0.25">
      <c r="B103" s="7" t="str">
        <f t="shared" si="23"/>
        <v/>
      </c>
      <c r="C103" s="4"/>
      <c r="D103" s="4"/>
      <c r="E103" s="4"/>
      <c r="F103" s="230" t="str">
        <f>IF('תנאי סף'!AO103&lt;&gt;1,"",'תנאי סף'!F103)</f>
        <v/>
      </c>
      <c r="G103" s="159" t="str">
        <f>IF($F103="","",'מספר הרצות'!G103)</f>
        <v/>
      </c>
      <c r="H103" s="6"/>
      <c r="I103" s="6"/>
      <c r="J103" s="6"/>
      <c r="K103" s="6"/>
      <c r="L103" s="6"/>
      <c r="M103" s="6"/>
      <c r="N103" s="6"/>
      <c r="O103" s="6"/>
      <c r="P103" s="177"/>
      <c r="Q103" s="8"/>
      <c r="R103" s="8"/>
      <c r="S103" s="8"/>
      <c r="T103" s="8"/>
      <c r="U103" s="159" t="str">
        <f t="shared" si="24"/>
        <v/>
      </c>
      <c r="V103" s="8">
        <v>1</v>
      </c>
      <c r="W103" s="8" t="str">
        <f t="shared" si="25"/>
        <v/>
      </c>
      <c r="X103" s="8">
        <v>1</v>
      </c>
      <c r="Y103" s="8" t="str">
        <f t="shared" si="26"/>
        <v/>
      </c>
      <c r="Z103" s="123" t="str">
        <f t="shared" si="27"/>
        <v/>
      </c>
      <c r="AA103" s="192">
        <f t="shared" si="28"/>
        <v>0</v>
      </c>
      <c r="AB103" s="192" t="str">
        <f t="shared" si="22"/>
        <v/>
      </c>
      <c r="AC103" s="192" t="str">
        <f t="shared" si="22"/>
        <v/>
      </c>
      <c r="AE103" s="192">
        <f t="shared" si="18"/>
        <v>0</v>
      </c>
      <c r="AF103" s="192">
        <f t="shared" si="19"/>
        <v>0</v>
      </c>
      <c r="AG103" s="192">
        <f t="shared" si="20"/>
        <v>0</v>
      </c>
      <c r="AH103" s="192">
        <f t="shared" si="13"/>
        <v>0</v>
      </c>
      <c r="AI103" s="192">
        <f t="shared" si="14"/>
        <v>0</v>
      </c>
      <c r="AJ103" s="192">
        <f t="shared" si="15"/>
        <v>0</v>
      </c>
      <c r="AK103" s="192">
        <f t="shared" si="16"/>
        <v>0</v>
      </c>
      <c r="AL103" s="192">
        <f t="shared" si="17"/>
        <v>0</v>
      </c>
    </row>
    <row r="104" spans="2:38" ht="32.25" customHeight="1" x14ac:dyDescent="0.25">
      <c r="B104" s="7" t="str">
        <f t="shared" si="23"/>
        <v/>
      </c>
      <c r="C104" s="4"/>
      <c r="D104" s="4"/>
      <c r="E104" s="4"/>
      <c r="F104" s="230" t="str">
        <f>IF('תנאי סף'!AO104&lt;&gt;1,"",'תנאי סף'!F104)</f>
        <v/>
      </c>
      <c r="G104" s="159" t="str">
        <f>IF($F104="","",'מספר הרצות'!G104)</f>
        <v/>
      </c>
      <c r="H104" s="6"/>
      <c r="I104" s="6"/>
      <c r="J104" s="6"/>
      <c r="K104" s="6"/>
      <c r="L104" s="6"/>
      <c r="M104" s="6"/>
      <c r="N104" s="6"/>
      <c r="O104" s="6"/>
      <c r="P104" s="177"/>
      <c r="Q104" s="8"/>
      <c r="R104" s="8"/>
      <c r="S104" s="8"/>
      <c r="T104" s="8"/>
      <c r="U104" s="159" t="str">
        <f t="shared" si="24"/>
        <v/>
      </c>
      <c r="V104" s="8">
        <v>1</v>
      </c>
      <c r="W104" s="8" t="str">
        <f t="shared" si="25"/>
        <v/>
      </c>
      <c r="X104" s="8">
        <v>1</v>
      </c>
      <c r="Y104" s="8" t="str">
        <f t="shared" si="26"/>
        <v/>
      </c>
      <c r="Z104" s="123" t="str">
        <f t="shared" si="27"/>
        <v/>
      </c>
      <c r="AA104" s="192">
        <f t="shared" si="28"/>
        <v>0</v>
      </c>
      <c r="AB104" s="192" t="str">
        <f t="shared" si="22"/>
        <v/>
      </c>
      <c r="AC104" s="192" t="str">
        <f t="shared" si="22"/>
        <v/>
      </c>
      <c r="AE104" s="192">
        <f t="shared" si="18"/>
        <v>0</v>
      </c>
      <c r="AF104" s="192">
        <f t="shared" si="19"/>
        <v>0</v>
      </c>
      <c r="AG104" s="192">
        <f t="shared" si="20"/>
        <v>0</v>
      </c>
      <c r="AH104" s="192">
        <f t="shared" si="13"/>
        <v>0</v>
      </c>
      <c r="AI104" s="192">
        <f t="shared" si="14"/>
        <v>0</v>
      </c>
      <c r="AJ104" s="192">
        <f t="shared" si="15"/>
        <v>0</v>
      </c>
      <c r="AK104" s="192">
        <f t="shared" si="16"/>
        <v>0</v>
      </c>
      <c r="AL104" s="192">
        <f t="shared" si="17"/>
        <v>0</v>
      </c>
    </row>
    <row r="105" spans="2:38" ht="32.25" customHeight="1" x14ac:dyDescent="0.25">
      <c r="B105" s="7">
        <f t="shared" si="23"/>
        <v>75</v>
      </c>
      <c r="C105" s="4"/>
      <c r="D105" s="4"/>
      <c r="E105" s="4"/>
      <c r="F105" s="230" t="str">
        <f>IF('תנאי סף'!AO105&lt;&gt;1,"",'תנאי סף'!F105)</f>
        <v>לבונטין 7</v>
      </c>
      <c r="G105" s="159">
        <f>IF($F105="","",'מספר הרצות'!G105)</f>
        <v>20</v>
      </c>
      <c r="H105" s="6">
        <v>20</v>
      </c>
      <c r="I105" s="6">
        <v>0</v>
      </c>
      <c r="J105" s="6">
        <v>0</v>
      </c>
      <c r="K105" s="6">
        <v>0</v>
      </c>
      <c r="L105" s="6">
        <v>0</v>
      </c>
      <c r="M105" s="6">
        <v>0</v>
      </c>
      <c r="N105" s="6">
        <v>0</v>
      </c>
      <c r="O105" s="6">
        <v>0</v>
      </c>
      <c r="P105" s="177"/>
      <c r="Q105" s="8"/>
      <c r="R105" s="8"/>
      <c r="S105" s="8"/>
      <c r="T105" s="8"/>
      <c r="U105" s="159">
        <f t="shared" si="24"/>
        <v>0</v>
      </c>
      <c r="V105" s="8">
        <v>1</v>
      </c>
      <c r="W105" s="8">
        <f t="shared" si="25"/>
        <v>0</v>
      </c>
      <c r="X105" s="8">
        <v>1</v>
      </c>
      <c r="Y105" s="8">
        <f t="shared" si="26"/>
        <v>0</v>
      </c>
      <c r="Z105" s="123">
        <f t="shared" si="27"/>
        <v>0</v>
      </c>
      <c r="AA105" s="192">
        <f t="shared" si="28"/>
        <v>1</v>
      </c>
      <c r="AB105" s="192">
        <f t="shared" si="22"/>
        <v>0</v>
      </c>
      <c r="AC105" s="192">
        <f t="shared" si="22"/>
        <v>1</v>
      </c>
      <c r="AE105" s="192">
        <f t="shared" si="18"/>
        <v>1</v>
      </c>
      <c r="AF105" s="192">
        <f t="shared" si="19"/>
        <v>1</v>
      </c>
      <c r="AG105" s="192">
        <f t="shared" si="20"/>
        <v>1</v>
      </c>
      <c r="AH105" s="192">
        <f t="shared" si="13"/>
        <v>1</v>
      </c>
      <c r="AI105" s="192">
        <f t="shared" si="14"/>
        <v>1</v>
      </c>
      <c r="AJ105" s="192">
        <f t="shared" si="15"/>
        <v>1</v>
      </c>
      <c r="AK105" s="192">
        <f t="shared" si="16"/>
        <v>1</v>
      </c>
      <c r="AL105" s="192">
        <f t="shared" si="17"/>
        <v>1</v>
      </c>
    </row>
    <row r="106" spans="2:38" ht="32.25" customHeight="1" x14ac:dyDescent="0.25">
      <c r="B106" s="7">
        <f t="shared" si="23"/>
        <v>76</v>
      </c>
      <c r="C106" s="4"/>
      <c r="D106" s="4"/>
      <c r="E106" s="4"/>
      <c r="F106" s="230" t="str">
        <f>IF('תנאי סף'!AO106&lt;&gt;1,"",'תנאי סף'!F106)</f>
        <v>מולטי פיאנו- פליציה בלומנטל</v>
      </c>
      <c r="G106" s="159">
        <f>IF($F106="","",'מספר הרצות'!G106)</f>
        <v>10</v>
      </c>
      <c r="H106" s="6">
        <v>4</v>
      </c>
      <c r="I106" s="6">
        <v>0</v>
      </c>
      <c r="J106" s="6">
        <v>0</v>
      </c>
      <c r="K106" s="6">
        <v>0</v>
      </c>
      <c r="L106" s="6">
        <v>0</v>
      </c>
      <c r="M106" s="6">
        <v>0</v>
      </c>
      <c r="N106" s="6">
        <v>2</v>
      </c>
      <c r="O106" s="6">
        <v>4</v>
      </c>
      <c r="P106" s="177"/>
      <c r="Q106" s="8"/>
      <c r="R106" s="8"/>
      <c r="S106" s="8"/>
      <c r="T106" s="8"/>
      <c r="U106" s="159">
        <f t="shared" si="24"/>
        <v>15</v>
      </c>
      <c r="V106" s="8">
        <v>1</v>
      </c>
      <c r="W106" s="8">
        <f t="shared" si="25"/>
        <v>15</v>
      </c>
      <c r="X106" s="8">
        <v>1</v>
      </c>
      <c r="Y106" s="8">
        <f t="shared" si="26"/>
        <v>15</v>
      </c>
      <c r="Z106" s="123">
        <f t="shared" si="27"/>
        <v>3.3519553072625698E-2</v>
      </c>
      <c r="AA106" s="192">
        <f t="shared" si="28"/>
        <v>1</v>
      </c>
      <c r="AB106" s="192">
        <f t="shared" si="22"/>
        <v>0</v>
      </c>
      <c r="AC106" s="192">
        <f t="shared" si="22"/>
        <v>1</v>
      </c>
      <c r="AE106" s="192">
        <f t="shared" si="18"/>
        <v>1</v>
      </c>
      <c r="AF106" s="192">
        <f t="shared" si="19"/>
        <v>1</v>
      </c>
      <c r="AG106" s="192">
        <f t="shared" si="20"/>
        <v>1</v>
      </c>
      <c r="AH106" s="192">
        <f t="shared" si="13"/>
        <v>1</v>
      </c>
      <c r="AI106" s="192">
        <f t="shared" si="14"/>
        <v>1</v>
      </c>
      <c r="AJ106" s="192">
        <f t="shared" si="15"/>
        <v>1</v>
      </c>
      <c r="AK106" s="192">
        <f t="shared" si="16"/>
        <v>1</v>
      </c>
      <c r="AL106" s="192">
        <f t="shared" si="17"/>
        <v>1</v>
      </c>
    </row>
    <row r="107" spans="2:38" ht="32.25" customHeight="1" x14ac:dyDescent="0.25">
      <c r="B107" s="7">
        <f t="shared" si="23"/>
        <v>77</v>
      </c>
      <c r="C107" s="4"/>
      <c r="D107" s="4"/>
      <c r="E107" s="4"/>
      <c r="F107" s="230" t="str">
        <f>IF('תנאי סף'!AO107&lt;&gt;1,"",'תנאי סף'!F107)</f>
        <v>ארמון בזמן - העמותה לתרבות רב תחומית</v>
      </c>
      <c r="G107" s="159">
        <f>IF($F107="","",'מספר הרצות'!G107)</f>
        <v>7</v>
      </c>
      <c r="H107" s="6">
        <v>6</v>
      </c>
      <c r="I107" s="6">
        <v>0</v>
      </c>
      <c r="J107" s="6">
        <v>0</v>
      </c>
      <c r="K107" s="6">
        <v>0</v>
      </c>
      <c r="L107" s="6">
        <v>0</v>
      </c>
      <c r="M107" s="6">
        <v>1</v>
      </c>
      <c r="N107" s="6">
        <v>0</v>
      </c>
      <c r="O107" s="6">
        <v>0</v>
      </c>
      <c r="P107" s="177"/>
      <c r="Q107" s="8"/>
      <c r="R107" s="8"/>
      <c r="S107" s="8"/>
      <c r="T107" s="8"/>
      <c r="U107" s="159">
        <f t="shared" si="24"/>
        <v>1</v>
      </c>
      <c r="V107" s="8">
        <v>1</v>
      </c>
      <c r="W107" s="8">
        <f t="shared" si="25"/>
        <v>1</v>
      </c>
      <c r="X107" s="8">
        <v>1</v>
      </c>
      <c r="Y107" s="8">
        <f t="shared" si="26"/>
        <v>1</v>
      </c>
      <c r="Z107" s="123">
        <f t="shared" si="27"/>
        <v>2.2346368715083797E-3</v>
      </c>
      <c r="AA107" s="192">
        <f t="shared" si="28"/>
        <v>1</v>
      </c>
      <c r="AB107" s="192">
        <f t="shared" si="22"/>
        <v>0</v>
      </c>
      <c r="AC107" s="192">
        <f t="shared" si="22"/>
        <v>1</v>
      </c>
      <c r="AE107" s="192">
        <f t="shared" si="18"/>
        <v>1</v>
      </c>
      <c r="AF107" s="192">
        <f t="shared" si="19"/>
        <v>1</v>
      </c>
      <c r="AG107" s="192">
        <f t="shared" si="20"/>
        <v>1</v>
      </c>
      <c r="AH107" s="192">
        <f t="shared" si="13"/>
        <v>1</v>
      </c>
      <c r="AI107" s="192">
        <f t="shared" si="14"/>
        <v>1</v>
      </c>
      <c r="AJ107" s="192">
        <f t="shared" si="15"/>
        <v>1</v>
      </c>
      <c r="AK107" s="192">
        <f t="shared" si="16"/>
        <v>1</v>
      </c>
      <c r="AL107" s="192">
        <f t="shared" si="17"/>
        <v>1</v>
      </c>
    </row>
    <row r="108" spans="2:38" x14ac:dyDescent="0.25">
      <c r="B108" s="7" t="str">
        <f t="shared" si="23"/>
        <v/>
      </c>
      <c r="C108" s="4"/>
      <c r="D108" s="4"/>
      <c r="E108" s="4"/>
      <c r="F108" s="230" t="str">
        <f>IF('תנאי סף'!AO108&lt;&gt;1,"",'תנאי סף'!F108)</f>
        <v/>
      </c>
      <c r="G108" s="159" t="str">
        <f>IF($F108="","",'מספר הרצות'!G108)</f>
        <v/>
      </c>
      <c r="H108" s="6"/>
      <c r="I108" s="6"/>
      <c r="J108" s="6"/>
      <c r="K108" s="6"/>
      <c r="L108" s="6"/>
      <c r="M108" s="6"/>
      <c r="N108" s="6"/>
      <c r="O108" s="6"/>
      <c r="P108" s="177"/>
      <c r="Q108" s="8"/>
      <c r="R108" s="8"/>
      <c r="S108" s="8"/>
      <c r="T108" s="8"/>
      <c r="U108" s="159" t="str">
        <f t="shared" si="24"/>
        <v/>
      </c>
      <c r="V108" s="8">
        <v>1</v>
      </c>
      <c r="W108" s="8" t="str">
        <f t="shared" si="25"/>
        <v/>
      </c>
      <c r="X108" s="8">
        <v>1</v>
      </c>
      <c r="Y108" s="8" t="str">
        <f t="shared" si="26"/>
        <v/>
      </c>
      <c r="Z108" s="123" t="str">
        <f t="shared" si="27"/>
        <v/>
      </c>
      <c r="AA108" s="192">
        <f t="shared" si="28"/>
        <v>0</v>
      </c>
      <c r="AB108" s="192" t="str">
        <f t="shared" si="22"/>
        <v/>
      </c>
      <c r="AC108" s="192" t="str">
        <f t="shared" si="22"/>
        <v/>
      </c>
      <c r="AE108" s="192">
        <f t="shared" si="18"/>
        <v>0</v>
      </c>
      <c r="AF108" s="192">
        <f t="shared" si="19"/>
        <v>0</v>
      </c>
      <c r="AG108" s="192">
        <f t="shared" si="20"/>
        <v>0</v>
      </c>
      <c r="AH108" s="192">
        <f t="shared" si="13"/>
        <v>0</v>
      </c>
      <c r="AI108" s="192">
        <f t="shared" si="14"/>
        <v>0</v>
      </c>
      <c r="AJ108" s="192">
        <f t="shared" si="15"/>
        <v>0</v>
      </c>
      <c r="AK108" s="192">
        <f t="shared" si="16"/>
        <v>0</v>
      </c>
      <c r="AL108" s="192">
        <f t="shared" si="17"/>
        <v>0</v>
      </c>
    </row>
    <row r="109" spans="2:38" x14ac:dyDescent="0.25">
      <c r="B109" s="7" t="str">
        <f t="shared" si="23"/>
        <v/>
      </c>
      <c r="C109" s="4"/>
      <c r="D109" s="4"/>
      <c r="E109" s="4"/>
      <c r="F109" s="230" t="str">
        <f>IF('תנאי סף'!AO109&lt;&gt;1,"",'תנאי סף'!F109)</f>
        <v/>
      </c>
      <c r="G109" s="159" t="str">
        <f>IF($F109="","",'מספר הרצות'!G109)</f>
        <v/>
      </c>
      <c r="H109" s="6"/>
      <c r="I109" s="6"/>
      <c r="J109" s="6"/>
      <c r="K109" s="6"/>
      <c r="L109" s="6"/>
      <c r="M109" s="6"/>
      <c r="N109" s="6"/>
      <c r="O109" s="6"/>
      <c r="P109" s="177"/>
      <c r="Q109" s="8"/>
      <c r="R109" s="8"/>
      <c r="S109" s="8"/>
      <c r="T109" s="8"/>
      <c r="U109" s="159" t="str">
        <f t="shared" si="24"/>
        <v/>
      </c>
      <c r="V109" s="8">
        <v>1</v>
      </c>
      <c r="W109" s="8" t="str">
        <f t="shared" si="25"/>
        <v/>
      </c>
      <c r="X109" s="8">
        <v>1</v>
      </c>
      <c r="Y109" s="8" t="str">
        <f t="shared" si="26"/>
        <v/>
      </c>
      <c r="Z109" s="123" t="str">
        <f t="shared" si="27"/>
        <v/>
      </c>
      <c r="AA109" s="192">
        <f t="shared" si="28"/>
        <v>0</v>
      </c>
      <c r="AB109" s="192" t="str">
        <f t="shared" si="22"/>
        <v/>
      </c>
      <c r="AC109" s="192" t="str">
        <f t="shared" si="22"/>
        <v/>
      </c>
      <c r="AE109" s="192">
        <f t="shared" si="18"/>
        <v>0</v>
      </c>
      <c r="AF109" s="192">
        <f t="shared" si="19"/>
        <v>0</v>
      </c>
      <c r="AG109" s="192">
        <f t="shared" si="20"/>
        <v>0</v>
      </c>
      <c r="AH109" s="192">
        <f t="shared" ref="AH109:AH130" si="29">IF(K$30="",1,IF(K109="",0,IFERROR(CHOOSE(AH$28,IF(ISNA(MATCH(K109,$AB$30:$AC$30,0)),0,1),IF(ISNUMBER(K109),1,0),IF(K109=TRUNC(K109),1,0),IF(AND(K109*1=K109,K109&gt;=0),1,0),IF(AND(K109=TRUNC(K109),K109&gt;=0),1,0),IF(AND(K109*1=K109,K109&gt;0),1,0),IF(AND(K109=TRUNC(K109),K109&gt;0),1,0),1,IF(ISNA(HLOOKUP(K109,$AE$4:$AN$4,1,0)),0,1)),0)))</f>
        <v>0</v>
      </c>
      <c r="AI109" s="192">
        <f t="shared" ref="AI109:AI130" si="30">IF(L$30="",1,IF(L109="",0,IFERROR(CHOOSE(AI$28,IF(ISNA(MATCH(L109,$AB$30:$AC$30,0)),0,1),IF(ISNUMBER(L109),1,0),IF(L109=TRUNC(L109),1,0),IF(AND(L109*1=L109,L109&gt;=0),1,0),IF(AND(L109=TRUNC(L109),L109&gt;=0),1,0),IF(AND(L109*1=L109,L109&gt;0),1,0),IF(AND(L109=TRUNC(L109),L109&gt;0),1,0),1,IF(ISNA(HLOOKUP(L109,$AE$4:$AN$4,1,0)),0,1)),0)))</f>
        <v>0</v>
      </c>
      <c r="AJ109" s="192">
        <f t="shared" ref="AJ109:AJ130" si="31">IF(M$30="",1,IF(M109="",0,IFERROR(CHOOSE(AJ$28,IF(ISNA(MATCH(M109,$AB$30:$AC$30,0)),0,1),IF(ISNUMBER(M109),1,0),IF(M109=TRUNC(M109),1,0),IF(AND(M109*1=M109,M109&gt;=0),1,0),IF(AND(M109=TRUNC(M109),M109&gt;=0),1,0),IF(AND(M109*1=M109,M109&gt;0),1,0),IF(AND(M109=TRUNC(M109),M109&gt;0),1,0),1,IF(ISNA(HLOOKUP(M109,$AE$4:$AN$4,1,0)),0,1)),0)))</f>
        <v>0</v>
      </c>
      <c r="AK109" s="192">
        <f t="shared" ref="AK109:AK130" si="32">IF(N$30="",1,IF(N109="",0,IFERROR(CHOOSE(AK$28,IF(ISNA(MATCH(N109,$AB$30:$AC$30,0)),0,1),IF(ISNUMBER(N109),1,0),IF(N109=TRUNC(N109),1,0),IF(AND(N109*1=N109,N109&gt;=0),1,0),IF(AND(N109=TRUNC(N109),N109&gt;=0),1,0),IF(AND(N109*1=N109,N109&gt;0),1,0),IF(AND(N109=TRUNC(N109),N109&gt;0),1,0),1,IF(ISNA(HLOOKUP(N109,$AE$4:$AN$4,1,0)),0,1)),0)))</f>
        <v>0</v>
      </c>
      <c r="AL109" s="192">
        <f t="shared" ref="AL109:AL130" si="33">IF(O$30="",1,IF(O109="",0,IFERROR(CHOOSE(AL$28,IF(ISNA(MATCH(O109,$AB$30:$AC$30,0)),0,1),IF(ISNUMBER(O109),1,0),IF(O109=TRUNC(O109),1,0),IF(AND(O109*1=O109,O109&gt;=0),1,0),IF(AND(O109=TRUNC(O109),O109&gt;=0),1,0),IF(AND(O109*1=O109,O109&gt;0),1,0),IF(AND(O109=TRUNC(O109),O109&gt;0),1,0),1,IF(ISNA(HLOOKUP(O109,$AE$4:$AN$4,1,0)),0,1)),0)))</f>
        <v>0</v>
      </c>
    </row>
    <row r="110" spans="2:38" x14ac:dyDescent="0.25">
      <c r="B110" s="7" t="str">
        <f t="shared" si="23"/>
        <v/>
      </c>
      <c r="C110" s="4"/>
      <c r="D110" s="4"/>
      <c r="E110" s="4"/>
      <c r="F110" s="230" t="str">
        <f>IF('תנאי סף'!AO110&lt;&gt;1,"",'תנאי סף'!F110)</f>
        <v/>
      </c>
      <c r="G110" s="159" t="str">
        <f>IF($F110="","",'מספר הרצות'!G110)</f>
        <v/>
      </c>
      <c r="H110" s="6"/>
      <c r="I110" s="6"/>
      <c r="J110" s="6"/>
      <c r="K110" s="6"/>
      <c r="L110" s="6"/>
      <c r="M110" s="6"/>
      <c r="N110" s="6"/>
      <c r="O110" s="6"/>
      <c r="P110" s="177"/>
      <c r="Q110" s="8"/>
      <c r="R110" s="8"/>
      <c r="S110" s="8"/>
      <c r="T110" s="8"/>
      <c r="U110" s="159" t="str">
        <f t="shared" si="24"/>
        <v/>
      </c>
      <c r="V110" s="8">
        <v>1</v>
      </c>
      <c r="W110" s="8" t="str">
        <f t="shared" si="25"/>
        <v/>
      </c>
      <c r="X110" s="8">
        <v>1</v>
      </c>
      <c r="Y110" s="8" t="str">
        <f t="shared" si="26"/>
        <v/>
      </c>
      <c r="Z110" s="123" t="str">
        <f t="shared" si="27"/>
        <v/>
      </c>
      <c r="AA110" s="192">
        <f t="shared" si="28"/>
        <v>0</v>
      </c>
      <c r="AB110" s="192" t="str">
        <f t="shared" si="22"/>
        <v/>
      </c>
      <c r="AC110" s="192" t="str">
        <f t="shared" si="22"/>
        <v/>
      </c>
      <c r="AE110" s="192">
        <f t="shared" ref="AE110:AE130" si="34">IF(H$30="",1,IF(H110="",0,IFERROR(CHOOSE(AE$28,IF(ISNA(MATCH(H110,$AB$30:$AC$30,0)),0,1),IF(ISNUMBER(H110),1,0),IF(H110=TRUNC(H110),1,0),IF(AND(H110*1=H110,H110&gt;=0),1,0),IF(AND(H110=TRUNC(H110),H110&gt;=0),1,0),IF(AND(H110*1=H110,H110&gt;0),1,0),IF(AND(H110=TRUNC(H110),H110&gt;0),1,0),1,IF(ISNA(HLOOKUP(H110,$AE$4:$AN$4,1,0)),0,1)),0)))</f>
        <v>0</v>
      </c>
      <c r="AF110" s="192">
        <f t="shared" ref="AF110:AF130" si="35">IF(I$30="",1,IF(I110="",0,IFERROR(CHOOSE(AF$28,IF(ISNA(MATCH(I110,$AB$30:$AC$30,0)),0,1),IF(ISNUMBER(I110),1,0),IF(I110=TRUNC(I110),1,0),IF(AND(I110*1=I110,I110&gt;=0),1,0),IF(AND(I110=TRUNC(I110),I110&gt;=0),1,0),IF(AND(I110*1=I110,I110&gt;0),1,0),IF(AND(I110=TRUNC(I110),I110&gt;0),1,0),1,IF(ISNA(HLOOKUP(I110,$AE$4:$AN$4,1,0)),0,1)),0)))</f>
        <v>0</v>
      </c>
      <c r="AG110" s="192">
        <f t="shared" ref="AG110:AG130" si="36">IF(J$30="",1,IF(J110="",0,IFERROR(CHOOSE(AG$28,IF(ISNA(MATCH(J110,$AB$30:$AC$30,0)),0,1),IF(ISNUMBER(J110),1,0),IF(J110=TRUNC(J110),1,0),IF(AND(J110*1=J110,J110&gt;=0),1,0),IF(AND(J110=TRUNC(J110),J110&gt;=0),1,0),IF(AND(J110*1=J110,J110&gt;0),1,0),IF(AND(J110=TRUNC(J110),J110&gt;0),1,0),1,IF(ISNA(HLOOKUP(J110,$AE$4:$AN$4,1,0)),0,1)),0)))</f>
        <v>0</v>
      </c>
      <c r="AH110" s="192">
        <f t="shared" si="29"/>
        <v>0</v>
      </c>
      <c r="AI110" s="192">
        <f t="shared" si="30"/>
        <v>0</v>
      </c>
      <c r="AJ110" s="192">
        <f t="shared" si="31"/>
        <v>0</v>
      </c>
      <c r="AK110" s="192">
        <f t="shared" si="32"/>
        <v>0</v>
      </c>
      <c r="AL110" s="192">
        <f t="shared" si="33"/>
        <v>0</v>
      </c>
    </row>
    <row r="111" spans="2:38" x14ac:dyDescent="0.25">
      <c r="B111" s="7" t="str">
        <f t="shared" si="23"/>
        <v/>
      </c>
      <c r="C111" s="4"/>
      <c r="D111" s="4"/>
      <c r="E111" s="4"/>
      <c r="F111" s="230" t="str">
        <f>IF('תנאי סף'!AO111&lt;&gt;1,"",'תנאי סף'!F111)</f>
        <v/>
      </c>
      <c r="G111" s="159" t="str">
        <f>IF($F111="","",'מספר הרצות'!G111)</f>
        <v/>
      </c>
      <c r="H111" s="6"/>
      <c r="I111" s="6"/>
      <c r="J111" s="6"/>
      <c r="K111" s="6"/>
      <c r="L111" s="6"/>
      <c r="M111" s="6"/>
      <c r="N111" s="6"/>
      <c r="O111" s="6"/>
      <c r="P111" s="177"/>
      <c r="Q111" s="8"/>
      <c r="R111" s="8"/>
      <c r="S111" s="8"/>
      <c r="T111" s="8"/>
      <c r="U111" s="159" t="str">
        <f t="shared" si="24"/>
        <v/>
      </c>
      <c r="V111" s="8">
        <v>1</v>
      </c>
      <c r="W111" s="8" t="str">
        <f t="shared" si="25"/>
        <v/>
      </c>
      <c r="X111" s="8">
        <v>1</v>
      </c>
      <c r="Y111" s="8" t="str">
        <f t="shared" si="26"/>
        <v/>
      </c>
      <c r="Z111" s="123" t="str">
        <f t="shared" si="27"/>
        <v/>
      </c>
      <c r="AA111" s="192">
        <f t="shared" si="28"/>
        <v>0</v>
      </c>
      <c r="AB111" s="192" t="str">
        <f t="shared" si="22"/>
        <v/>
      </c>
      <c r="AC111" s="192" t="str">
        <f t="shared" si="22"/>
        <v/>
      </c>
      <c r="AE111" s="192">
        <f t="shared" si="34"/>
        <v>0</v>
      </c>
      <c r="AF111" s="192">
        <f t="shared" si="35"/>
        <v>0</v>
      </c>
      <c r="AG111" s="192">
        <f t="shared" si="36"/>
        <v>0</v>
      </c>
      <c r="AH111" s="192">
        <f t="shared" si="29"/>
        <v>0</v>
      </c>
      <c r="AI111" s="192">
        <f t="shared" si="30"/>
        <v>0</v>
      </c>
      <c r="AJ111" s="192">
        <f t="shared" si="31"/>
        <v>0</v>
      </c>
      <c r="AK111" s="192">
        <f t="shared" si="32"/>
        <v>0</v>
      </c>
      <c r="AL111" s="192">
        <f t="shared" si="33"/>
        <v>0</v>
      </c>
    </row>
    <row r="112" spans="2:38" x14ac:dyDescent="0.25">
      <c r="B112" s="7" t="str">
        <f t="shared" si="23"/>
        <v/>
      </c>
      <c r="C112" s="4"/>
      <c r="D112" s="4"/>
      <c r="E112" s="4"/>
      <c r="F112" s="230" t="str">
        <f>IF('תנאי סף'!AO112&lt;&gt;1,"",'תנאי סף'!F112)</f>
        <v/>
      </c>
      <c r="G112" s="159" t="str">
        <f>IF($F112="","",'מספר הרצות'!G112)</f>
        <v/>
      </c>
      <c r="H112" s="6"/>
      <c r="I112" s="6"/>
      <c r="J112" s="6"/>
      <c r="K112" s="6"/>
      <c r="L112" s="6"/>
      <c r="M112" s="6"/>
      <c r="N112" s="6"/>
      <c r="O112" s="6"/>
      <c r="P112" s="177"/>
      <c r="Q112" s="8"/>
      <c r="R112" s="8"/>
      <c r="S112" s="8"/>
      <c r="T112" s="8"/>
      <c r="U112" s="159" t="str">
        <f t="shared" si="24"/>
        <v/>
      </c>
      <c r="V112" s="8">
        <v>1</v>
      </c>
      <c r="W112" s="8" t="str">
        <f t="shared" si="25"/>
        <v/>
      </c>
      <c r="X112" s="8">
        <v>1</v>
      </c>
      <c r="Y112" s="8" t="str">
        <f t="shared" si="26"/>
        <v/>
      </c>
      <c r="Z112" s="123" t="str">
        <f t="shared" si="27"/>
        <v/>
      </c>
      <c r="AA112" s="192">
        <f t="shared" si="28"/>
        <v>0</v>
      </c>
      <c r="AB112" s="192" t="str">
        <f t="shared" si="22"/>
        <v/>
      </c>
      <c r="AC112" s="192" t="str">
        <f t="shared" si="22"/>
        <v/>
      </c>
      <c r="AE112" s="192">
        <f t="shared" si="34"/>
        <v>0</v>
      </c>
      <c r="AF112" s="192">
        <f t="shared" si="35"/>
        <v>0</v>
      </c>
      <c r="AG112" s="192">
        <f t="shared" si="36"/>
        <v>0</v>
      </c>
      <c r="AH112" s="192">
        <f t="shared" si="29"/>
        <v>0</v>
      </c>
      <c r="AI112" s="192">
        <f t="shared" si="30"/>
        <v>0</v>
      </c>
      <c r="AJ112" s="192">
        <f t="shared" si="31"/>
        <v>0</v>
      </c>
      <c r="AK112" s="192">
        <f t="shared" si="32"/>
        <v>0</v>
      </c>
      <c r="AL112" s="192">
        <f t="shared" si="33"/>
        <v>0</v>
      </c>
    </row>
    <row r="113" spans="2:38" x14ac:dyDescent="0.25">
      <c r="B113" s="7" t="str">
        <f t="shared" si="23"/>
        <v/>
      </c>
      <c r="C113" s="4"/>
      <c r="D113" s="4"/>
      <c r="E113" s="4"/>
      <c r="F113" s="230" t="str">
        <f>IF('תנאי סף'!AO113&lt;&gt;1,"",'תנאי סף'!F113)</f>
        <v/>
      </c>
      <c r="G113" s="159" t="str">
        <f>IF($F113="","",'מספר הרצות'!G113)</f>
        <v/>
      </c>
      <c r="H113" s="6"/>
      <c r="I113" s="6"/>
      <c r="J113" s="6"/>
      <c r="K113" s="6"/>
      <c r="L113" s="6"/>
      <c r="M113" s="6"/>
      <c r="N113" s="6"/>
      <c r="O113" s="6"/>
      <c r="P113" s="177"/>
      <c r="Q113" s="8"/>
      <c r="R113" s="8"/>
      <c r="S113" s="8"/>
      <c r="T113" s="8"/>
      <c r="U113" s="159" t="str">
        <f t="shared" si="24"/>
        <v/>
      </c>
      <c r="V113" s="8">
        <v>1</v>
      </c>
      <c r="W113" s="8" t="str">
        <f t="shared" si="25"/>
        <v/>
      </c>
      <c r="X113" s="8">
        <v>1</v>
      </c>
      <c r="Y113" s="8" t="str">
        <f t="shared" si="26"/>
        <v/>
      </c>
      <c r="Z113" s="123" t="str">
        <f t="shared" si="27"/>
        <v/>
      </c>
      <c r="AA113" s="192">
        <f t="shared" si="28"/>
        <v>0</v>
      </c>
      <c r="AB113" s="192" t="str">
        <f t="shared" si="22"/>
        <v/>
      </c>
      <c r="AC113" s="192" t="str">
        <f t="shared" si="22"/>
        <v/>
      </c>
      <c r="AE113" s="192">
        <f t="shared" si="34"/>
        <v>0</v>
      </c>
      <c r="AF113" s="192">
        <f t="shared" si="35"/>
        <v>0</v>
      </c>
      <c r="AG113" s="192">
        <f t="shared" si="36"/>
        <v>0</v>
      </c>
      <c r="AH113" s="192">
        <f t="shared" si="29"/>
        <v>0</v>
      </c>
      <c r="AI113" s="192">
        <f t="shared" si="30"/>
        <v>0</v>
      </c>
      <c r="AJ113" s="192">
        <f t="shared" si="31"/>
        <v>0</v>
      </c>
      <c r="AK113" s="192">
        <f t="shared" si="32"/>
        <v>0</v>
      </c>
      <c r="AL113" s="192">
        <f t="shared" si="33"/>
        <v>0</v>
      </c>
    </row>
    <row r="114" spans="2:38" x14ac:dyDescent="0.25">
      <c r="B114" s="7" t="str">
        <f t="shared" si="23"/>
        <v/>
      </c>
      <c r="C114" s="4"/>
      <c r="D114" s="4"/>
      <c r="E114" s="4"/>
      <c r="F114" s="230" t="str">
        <f>IF('תנאי סף'!AO114&lt;&gt;1,"",'תנאי סף'!F114)</f>
        <v/>
      </c>
      <c r="G114" s="159" t="str">
        <f>IF($F114="","",'מספר הרצות'!G114)</f>
        <v/>
      </c>
      <c r="H114" s="6"/>
      <c r="I114" s="6"/>
      <c r="J114" s="6"/>
      <c r="K114" s="6"/>
      <c r="L114" s="6"/>
      <c r="M114" s="6"/>
      <c r="N114" s="6"/>
      <c r="O114" s="6"/>
      <c r="P114" s="177"/>
      <c r="Q114" s="8"/>
      <c r="R114" s="8"/>
      <c r="S114" s="8"/>
      <c r="T114" s="8"/>
      <c r="U114" s="159" t="str">
        <f t="shared" si="24"/>
        <v/>
      </c>
      <c r="V114" s="8">
        <v>1</v>
      </c>
      <c r="W114" s="8" t="str">
        <f t="shared" si="25"/>
        <v/>
      </c>
      <c r="X114" s="8">
        <v>1</v>
      </c>
      <c r="Y114" s="8" t="str">
        <f t="shared" si="26"/>
        <v/>
      </c>
      <c r="Z114" s="123" t="str">
        <f t="shared" si="27"/>
        <v/>
      </c>
      <c r="AA114" s="192">
        <f t="shared" si="28"/>
        <v>0</v>
      </c>
      <c r="AB114" s="192" t="str">
        <f t="shared" si="22"/>
        <v/>
      </c>
      <c r="AC114" s="192" t="str">
        <f t="shared" si="22"/>
        <v/>
      </c>
      <c r="AE114" s="192">
        <f t="shared" si="34"/>
        <v>0</v>
      </c>
      <c r="AF114" s="192">
        <f t="shared" si="35"/>
        <v>0</v>
      </c>
      <c r="AG114" s="192">
        <f t="shared" si="36"/>
        <v>0</v>
      </c>
      <c r="AH114" s="192">
        <f t="shared" si="29"/>
        <v>0</v>
      </c>
      <c r="AI114" s="192">
        <f t="shared" si="30"/>
        <v>0</v>
      </c>
      <c r="AJ114" s="192">
        <f t="shared" si="31"/>
        <v>0</v>
      </c>
      <c r="AK114" s="192">
        <f t="shared" si="32"/>
        <v>0</v>
      </c>
      <c r="AL114" s="192">
        <f t="shared" si="33"/>
        <v>0</v>
      </c>
    </row>
    <row r="115" spans="2:38" x14ac:dyDescent="0.25">
      <c r="B115" s="7" t="str">
        <f t="shared" si="23"/>
        <v/>
      </c>
      <c r="C115" s="4"/>
      <c r="D115" s="4"/>
      <c r="E115" s="4"/>
      <c r="F115" s="230" t="str">
        <f>IF('תנאי סף'!AO115&lt;&gt;1,"",'תנאי סף'!F115)</f>
        <v/>
      </c>
      <c r="G115" s="159" t="str">
        <f>IF($F115="","",'מספר הרצות'!G115)</f>
        <v/>
      </c>
      <c r="H115" s="6"/>
      <c r="I115" s="6"/>
      <c r="J115" s="6"/>
      <c r="K115" s="6"/>
      <c r="L115" s="6"/>
      <c r="M115" s="6"/>
      <c r="N115" s="6"/>
      <c r="O115" s="6"/>
      <c r="P115" s="177"/>
      <c r="Q115" s="8"/>
      <c r="R115" s="8"/>
      <c r="S115" s="8"/>
      <c r="T115" s="8"/>
      <c r="U115" s="159" t="str">
        <f t="shared" si="24"/>
        <v/>
      </c>
      <c r="V115" s="8">
        <v>1</v>
      </c>
      <c r="W115" s="8" t="str">
        <f t="shared" si="25"/>
        <v/>
      </c>
      <c r="X115" s="8">
        <v>1</v>
      </c>
      <c r="Y115" s="8" t="str">
        <f t="shared" si="26"/>
        <v/>
      </c>
      <c r="Z115" s="123" t="str">
        <f t="shared" si="27"/>
        <v/>
      </c>
      <c r="AA115" s="192">
        <f t="shared" si="28"/>
        <v>0</v>
      </c>
      <c r="AB115" s="192" t="str">
        <f t="shared" si="22"/>
        <v/>
      </c>
      <c r="AC115" s="192" t="str">
        <f t="shared" si="22"/>
        <v/>
      </c>
      <c r="AE115" s="192">
        <f t="shared" si="34"/>
        <v>0</v>
      </c>
      <c r="AF115" s="192">
        <f t="shared" si="35"/>
        <v>0</v>
      </c>
      <c r="AG115" s="192">
        <f t="shared" si="36"/>
        <v>0</v>
      </c>
      <c r="AH115" s="192">
        <f t="shared" si="29"/>
        <v>0</v>
      </c>
      <c r="AI115" s="192">
        <f t="shared" si="30"/>
        <v>0</v>
      </c>
      <c r="AJ115" s="192">
        <f t="shared" si="31"/>
        <v>0</v>
      </c>
      <c r="AK115" s="192">
        <f t="shared" si="32"/>
        <v>0</v>
      </c>
      <c r="AL115" s="192">
        <f t="shared" si="33"/>
        <v>0</v>
      </c>
    </row>
    <row r="116" spans="2:38" x14ac:dyDescent="0.25">
      <c r="B116" s="7" t="str">
        <f t="shared" si="23"/>
        <v/>
      </c>
      <c r="C116" s="4"/>
      <c r="D116" s="4"/>
      <c r="E116" s="4"/>
      <c r="F116" s="230" t="str">
        <f>IF('תנאי סף'!AO116&lt;&gt;1,"",'תנאי סף'!F116)</f>
        <v/>
      </c>
      <c r="G116" s="159" t="str">
        <f>IF($F116="","",'מספר הרצות'!G116)</f>
        <v/>
      </c>
      <c r="H116" s="6"/>
      <c r="I116" s="6"/>
      <c r="J116" s="6"/>
      <c r="K116" s="6"/>
      <c r="L116" s="6"/>
      <c r="M116" s="6"/>
      <c r="N116" s="6"/>
      <c r="O116" s="6"/>
      <c r="P116" s="177"/>
      <c r="Q116" s="8"/>
      <c r="R116" s="8"/>
      <c r="S116" s="8"/>
      <c r="T116" s="8"/>
      <c r="U116" s="159" t="str">
        <f t="shared" si="24"/>
        <v/>
      </c>
      <c r="V116" s="8">
        <v>1</v>
      </c>
      <c r="W116" s="8" t="str">
        <f t="shared" si="25"/>
        <v/>
      </c>
      <c r="X116" s="8">
        <v>1</v>
      </c>
      <c r="Y116" s="8" t="str">
        <f t="shared" si="26"/>
        <v/>
      </c>
      <c r="Z116" s="123" t="str">
        <f t="shared" si="27"/>
        <v/>
      </c>
      <c r="AA116" s="192">
        <f t="shared" si="28"/>
        <v>0</v>
      </c>
      <c r="AB116" s="192" t="str">
        <f t="shared" si="22"/>
        <v/>
      </c>
      <c r="AC116" s="192" t="str">
        <f t="shared" si="22"/>
        <v/>
      </c>
      <c r="AE116" s="192">
        <f t="shared" si="34"/>
        <v>0</v>
      </c>
      <c r="AF116" s="192">
        <f t="shared" si="35"/>
        <v>0</v>
      </c>
      <c r="AG116" s="192">
        <f t="shared" si="36"/>
        <v>0</v>
      </c>
      <c r="AH116" s="192">
        <f t="shared" si="29"/>
        <v>0</v>
      </c>
      <c r="AI116" s="192">
        <f t="shared" si="30"/>
        <v>0</v>
      </c>
      <c r="AJ116" s="192">
        <f t="shared" si="31"/>
        <v>0</v>
      </c>
      <c r="AK116" s="192">
        <f t="shared" si="32"/>
        <v>0</v>
      </c>
      <c r="AL116" s="192">
        <f t="shared" si="33"/>
        <v>0</v>
      </c>
    </row>
    <row r="117" spans="2:38" x14ac:dyDescent="0.25">
      <c r="B117" s="7" t="str">
        <f t="shared" si="23"/>
        <v/>
      </c>
      <c r="C117" s="4"/>
      <c r="D117" s="4"/>
      <c r="E117" s="4"/>
      <c r="F117" s="230" t="str">
        <f>IF('תנאי סף'!AO117&lt;&gt;1,"",'תנאי סף'!F117)</f>
        <v/>
      </c>
      <c r="G117" s="159" t="str">
        <f>IF($F117="","",'מספר הרצות'!G117)</f>
        <v/>
      </c>
      <c r="H117" s="6"/>
      <c r="I117" s="6"/>
      <c r="J117" s="6"/>
      <c r="K117" s="6"/>
      <c r="L117" s="6"/>
      <c r="M117" s="6"/>
      <c r="N117" s="6"/>
      <c r="O117" s="6"/>
      <c r="P117" s="177"/>
      <c r="Q117" s="8"/>
      <c r="R117" s="8"/>
      <c r="S117" s="8"/>
      <c r="T117" s="8"/>
      <c r="U117" s="159" t="str">
        <f t="shared" si="24"/>
        <v/>
      </c>
      <c r="V117" s="8">
        <v>1</v>
      </c>
      <c r="W117" s="8" t="str">
        <f t="shared" si="25"/>
        <v/>
      </c>
      <c r="X117" s="8">
        <v>1</v>
      </c>
      <c r="Y117" s="8" t="str">
        <f t="shared" si="26"/>
        <v/>
      </c>
      <c r="Z117" s="123" t="str">
        <f t="shared" si="27"/>
        <v/>
      </c>
      <c r="AA117" s="192">
        <f t="shared" si="28"/>
        <v>0</v>
      </c>
      <c r="AB117" s="192" t="str">
        <f t="shared" si="22"/>
        <v/>
      </c>
      <c r="AC117" s="192" t="str">
        <f t="shared" si="22"/>
        <v/>
      </c>
      <c r="AE117" s="192">
        <f t="shared" si="34"/>
        <v>0</v>
      </c>
      <c r="AF117" s="192">
        <f t="shared" si="35"/>
        <v>0</v>
      </c>
      <c r="AG117" s="192">
        <f t="shared" si="36"/>
        <v>0</v>
      </c>
      <c r="AH117" s="192">
        <f t="shared" si="29"/>
        <v>0</v>
      </c>
      <c r="AI117" s="192">
        <f t="shared" si="30"/>
        <v>0</v>
      </c>
      <c r="AJ117" s="192">
        <f t="shared" si="31"/>
        <v>0</v>
      </c>
      <c r="AK117" s="192">
        <f t="shared" si="32"/>
        <v>0</v>
      </c>
      <c r="AL117" s="192">
        <f t="shared" si="33"/>
        <v>0</v>
      </c>
    </row>
    <row r="118" spans="2:38" x14ac:dyDescent="0.25">
      <c r="B118" s="7" t="str">
        <f t="shared" si="23"/>
        <v/>
      </c>
      <c r="C118" s="4"/>
      <c r="D118" s="4"/>
      <c r="E118" s="4"/>
      <c r="F118" s="230" t="str">
        <f>IF('תנאי סף'!AO118&lt;&gt;1,"",'תנאי סף'!F118)</f>
        <v/>
      </c>
      <c r="G118" s="159" t="str">
        <f>IF($F118="","",'מספר הרצות'!G118)</f>
        <v/>
      </c>
      <c r="H118" s="6"/>
      <c r="I118" s="6"/>
      <c r="J118" s="6"/>
      <c r="K118" s="6"/>
      <c r="L118" s="6"/>
      <c r="M118" s="6"/>
      <c r="N118" s="6"/>
      <c r="O118" s="6"/>
      <c r="P118" s="177"/>
      <c r="Q118" s="8"/>
      <c r="R118" s="8"/>
      <c r="S118" s="8"/>
      <c r="T118" s="8"/>
      <c r="U118" s="159" t="str">
        <f t="shared" si="24"/>
        <v/>
      </c>
      <c r="V118" s="8">
        <v>1</v>
      </c>
      <c r="W118" s="8" t="str">
        <f t="shared" si="25"/>
        <v/>
      </c>
      <c r="X118" s="8">
        <v>1</v>
      </c>
      <c r="Y118" s="8" t="str">
        <f t="shared" si="26"/>
        <v/>
      </c>
      <c r="Z118" s="123" t="str">
        <f t="shared" si="27"/>
        <v/>
      </c>
      <c r="AA118" s="192">
        <f t="shared" si="28"/>
        <v>0</v>
      </c>
      <c r="AB118" s="192" t="str">
        <f t="shared" si="22"/>
        <v/>
      </c>
      <c r="AC118" s="192" t="str">
        <f t="shared" si="22"/>
        <v/>
      </c>
      <c r="AE118" s="192">
        <f t="shared" si="34"/>
        <v>0</v>
      </c>
      <c r="AF118" s="192">
        <f t="shared" si="35"/>
        <v>0</v>
      </c>
      <c r="AG118" s="192">
        <f t="shared" si="36"/>
        <v>0</v>
      </c>
      <c r="AH118" s="192">
        <f t="shared" si="29"/>
        <v>0</v>
      </c>
      <c r="AI118" s="192">
        <f t="shared" si="30"/>
        <v>0</v>
      </c>
      <c r="AJ118" s="192">
        <f t="shared" si="31"/>
        <v>0</v>
      </c>
      <c r="AK118" s="192">
        <f t="shared" si="32"/>
        <v>0</v>
      </c>
      <c r="AL118" s="192">
        <f t="shared" si="33"/>
        <v>0</v>
      </c>
    </row>
    <row r="119" spans="2:38" x14ac:dyDescent="0.25">
      <c r="B119" s="7" t="str">
        <f t="shared" si="23"/>
        <v/>
      </c>
      <c r="C119" s="4"/>
      <c r="D119" s="4"/>
      <c r="E119" s="4"/>
      <c r="F119" s="230" t="str">
        <f>IF('תנאי סף'!AO119&lt;&gt;1,"",'תנאי סף'!F119)</f>
        <v/>
      </c>
      <c r="G119" s="159" t="str">
        <f>IF($F119="","",'מספר הרצות'!G119)</f>
        <v/>
      </c>
      <c r="H119" s="6"/>
      <c r="I119" s="6"/>
      <c r="J119" s="6"/>
      <c r="K119" s="6"/>
      <c r="L119" s="6"/>
      <c r="M119" s="6"/>
      <c r="N119" s="6"/>
      <c r="O119" s="6"/>
      <c r="P119" s="177"/>
      <c r="Q119" s="8"/>
      <c r="R119" s="8"/>
      <c r="S119" s="8"/>
      <c r="T119" s="8"/>
      <c r="U119" s="159" t="str">
        <f t="shared" si="24"/>
        <v/>
      </c>
      <c r="V119" s="8">
        <v>1</v>
      </c>
      <c r="W119" s="8" t="str">
        <f t="shared" si="25"/>
        <v/>
      </c>
      <c r="X119" s="8">
        <v>1</v>
      </c>
      <c r="Y119" s="8" t="str">
        <f t="shared" si="26"/>
        <v/>
      </c>
      <c r="Z119" s="123" t="str">
        <f t="shared" si="27"/>
        <v/>
      </c>
      <c r="AA119" s="192">
        <f t="shared" si="28"/>
        <v>0</v>
      </c>
      <c r="AB119" s="192" t="str">
        <f t="shared" si="22"/>
        <v/>
      </c>
      <c r="AC119" s="192" t="str">
        <f t="shared" si="22"/>
        <v/>
      </c>
      <c r="AE119" s="192">
        <f t="shared" si="34"/>
        <v>0</v>
      </c>
      <c r="AF119" s="192">
        <f t="shared" si="35"/>
        <v>0</v>
      </c>
      <c r="AG119" s="192">
        <f t="shared" si="36"/>
        <v>0</v>
      </c>
      <c r="AH119" s="192">
        <f t="shared" si="29"/>
        <v>0</v>
      </c>
      <c r="AI119" s="192">
        <f t="shared" si="30"/>
        <v>0</v>
      </c>
      <c r="AJ119" s="192">
        <f t="shared" si="31"/>
        <v>0</v>
      </c>
      <c r="AK119" s="192">
        <f t="shared" si="32"/>
        <v>0</v>
      </c>
      <c r="AL119" s="192">
        <f t="shared" si="33"/>
        <v>0</v>
      </c>
    </row>
    <row r="120" spans="2:38" x14ac:dyDescent="0.25">
      <c r="B120" s="7" t="str">
        <f t="shared" si="23"/>
        <v/>
      </c>
      <c r="C120" s="4"/>
      <c r="D120" s="4"/>
      <c r="E120" s="4"/>
      <c r="F120" s="230" t="str">
        <f>IF('תנאי סף'!AO120&lt;&gt;1,"",'תנאי סף'!F120)</f>
        <v/>
      </c>
      <c r="G120" s="159" t="str">
        <f>IF($F120="","",'מספר הרצות'!G120)</f>
        <v/>
      </c>
      <c r="H120" s="6"/>
      <c r="I120" s="6"/>
      <c r="J120" s="6"/>
      <c r="K120" s="6"/>
      <c r="L120" s="6"/>
      <c r="M120" s="6"/>
      <c r="N120" s="6"/>
      <c r="O120" s="6"/>
      <c r="P120" s="177"/>
      <c r="Q120" s="8"/>
      <c r="R120" s="8"/>
      <c r="S120" s="8"/>
      <c r="T120" s="8"/>
      <c r="U120" s="159" t="str">
        <f t="shared" si="24"/>
        <v/>
      </c>
      <c r="V120" s="8">
        <v>1</v>
      </c>
      <c r="W120" s="8" t="str">
        <f t="shared" si="25"/>
        <v/>
      </c>
      <c r="X120" s="8">
        <v>1</v>
      </c>
      <c r="Y120" s="8" t="str">
        <f t="shared" si="26"/>
        <v/>
      </c>
      <c r="Z120" s="123" t="str">
        <f t="shared" si="27"/>
        <v/>
      </c>
      <c r="AA120" s="192">
        <f t="shared" si="28"/>
        <v>0</v>
      </c>
      <c r="AB120" s="192" t="str">
        <f t="shared" si="22"/>
        <v/>
      </c>
      <c r="AC120" s="192" t="str">
        <f t="shared" si="22"/>
        <v/>
      </c>
      <c r="AE120" s="192">
        <f t="shared" si="34"/>
        <v>0</v>
      </c>
      <c r="AF120" s="192">
        <f t="shared" si="35"/>
        <v>0</v>
      </c>
      <c r="AG120" s="192">
        <f t="shared" si="36"/>
        <v>0</v>
      </c>
      <c r="AH120" s="192">
        <f t="shared" si="29"/>
        <v>0</v>
      </c>
      <c r="AI120" s="192">
        <f t="shared" si="30"/>
        <v>0</v>
      </c>
      <c r="AJ120" s="192">
        <f t="shared" si="31"/>
        <v>0</v>
      </c>
      <c r="AK120" s="192">
        <f t="shared" si="32"/>
        <v>0</v>
      </c>
      <c r="AL120" s="192">
        <f t="shared" si="33"/>
        <v>0</v>
      </c>
    </row>
    <row r="121" spans="2:38" x14ac:dyDescent="0.25">
      <c r="B121" s="7" t="str">
        <f t="shared" si="23"/>
        <v/>
      </c>
      <c r="C121" s="4"/>
      <c r="D121" s="4"/>
      <c r="E121" s="4"/>
      <c r="F121" s="230" t="str">
        <f>IF('תנאי סף'!AO121&lt;&gt;1,"",'תנאי סף'!F121)</f>
        <v/>
      </c>
      <c r="G121" s="159" t="str">
        <f>IF($F121="","",'מספר הרצות'!G121)</f>
        <v/>
      </c>
      <c r="H121" s="6"/>
      <c r="I121" s="6"/>
      <c r="J121" s="6"/>
      <c r="K121" s="6"/>
      <c r="L121" s="6"/>
      <c r="M121" s="6"/>
      <c r="N121" s="6"/>
      <c r="O121" s="6"/>
      <c r="P121" s="177"/>
      <c r="Q121" s="8"/>
      <c r="R121" s="8"/>
      <c r="S121" s="8"/>
      <c r="T121" s="8"/>
      <c r="U121" s="159" t="str">
        <f t="shared" si="24"/>
        <v/>
      </c>
      <c r="V121" s="8">
        <v>1</v>
      </c>
      <c r="W121" s="8" t="str">
        <f t="shared" si="25"/>
        <v/>
      </c>
      <c r="X121" s="8">
        <v>1</v>
      </c>
      <c r="Y121" s="8" t="str">
        <f t="shared" si="26"/>
        <v/>
      </c>
      <c r="Z121" s="123" t="str">
        <f t="shared" si="27"/>
        <v/>
      </c>
      <c r="AA121" s="192">
        <f t="shared" si="28"/>
        <v>0</v>
      </c>
      <c r="AB121" s="192" t="str">
        <f t="shared" si="22"/>
        <v/>
      </c>
      <c r="AC121" s="192" t="str">
        <f t="shared" si="22"/>
        <v/>
      </c>
      <c r="AE121" s="192">
        <f t="shared" si="34"/>
        <v>0</v>
      </c>
      <c r="AF121" s="192">
        <f t="shared" si="35"/>
        <v>0</v>
      </c>
      <c r="AG121" s="192">
        <f t="shared" si="36"/>
        <v>0</v>
      </c>
      <c r="AH121" s="192">
        <f t="shared" si="29"/>
        <v>0</v>
      </c>
      <c r="AI121" s="192">
        <f t="shared" si="30"/>
        <v>0</v>
      </c>
      <c r="AJ121" s="192">
        <f t="shared" si="31"/>
        <v>0</v>
      </c>
      <c r="AK121" s="192">
        <f t="shared" si="32"/>
        <v>0</v>
      </c>
      <c r="AL121" s="192">
        <f t="shared" si="33"/>
        <v>0</v>
      </c>
    </row>
    <row r="122" spans="2:38" x14ac:dyDescent="0.25">
      <c r="B122" s="7" t="str">
        <f t="shared" si="23"/>
        <v/>
      </c>
      <c r="C122" s="4"/>
      <c r="D122" s="4"/>
      <c r="E122" s="4"/>
      <c r="F122" s="230" t="str">
        <f>IF('תנאי סף'!AO122&lt;&gt;1,"",'תנאי סף'!F122)</f>
        <v/>
      </c>
      <c r="G122" s="159" t="str">
        <f>IF($F122="","",'מספר הרצות'!G122)</f>
        <v/>
      </c>
      <c r="H122" s="6"/>
      <c r="I122" s="6"/>
      <c r="J122" s="6"/>
      <c r="K122" s="6"/>
      <c r="L122" s="6"/>
      <c r="M122" s="6"/>
      <c r="N122" s="6"/>
      <c r="O122" s="6"/>
      <c r="P122" s="177"/>
      <c r="Q122" s="8"/>
      <c r="R122" s="8"/>
      <c r="S122" s="8"/>
      <c r="T122" s="8"/>
      <c r="U122" s="159" t="str">
        <f t="shared" si="24"/>
        <v/>
      </c>
      <c r="V122" s="8">
        <v>1</v>
      </c>
      <c r="W122" s="8" t="str">
        <f t="shared" si="25"/>
        <v/>
      </c>
      <c r="X122" s="8">
        <v>1</v>
      </c>
      <c r="Y122" s="8" t="str">
        <f t="shared" si="26"/>
        <v/>
      </c>
      <c r="Z122" s="123" t="str">
        <f t="shared" si="27"/>
        <v/>
      </c>
      <c r="AA122" s="192">
        <f t="shared" si="28"/>
        <v>0</v>
      </c>
      <c r="AB122" s="192" t="str">
        <f t="shared" si="22"/>
        <v/>
      </c>
      <c r="AC122" s="192" t="str">
        <f t="shared" si="22"/>
        <v/>
      </c>
      <c r="AE122" s="192">
        <f t="shared" si="34"/>
        <v>0</v>
      </c>
      <c r="AF122" s="192">
        <f t="shared" si="35"/>
        <v>0</v>
      </c>
      <c r="AG122" s="192">
        <f t="shared" si="36"/>
        <v>0</v>
      </c>
      <c r="AH122" s="192">
        <f t="shared" si="29"/>
        <v>0</v>
      </c>
      <c r="AI122" s="192">
        <f t="shared" si="30"/>
        <v>0</v>
      </c>
      <c r="AJ122" s="192">
        <f t="shared" si="31"/>
        <v>0</v>
      </c>
      <c r="AK122" s="192">
        <f t="shared" si="32"/>
        <v>0</v>
      </c>
      <c r="AL122" s="192">
        <f t="shared" si="33"/>
        <v>0</v>
      </c>
    </row>
    <row r="123" spans="2:38" x14ac:dyDescent="0.25">
      <c r="B123" s="7" t="str">
        <f t="shared" si="23"/>
        <v/>
      </c>
      <c r="C123" s="4"/>
      <c r="D123" s="4"/>
      <c r="E123" s="4"/>
      <c r="F123" s="230" t="str">
        <f>IF('תנאי סף'!AO123&lt;&gt;1,"",'תנאי סף'!F123)</f>
        <v/>
      </c>
      <c r="G123" s="159" t="str">
        <f>IF($F123="","",'מספר הרצות'!G123)</f>
        <v/>
      </c>
      <c r="H123" s="6"/>
      <c r="I123" s="6"/>
      <c r="J123" s="6"/>
      <c r="K123" s="6"/>
      <c r="L123" s="6"/>
      <c r="M123" s="6"/>
      <c r="N123" s="6"/>
      <c r="O123" s="6"/>
      <c r="P123" s="177"/>
      <c r="Q123" s="8"/>
      <c r="R123" s="8"/>
      <c r="S123" s="8"/>
      <c r="T123" s="8"/>
      <c r="U123" s="159" t="str">
        <f t="shared" si="24"/>
        <v/>
      </c>
      <c r="V123" s="8">
        <v>1</v>
      </c>
      <c r="W123" s="8" t="str">
        <f t="shared" si="25"/>
        <v/>
      </c>
      <c r="X123" s="8">
        <v>1</v>
      </c>
      <c r="Y123" s="8" t="str">
        <f t="shared" si="26"/>
        <v/>
      </c>
      <c r="Z123" s="123" t="str">
        <f t="shared" si="27"/>
        <v/>
      </c>
      <c r="AA123" s="192">
        <f t="shared" si="28"/>
        <v>0</v>
      </c>
      <c r="AB123" s="192" t="str">
        <f t="shared" si="22"/>
        <v/>
      </c>
      <c r="AC123" s="192" t="str">
        <f t="shared" si="22"/>
        <v/>
      </c>
      <c r="AE123" s="192">
        <f t="shared" si="34"/>
        <v>0</v>
      </c>
      <c r="AF123" s="192">
        <f t="shared" si="35"/>
        <v>0</v>
      </c>
      <c r="AG123" s="192">
        <f t="shared" si="36"/>
        <v>0</v>
      </c>
      <c r="AH123" s="192">
        <f t="shared" si="29"/>
        <v>0</v>
      </c>
      <c r="AI123" s="192">
        <f t="shared" si="30"/>
        <v>0</v>
      </c>
      <c r="AJ123" s="192">
        <f t="shared" si="31"/>
        <v>0</v>
      </c>
      <c r="AK123" s="192">
        <f t="shared" si="32"/>
        <v>0</v>
      </c>
      <c r="AL123" s="192">
        <f t="shared" si="33"/>
        <v>0</v>
      </c>
    </row>
    <row r="124" spans="2:38" x14ac:dyDescent="0.25">
      <c r="B124" s="7" t="str">
        <f t="shared" si="23"/>
        <v/>
      </c>
      <c r="C124" s="4"/>
      <c r="D124" s="4"/>
      <c r="E124" s="4"/>
      <c r="F124" s="230" t="str">
        <f>IF('תנאי סף'!AO124&lt;&gt;1,"",'תנאי סף'!F124)</f>
        <v/>
      </c>
      <c r="G124" s="159" t="str">
        <f>IF($F124="","",'מספר הרצות'!G124)</f>
        <v/>
      </c>
      <c r="H124" s="6"/>
      <c r="I124" s="6"/>
      <c r="J124" s="6"/>
      <c r="K124" s="6"/>
      <c r="L124" s="6"/>
      <c r="M124" s="6"/>
      <c r="N124" s="6"/>
      <c r="O124" s="6"/>
      <c r="P124" s="177"/>
      <c r="Q124" s="8"/>
      <c r="R124" s="8"/>
      <c r="S124" s="8"/>
      <c r="T124" s="8"/>
      <c r="U124" s="159" t="str">
        <f t="shared" si="24"/>
        <v/>
      </c>
      <c r="V124" s="8">
        <v>1</v>
      </c>
      <c r="W124" s="8" t="str">
        <f t="shared" si="25"/>
        <v/>
      </c>
      <c r="X124" s="8">
        <v>1</v>
      </c>
      <c r="Y124" s="8" t="str">
        <f t="shared" si="26"/>
        <v/>
      </c>
      <c r="Z124" s="123" t="str">
        <f t="shared" si="27"/>
        <v/>
      </c>
      <c r="AA124" s="192">
        <f t="shared" si="28"/>
        <v>0</v>
      </c>
      <c r="AB124" s="192" t="str">
        <f t="shared" si="22"/>
        <v/>
      </c>
      <c r="AC124" s="192" t="str">
        <f t="shared" si="22"/>
        <v/>
      </c>
      <c r="AE124" s="192">
        <f t="shared" si="34"/>
        <v>0</v>
      </c>
      <c r="AF124" s="192">
        <f t="shared" si="35"/>
        <v>0</v>
      </c>
      <c r="AG124" s="192">
        <f t="shared" si="36"/>
        <v>0</v>
      </c>
      <c r="AH124" s="192">
        <f t="shared" si="29"/>
        <v>0</v>
      </c>
      <c r="AI124" s="192">
        <f t="shared" si="30"/>
        <v>0</v>
      </c>
      <c r="AJ124" s="192">
        <f t="shared" si="31"/>
        <v>0</v>
      </c>
      <c r="AK124" s="192">
        <f t="shared" si="32"/>
        <v>0</v>
      </c>
      <c r="AL124" s="192">
        <f t="shared" si="33"/>
        <v>0</v>
      </c>
    </row>
    <row r="125" spans="2:38" x14ac:dyDescent="0.25">
      <c r="B125" s="7" t="str">
        <f t="shared" si="23"/>
        <v/>
      </c>
      <c r="C125" s="4"/>
      <c r="D125" s="4"/>
      <c r="E125" s="4"/>
      <c r="F125" s="230" t="str">
        <f>IF('תנאי סף'!AO125&lt;&gt;1,"",'תנאי סף'!F125)</f>
        <v/>
      </c>
      <c r="G125" s="159" t="str">
        <f>IF($F125="","",'מספר הרצות'!G125)</f>
        <v/>
      </c>
      <c r="H125" s="6"/>
      <c r="I125" s="6"/>
      <c r="J125" s="6"/>
      <c r="K125" s="6"/>
      <c r="L125" s="6"/>
      <c r="M125" s="6"/>
      <c r="N125" s="6"/>
      <c r="O125" s="6"/>
      <c r="P125" s="177"/>
      <c r="Q125" s="8"/>
      <c r="R125" s="8"/>
      <c r="S125" s="8"/>
      <c r="T125" s="8"/>
      <c r="U125" s="159" t="str">
        <f t="shared" si="24"/>
        <v/>
      </c>
      <c r="V125" s="8">
        <v>1</v>
      </c>
      <c r="W125" s="8" t="str">
        <f t="shared" si="25"/>
        <v/>
      </c>
      <c r="X125" s="8">
        <v>1</v>
      </c>
      <c r="Y125" s="8" t="str">
        <f t="shared" si="26"/>
        <v/>
      </c>
      <c r="Z125" s="123" t="str">
        <f t="shared" si="27"/>
        <v/>
      </c>
      <c r="AA125" s="192">
        <f t="shared" si="28"/>
        <v>0</v>
      </c>
      <c r="AB125" s="192" t="str">
        <f t="shared" si="22"/>
        <v/>
      </c>
      <c r="AC125" s="192" t="str">
        <f t="shared" si="22"/>
        <v/>
      </c>
      <c r="AE125" s="192">
        <f t="shared" si="34"/>
        <v>0</v>
      </c>
      <c r="AF125" s="192">
        <f t="shared" si="35"/>
        <v>0</v>
      </c>
      <c r="AG125" s="192">
        <f t="shared" si="36"/>
        <v>0</v>
      </c>
      <c r="AH125" s="192">
        <f t="shared" si="29"/>
        <v>0</v>
      </c>
      <c r="AI125" s="192">
        <f t="shared" si="30"/>
        <v>0</v>
      </c>
      <c r="AJ125" s="192">
        <f t="shared" si="31"/>
        <v>0</v>
      </c>
      <c r="AK125" s="192">
        <f t="shared" si="32"/>
        <v>0</v>
      </c>
      <c r="AL125" s="192">
        <f t="shared" si="33"/>
        <v>0</v>
      </c>
    </row>
    <row r="126" spans="2:38" x14ac:dyDescent="0.25">
      <c r="B126" s="7" t="str">
        <f t="shared" si="23"/>
        <v/>
      </c>
      <c r="C126" s="4"/>
      <c r="D126" s="4"/>
      <c r="E126" s="4"/>
      <c r="F126" s="230" t="str">
        <f>IF('תנאי סף'!AO126&lt;&gt;1,"",'תנאי סף'!F126)</f>
        <v/>
      </c>
      <c r="G126" s="159" t="str">
        <f>IF($F126="","",'מספר הרצות'!G126)</f>
        <v/>
      </c>
      <c r="H126" s="6"/>
      <c r="I126" s="6"/>
      <c r="J126" s="6"/>
      <c r="K126" s="6"/>
      <c r="L126" s="6"/>
      <c r="M126" s="6"/>
      <c r="N126" s="6"/>
      <c r="O126" s="6"/>
      <c r="P126" s="177"/>
      <c r="Q126" s="8"/>
      <c r="R126" s="8"/>
      <c r="S126" s="8"/>
      <c r="T126" s="8"/>
      <c r="U126" s="159" t="str">
        <f t="shared" si="24"/>
        <v/>
      </c>
      <c r="V126" s="8">
        <v>1</v>
      </c>
      <c r="W126" s="8" t="str">
        <f t="shared" si="25"/>
        <v/>
      </c>
      <c r="X126" s="8">
        <v>1</v>
      </c>
      <c r="Y126" s="8" t="str">
        <f t="shared" si="26"/>
        <v/>
      </c>
      <c r="Z126" s="123" t="str">
        <f t="shared" si="27"/>
        <v/>
      </c>
      <c r="AA126" s="192">
        <f t="shared" si="28"/>
        <v>0</v>
      </c>
      <c r="AB126" s="192" t="str">
        <f t="shared" si="22"/>
        <v/>
      </c>
      <c r="AC126" s="192" t="str">
        <f t="shared" si="22"/>
        <v/>
      </c>
      <c r="AE126" s="192">
        <f t="shared" si="34"/>
        <v>0</v>
      </c>
      <c r="AF126" s="192">
        <f t="shared" si="35"/>
        <v>0</v>
      </c>
      <c r="AG126" s="192">
        <f t="shared" si="36"/>
        <v>0</v>
      </c>
      <c r="AH126" s="192">
        <f t="shared" si="29"/>
        <v>0</v>
      </c>
      <c r="AI126" s="192">
        <f t="shared" si="30"/>
        <v>0</v>
      </c>
      <c r="AJ126" s="192">
        <f t="shared" si="31"/>
        <v>0</v>
      </c>
      <c r="AK126" s="192">
        <f t="shared" si="32"/>
        <v>0</v>
      </c>
      <c r="AL126" s="192">
        <f t="shared" si="33"/>
        <v>0</v>
      </c>
    </row>
    <row r="127" spans="2:38" x14ac:dyDescent="0.25">
      <c r="B127" s="7" t="str">
        <f t="shared" si="23"/>
        <v/>
      </c>
      <c r="C127" s="4"/>
      <c r="D127" s="4"/>
      <c r="E127" s="4"/>
      <c r="F127" s="230" t="str">
        <f>IF('תנאי סף'!AO127&lt;&gt;1,"",'תנאי סף'!F127)</f>
        <v/>
      </c>
      <c r="G127" s="159" t="str">
        <f>IF($F127="","",'מספר הרצות'!G127)</f>
        <v/>
      </c>
      <c r="H127" s="6"/>
      <c r="I127" s="6"/>
      <c r="J127" s="6"/>
      <c r="K127" s="6"/>
      <c r="L127" s="6"/>
      <c r="M127" s="6"/>
      <c r="N127" s="6"/>
      <c r="O127" s="6"/>
      <c r="P127" s="177"/>
      <c r="Q127" s="8"/>
      <c r="R127" s="8"/>
      <c r="S127" s="8"/>
      <c r="T127" s="8"/>
      <c r="U127" s="159" t="str">
        <f t="shared" si="24"/>
        <v/>
      </c>
      <c r="V127" s="8">
        <v>1</v>
      </c>
      <c r="W127" s="8" t="str">
        <f t="shared" si="25"/>
        <v/>
      </c>
      <c r="X127" s="8">
        <v>1</v>
      </c>
      <c r="Y127" s="8" t="str">
        <f t="shared" si="26"/>
        <v/>
      </c>
      <c r="Z127" s="123" t="str">
        <f t="shared" si="27"/>
        <v/>
      </c>
      <c r="AA127" s="192">
        <f t="shared" si="28"/>
        <v>0</v>
      </c>
      <c r="AB127" s="192" t="str">
        <f t="shared" si="22"/>
        <v/>
      </c>
      <c r="AC127" s="192" t="str">
        <f t="shared" si="22"/>
        <v/>
      </c>
      <c r="AE127" s="192">
        <f t="shared" si="34"/>
        <v>0</v>
      </c>
      <c r="AF127" s="192">
        <f t="shared" si="35"/>
        <v>0</v>
      </c>
      <c r="AG127" s="192">
        <f t="shared" si="36"/>
        <v>0</v>
      </c>
      <c r="AH127" s="192">
        <f t="shared" si="29"/>
        <v>0</v>
      </c>
      <c r="AI127" s="192">
        <f t="shared" si="30"/>
        <v>0</v>
      </c>
      <c r="AJ127" s="192">
        <f t="shared" si="31"/>
        <v>0</v>
      </c>
      <c r="AK127" s="192">
        <f t="shared" si="32"/>
        <v>0</v>
      </c>
      <c r="AL127" s="192">
        <f t="shared" si="33"/>
        <v>0</v>
      </c>
    </row>
    <row r="128" spans="2:38" x14ac:dyDescent="0.25">
      <c r="B128" s="7" t="str">
        <f t="shared" si="23"/>
        <v/>
      </c>
      <c r="C128" s="4"/>
      <c r="D128" s="4"/>
      <c r="E128" s="4"/>
      <c r="F128" s="230" t="str">
        <f>IF('תנאי סף'!AO128&lt;&gt;1,"",'תנאי סף'!F128)</f>
        <v/>
      </c>
      <c r="G128" s="159" t="str">
        <f>IF($F128="","",'מספר הרצות'!G128)</f>
        <v/>
      </c>
      <c r="H128" s="6"/>
      <c r="I128" s="6"/>
      <c r="J128" s="6"/>
      <c r="K128" s="6"/>
      <c r="L128" s="6"/>
      <c r="M128" s="6"/>
      <c r="N128" s="6"/>
      <c r="O128" s="6"/>
      <c r="P128" s="177"/>
      <c r="Q128" s="8"/>
      <c r="R128" s="8"/>
      <c r="S128" s="8"/>
      <c r="T128" s="8"/>
      <c r="U128" s="159" t="str">
        <f t="shared" si="24"/>
        <v/>
      </c>
      <c r="V128" s="8">
        <v>1</v>
      </c>
      <c r="W128" s="8" t="str">
        <f t="shared" si="25"/>
        <v/>
      </c>
      <c r="X128" s="8">
        <v>1</v>
      </c>
      <c r="Y128" s="8" t="str">
        <f t="shared" si="26"/>
        <v/>
      </c>
      <c r="Z128" s="123" t="str">
        <f t="shared" si="27"/>
        <v/>
      </c>
      <c r="AA128" s="192">
        <f t="shared" si="28"/>
        <v>0</v>
      </c>
      <c r="AB128" s="192" t="str">
        <f t="shared" si="22"/>
        <v/>
      </c>
      <c r="AC128" s="192" t="str">
        <f t="shared" si="22"/>
        <v/>
      </c>
      <c r="AE128" s="192">
        <f t="shared" si="34"/>
        <v>0</v>
      </c>
      <c r="AF128" s="192">
        <f t="shared" si="35"/>
        <v>0</v>
      </c>
      <c r="AG128" s="192">
        <f t="shared" si="36"/>
        <v>0</v>
      </c>
      <c r="AH128" s="192">
        <f t="shared" si="29"/>
        <v>0</v>
      </c>
      <c r="AI128" s="192">
        <f t="shared" si="30"/>
        <v>0</v>
      </c>
      <c r="AJ128" s="192">
        <f t="shared" si="31"/>
        <v>0</v>
      </c>
      <c r="AK128" s="192">
        <f t="shared" si="32"/>
        <v>0</v>
      </c>
      <c r="AL128" s="192">
        <f t="shared" si="33"/>
        <v>0</v>
      </c>
    </row>
    <row r="129" spans="2:38" x14ac:dyDescent="0.25">
      <c r="B129" s="7" t="str">
        <f t="shared" si="23"/>
        <v/>
      </c>
      <c r="C129" s="4"/>
      <c r="D129" s="4"/>
      <c r="E129" s="4"/>
      <c r="F129" s="230" t="str">
        <f>IF('תנאי סף'!AO129&lt;&gt;1,"",'תנאי סף'!F129)</f>
        <v/>
      </c>
      <c r="G129" s="159" t="str">
        <f>IF($F129="","",'מספר הרצות'!G129)</f>
        <v/>
      </c>
      <c r="H129" s="6"/>
      <c r="I129" s="6"/>
      <c r="J129" s="6"/>
      <c r="K129" s="6"/>
      <c r="L129" s="6"/>
      <c r="M129" s="6"/>
      <c r="N129" s="6"/>
      <c r="O129" s="6"/>
      <c r="P129" s="177"/>
      <c r="Q129" s="8"/>
      <c r="R129" s="8"/>
      <c r="S129" s="8"/>
      <c r="T129" s="8"/>
      <c r="U129" s="159" t="str">
        <f t="shared" si="24"/>
        <v/>
      </c>
      <c r="V129" s="8">
        <v>1</v>
      </c>
      <c r="W129" s="8" t="str">
        <f t="shared" si="25"/>
        <v/>
      </c>
      <c r="X129" s="8">
        <v>1</v>
      </c>
      <c r="Y129" s="8" t="str">
        <f t="shared" si="26"/>
        <v/>
      </c>
      <c r="Z129" s="123" t="str">
        <f t="shared" si="27"/>
        <v/>
      </c>
      <c r="AA129" s="192">
        <f t="shared" si="28"/>
        <v>0</v>
      </c>
      <c r="AB129" s="192" t="str">
        <f t="shared" si="22"/>
        <v/>
      </c>
      <c r="AC129" s="192" t="str">
        <f t="shared" si="22"/>
        <v/>
      </c>
      <c r="AE129" s="192">
        <f t="shared" si="34"/>
        <v>0</v>
      </c>
      <c r="AF129" s="192">
        <f t="shared" si="35"/>
        <v>0</v>
      </c>
      <c r="AG129" s="192">
        <f t="shared" si="36"/>
        <v>0</v>
      </c>
      <c r="AH129" s="192">
        <f t="shared" si="29"/>
        <v>0</v>
      </c>
      <c r="AI129" s="192">
        <f t="shared" si="30"/>
        <v>0</v>
      </c>
      <c r="AJ129" s="192">
        <f t="shared" si="31"/>
        <v>0</v>
      </c>
      <c r="AK129" s="192">
        <f t="shared" si="32"/>
        <v>0</v>
      </c>
      <c r="AL129" s="192">
        <f t="shared" si="33"/>
        <v>0</v>
      </c>
    </row>
    <row r="130" spans="2:38" ht="16.5" thickBot="1" x14ac:dyDescent="0.3">
      <c r="B130" s="7" t="str">
        <f t="shared" si="23"/>
        <v/>
      </c>
      <c r="C130" s="4"/>
      <c r="D130" s="4"/>
      <c r="E130" s="4"/>
      <c r="F130" s="230" t="str">
        <f>IF('תנאי סף'!AO130&lt;&gt;1,"",'תנאי סף'!F130)</f>
        <v/>
      </c>
      <c r="G130" s="159" t="str">
        <f>IF($F130="","",'מספר הרצות'!G130)</f>
        <v/>
      </c>
      <c r="H130" s="6"/>
      <c r="I130" s="6"/>
      <c r="J130" s="6"/>
      <c r="K130" s="6"/>
      <c r="L130" s="6"/>
      <c r="M130" s="6"/>
      <c r="N130" s="6"/>
      <c r="O130" s="6"/>
      <c r="P130" s="177"/>
      <c r="Q130" s="8"/>
      <c r="R130" s="8"/>
      <c r="S130" s="8"/>
      <c r="T130" s="8"/>
      <c r="U130" s="159" t="str">
        <f t="shared" si="24"/>
        <v/>
      </c>
      <c r="V130" s="8">
        <v>1</v>
      </c>
      <c r="W130" s="8" t="str">
        <f t="shared" si="25"/>
        <v/>
      </c>
      <c r="X130" s="8">
        <v>1</v>
      </c>
      <c r="Y130" s="8" t="str">
        <f t="shared" si="26"/>
        <v/>
      </c>
      <c r="Z130" s="123" t="str">
        <f t="shared" si="27"/>
        <v/>
      </c>
      <c r="AA130" s="192">
        <f t="shared" si="28"/>
        <v>0</v>
      </c>
      <c r="AB130" s="192" t="str">
        <f t="shared" si="22"/>
        <v/>
      </c>
      <c r="AC130" s="192" t="str">
        <f t="shared" si="22"/>
        <v/>
      </c>
      <c r="AE130" s="192">
        <f t="shared" si="34"/>
        <v>0</v>
      </c>
      <c r="AF130" s="192">
        <f t="shared" si="35"/>
        <v>0</v>
      </c>
      <c r="AG130" s="192">
        <f t="shared" si="36"/>
        <v>0</v>
      </c>
      <c r="AH130" s="192">
        <f t="shared" si="29"/>
        <v>0</v>
      </c>
      <c r="AI130" s="192">
        <f t="shared" si="30"/>
        <v>0</v>
      </c>
      <c r="AJ130" s="192">
        <f t="shared" si="31"/>
        <v>0</v>
      </c>
      <c r="AK130" s="192">
        <f t="shared" si="32"/>
        <v>0</v>
      </c>
      <c r="AL130" s="192">
        <f t="shared" si="33"/>
        <v>0</v>
      </c>
    </row>
    <row r="131" spans="2:38" ht="19.5" thickBot="1" x14ac:dyDescent="0.35">
      <c r="B131" s="555" t="s">
        <v>77</v>
      </c>
      <c r="C131" s="556"/>
      <c r="D131" s="556"/>
      <c r="E131" s="556"/>
      <c r="F131" s="557"/>
      <c r="G131" s="9">
        <f t="shared" ref="G131:P131" si="37">SUM(G31:G130)</f>
        <v>617</v>
      </c>
      <c r="H131" s="9">
        <f t="shared" si="37"/>
        <v>241</v>
      </c>
      <c r="I131" s="9">
        <f t="shared" si="37"/>
        <v>63</v>
      </c>
      <c r="J131" s="9">
        <f t="shared" si="37"/>
        <v>83</v>
      </c>
      <c r="K131" s="9">
        <f t="shared" si="37"/>
        <v>33</v>
      </c>
      <c r="L131" s="9">
        <f t="shared" si="37"/>
        <v>68</v>
      </c>
      <c r="M131" s="9">
        <f t="shared" si="37"/>
        <v>17</v>
      </c>
      <c r="N131" s="9">
        <f t="shared" si="37"/>
        <v>69</v>
      </c>
      <c r="O131" s="9">
        <f t="shared" si="37"/>
        <v>43</v>
      </c>
      <c r="P131" s="9">
        <f t="shared" si="37"/>
        <v>0</v>
      </c>
      <c r="Q131" s="9">
        <f t="shared" ref="Q131:Z131" si="38">SUM(Q31:Q130)</f>
        <v>0</v>
      </c>
      <c r="R131" s="9">
        <f t="shared" si="38"/>
        <v>0</v>
      </c>
      <c r="S131" s="9">
        <f t="shared" si="38"/>
        <v>0</v>
      </c>
      <c r="T131" s="9">
        <f t="shared" si="38"/>
        <v>0</v>
      </c>
      <c r="U131" s="9">
        <f t="shared" si="38"/>
        <v>447.5</v>
      </c>
      <c r="V131" s="9">
        <f t="shared" si="38"/>
        <v>100</v>
      </c>
      <c r="W131" s="9">
        <f t="shared" si="38"/>
        <v>447.5</v>
      </c>
      <c r="X131" s="9">
        <f t="shared" si="38"/>
        <v>100</v>
      </c>
      <c r="Y131" s="9">
        <f t="shared" si="38"/>
        <v>447.5</v>
      </c>
      <c r="Z131" s="124">
        <f t="shared" si="38"/>
        <v>1.0000000000000002</v>
      </c>
      <c r="AD131" s="193"/>
    </row>
    <row r="132" spans="2:38" x14ac:dyDescent="0.25">
      <c r="AD132" s="193"/>
    </row>
    <row r="133" spans="2:38" x14ac:dyDescent="0.25">
      <c r="AD133" s="193"/>
    </row>
    <row r="134" spans="2:38" x14ac:dyDescent="0.25">
      <c r="AD134" s="193"/>
    </row>
    <row r="135" spans="2:38" x14ac:dyDescent="0.25">
      <c r="AD135" s="193"/>
    </row>
    <row r="136" spans="2:38" x14ac:dyDescent="0.25">
      <c r="AD136" s="193"/>
    </row>
    <row r="137" spans="2:38" x14ac:dyDescent="0.25">
      <c r="AD137" s="193"/>
    </row>
    <row r="138" spans="2:38" x14ac:dyDescent="0.25">
      <c r="AD138" s="193"/>
    </row>
    <row r="139" spans="2:38" x14ac:dyDescent="0.25">
      <c r="AD139" s="193"/>
    </row>
    <row r="140" spans="2:38" x14ac:dyDescent="0.25">
      <c r="AD140" s="193"/>
    </row>
    <row r="141" spans="2:38" x14ac:dyDescent="0.25">
      <c r="AD141" s="193"/>
    </row>
    <row r="142" spans="2:38" x14ac:dyDescent="0.25">
      <c r="AD142" s="193"/>
    </row>
    <row r="143" spans="2:38" x14ac:dyDescent="0.25">
      <c r="AD143" s="193"/>
    </row>
    <row r="144" spans="2:38"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xzZST/N8sNax6UUAyG2Q1ZXyjdPaNVpTtEMc3bVHYXcW4JiTuSY8AP2rg8DgxTg95/cVmoes3RIt3dzQeUShJA==" saltValue="Iqfno4B0zcEpW0Va4acX8Q==" spinCount="100000" sheet="1" scenarios="1" formatCells="0" formatColumns="0" formatRows="0" autoFilter="0"/>
  <mergeCells count="7">
    <mergeCell ref="B1:Z1"/>
    <mergeCell ref="B131:F131"/>
    <mergeCell ref="B28:B30"/>
    <mergeCell ref="F28:F30"/>
    <mergeCell ref="G28:G30"/>
    <mergeCell ref="U28:U30"/>
    <mergeCell ref="Z28:Z30"/>
  </mergeCells>
  <conditionalFormatting sqref="B31:Z130">
    <cfRule type="expression" dxfId="145" priority="1" stopIfTrue="1">
      <formula>AND($F31="",B31&lt;&gt;"")</formula>
    </cfRule>
    <cfRule type="expression" dxfId="144" priority="2">
      <formula>$F31=""</formula>
    </cfRule>
    <cfRule type="expression" dxfId="143" priority="3">
      <formula>B$30&lt;&gt;""</formula>
    </cfRule>
  </conditionalFormatting>
  <dataValidations count="4">
    <dataValidation type="whole" operator="greaterThanOrEqual" allowBlank="1" showInputMessage="1" showErrorMessage="1" errorTitle="נתון שגוי." error="ניתן להזין רק מספר שלם גדול או שווה ל-0." sqref="H31:O130" xr:uid="{00000000-0002-0000-0800-000000000000}">
      <formula1>0</formula1>
    </dataValidation>
    <dataValidation type="list" allowBlank="1" showInputMessage="1" showErrorMessage="1" sqref="G30" xr:uid="{00000000-0002-0000-0800-000001000000}">
      <formula1>$AE$1:$AZ$1</formula1>
    </dataValidation>
    <dataValidation type="list" allowBlank="1" showInputMessage="1" showErrorMessage="1" sqref="H30:P30" xr:uid="{00000000-0002-0000-0800-000002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800-000003000000}">
      <formula1>$AB31:$AC31</formula1>
    </dataValidation>
  </dataValidations>
  <printOptions horizontalCentered="1"/>
  <pageMargins left="0.34" right="0.23" top="0.54" bottom="0.57999999999999996" header="0.31496062992125984" footer="0.31496062992125984"/>
  <pageSetup paperSize="9" scale="18"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A0DE04B2-C26F-4494-98B2-CB96A848EF3A}">
            <xm:f>NOT(ISERROR(SEARCH($AB$1,B31)))</xm:f>
            <xm:f>$AB$1</xm:f>
            <x14:dxf>
              <fill>
                <patternFill>
                  <bgColor rgb="FFFF0000"/>
                </patternFill>
              </fill>
            </x14:dxf>
          </x14:cfRule>
          <xm:sqref>B31:Z130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orksheet______27">
    <tabColor theme="4" tint="-0.249977111117893"/>
  </sheetPr>
  <dimension ref="A1:BJ180"/>
  <sheetViews>
    <sheetView rightToLeft="1" view="pageBreakPreview" topLeftCell="B1" zoomScale="77" zoomScaleNormal="100" zoomScaleSheetLayoutView="77"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5.85546875" style="193" customWidth="1"/>
    <col min="7" max="7" width="20" style="193" customWidth="1"/>
    <col min="8" max="19" width="21.42578125" style="193" hidden="1" customWidth="1"/>
    <col min="20" max="20" width="17.5703125" style="193" hidden="1" customWidth="1"/>
    <col min="21" max="21" width="14" style="193" customWidth="1"/>
    <col min="22" max="23" width="21.42578125" style="193" customWidth="1"/>
    <col min="24" max="25" width="21.42578125" style="193" hidden="1" customWidth="1"/>
    <col min="26" max="26" width="14.28515625" style="193" bestFit="1"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1" customHeight="1" thickBot="1" x14ac:dyDescent="0.3">
      <c r="B1" s="534" t="str">
        <f ca="1">MID(CELL("filename",AC2),FIND("]",CELL("filename",AC2),1)+1,99)</f>
        <v>רמה מקצועית ואמנותית</v>
      </c>
      <c r="C1" s="536"/>
      <c r="D1" s="536"/>
      <c r="E1" s="536"/>
      <c r="F1" s="536"/>
      <c r="G1" s="536"/>
      <c r="H1" s="536"/>
      <c r="I1" s="536"/>
      <c r="J1" s="536"/>
      <c r="K1" s="536"/>
      <c r="L1" s="536"/>
      <c r="M1" s="536"/>
      <c r="N1" s="536"/>
      <c r="O1" s="536"/>
      <c r="P1" s="536"/>
      <c r="Q1" s="536"/>
      <c r="R1" s="536"/>
      <c r="S1" s="536"/>
      <c r="T1" s="536"/>
      <c r="U1" s="536"/>
      <c r="V1" s="536"/>
      <c r="W1" s="536"/>
      <c r="X1" s="536"/>
      <c r="Y1" s="536"/>
      <c r="Z1" s="536"/>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W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0</v>
      </c>
      <c r="AG2" s="192">
        <f>IF(IFERROR(IF(G31=TRUNC(G31),1,"bad"),"bad")="bad",0,1)</f>
        <v>0</v>
      </c>
      <c r="AH2" s="192">
        <f>IF(AND(IF(IFERROR(G31*1,"bad")="bad",0,1)=1,G31&gt;=0),1,0)</f>
        <v>0</v>
      </c>
      <c r="AI2" s="192">
        <f>IF(AND(IF(IFERROR(IF(G31=TRUNC(G31),1,"bad"),"bad")="bad",0,1)=1,G31&gt;=0),1,0)</f>
        <v>0</v>
      </c>
      <c r="AJ2" s="192">
        <f>IF(AND(IF(IFERROR(G31*1,"bad")="bad",0,1)=1,G31&gt;0),1,0)</f>
        <v>0</v>
      </c>
      <c r="AK2" s="192">
        <f>IF(AND(IF(IFERROR(IF(G31=TRUNC(G31),1,"bad"),"bad")="bad",0,1)=1,G31&gt;0),1,0)</f>
        <v>0</v>
      </c>
      <c r="AL2" s="192">
        <v>1</v>
      </c>
      <c r="AM2" s="192">
        <f>IF(IFERROR(HLOOKUP(G31,$BA$30:$BK$30,1,0),"bad")="bad",0,1)</f>
        <v>1</v>
      </c>
    </row>
    <row r="3" spans="2:52" ht="19.5" thickBot="1" x14ac:dyDescent="0.3">
      <c r="W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לקריטריונים'!B121</f>
        <v>רמה מקצועית ואמנותית</v>
      </c>
      <c r="G4" s="406" t="str">
        <f>'פרמטרים לקריטריונים'!C121</f>
        <v>ניקוד</v>
      </c>
      <c r="AD4" s="192" t="s">
        <v>128</v>
      </c>
      <c r="AE4" s="234" t="s">
        <v>89</v>
      </c>
      <c r="AF4" s="235" t="s">
        <v>90</v>
      </c>
      <c r="AG4" s="235" t="s">
        <v>91</v>
      </c>
      <c r="AH4" s="235" t="s">
        <v>92</v>
      </c>
      <c r="AI4" s="235"/>
      <c r="AJ4" s="235"/>
      <c r="AK4" s="235"/>
      <c r="AL4" s="235"/>
      <c r="AM4" s="235"/>
      <c r="AN4" s="236"/>
    </row>
    <row r="5" spans="2:52" x14ac:dyDescent="0.25">
      <c r="F5" s="407" t="str">
        <f>'פרמטרים לקריטריונים'!B122</f>
        <v>נאותה</v>
      </c>
      <c r="G5" s="411">
        <f>'פרמטרים לקריטריונים'!C122</f>
        <v>2</v>
      </c>
    </row>
    <row r="6" spans="2:52" x14ac:dyDescent="0.25">
      <c r="F6" s="407" t="str">
        <f>'פרמטרים לקריטריונים'!B123</f>
        <v>טובה</v>
      </c>
      <c r="G6" s="411">
        <f>'פרמטרים לקריטריונים'!C123</f>
        <v>3</v>
      </c>
    </row>
    <row r="7" spans="2:52" x14ac:dyDescent="0.25">
      <c r="F7" s="407" t="str">
        <f>'פרמטרים לקריטריונים'!B124</f>
        <v>טובה מאוד</v>
      </c>
      <c r="G7" s="411">
        <f>'פרמטרים לקריטריונים'!C124</f>
        <v>4</v>
      </c>
    </row>
    <row r="8" spans="2:52" x14ac:dyDescent="0.25">
      <c r="F8" s="407" t="str">
        <f>'פרמטרים לקריטריונים'!B125</f>
        <v>מצוינת</v>
      </c>
      <c r="G8" s="411">
        <f>'פרמטרים לקריטריונים'!C125</f>
        <v>5</v>
      </c>
    </row>
    <row r="10" spans="2:52" ht="15" hidden="1" customHeight="1" x14ac:dyDescent="0.25"/>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56" ht="15" hidden="1" customHeight="1" x14ac:dyDescent="0.25"/>
    <row r="18" spans="1:56" ht="15" hidden="1" customHeight="1" x14ac:dyDescent="0.25"/>
    <row r="19" spans="1:56" ht="15" hidden="1" customHeight="1" x14ac:dyDescent="0.25"/>
    <row r="20" spans="1:56" ht="15" hidden="1" customHeight="1" x14ac:dyDescent="0.25"/>
    <row r="21" spans="1:56" ht="9.75" hidden="1" customHeight="1" x14ac:dyDescent="0.25"/>
    <row r="22" spans="1:56" ht="15" hidden="1" customHeight="1" x14ac:dyDescent="0.25"/>
    <row r="23" spans="1:56" x14ac:dyDescent="0.25">
      <c r="F23" s="410" t="str">
        <f>'פרמטרים לקריטריונים'!$D$31</f>
        <v>החלת מקדם תלוי משתנה</v>
      </c>
      <c r="G23" s="411">
        <f ca="1">VLOOKUP(B1,'פרמטרים לקריטריונים'!$B$32:$D$46,3,0)</f>
        <v>1</v>
      </c>
    </row>
    <row r="24" spans="1:56" ht="15" hidden="1" customHeight="1" x14ac:dyDescent="0.25"/>
    <row r="25" spans="1:56" ht="15" hidden="1" customHeight="1" x14ac:dyDescent="0.25"/>
    <row r="26" spans="1:56" ht="15" hidden="1" customHeight="1" x14ac:dyDescent="0.25">
      <c r="F26" s="3"/>
      <c r="G26" s="3"/>
      <c r="H26" s="3"/>
      <c r="I26" s="3"/>
      <c r="J26" s="3"/>
      <c r="K26" s="3"/>
      <c r="L26" s="3"/>
      <c r="M26" s="3"/>
      <c r="N26" s="3"/>
      <c r="O26" s="3"/>
      <c r="P26" s="3"/>
      <c r="Q26" s="3"/>
      <c r="R26" s="3"/>
      <c r="S26" s="3"/>
      <c r="T26" s="3"/>
      <c r="U26" s="3"/>
      <c r="V26" s="3"/>
      <c r="W26" s="3"/>
      <c r="X26" s="3"/>
      <c r="Y26" s="3"/>
    </row>
    <row r="27" spans="1:56" ht="15" hidden="1" customHeight="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56" ht="16.5"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167"/>
      <c r="AD28" s="192">
        <f>MATCH(G$30,$AE$1:$AM$1,0)</f>
        <v>9</v>
      </c>
      <c r="AE28" s="192" t="e">
        <f t="shared" ref="AE28:AV28" si="0">MATCH(H$30,$AE$1:$AM$1,0)</f>
        <v>#N/A</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56" ht="30" customHeight="1" thickBot="1" x14ac:dyDescent="0.3">
      <c r="A29" s="221">
        <v>100</v>
      </c>
      <c r="B29" s="544" t="s">
        <v>132</v>
      </c>
      <c r="C29" s="546">
        <f>COLUMN()</f>
        <v>3</v>
      </c>
      <c r="D29" s="546">
        <f>COLUMN()</f>
        <v>4</v>
      </c>
      <c r="E29" s="546">
        <f>COLUMN()</f>
        <v>5</v>
      </c>
      <c r="F29" s="542" t="s">
        <v>133</v>
      </c>
      <c r="G29" s="239" t="s">
        <v>13</v>
      </c>
      <c r="H29" s="232" t="s">
        <v>211</v>
      </c>
      <c r="I29" s="232" t="s">
        <v>201</v>
      </c>
      <c r="J29" s="232" t="s">
        <v>202</v>
      </c>
      <c r="K29" s="232" t="s">
        <v>203</v>
      </c>
      <c r="L29" s="232" t="s">
        <v>204</v>
      </c>
      <c r="M29" s="232" t="s">
        <v>205</v>
      </c>
      <c r="N29" s="232" t="s">
        <v>206</v>
      </c>
      <c r="O29" s="232" t="s">
        <v>207</v>
      </c>
      <c r="P29" s="232" t="s">
        <v>117</v>
      </c>
      <c r="Q29" s="546">
        <f>COLUMN()</f>
        <v>17</v>
      </c>
      <c r="R29" s="546">
        <f>COLUMN()</f>
        <v>18</v>
      </c>
      <c r="S29" s="546">
        <f>COLUMN()</f>
        <v>19</v>
      </c>
      <c r="T29" s="546">
        <f>COLUMN()</f>
        <v>20</v>
      </c>
      <c r="U29" s="542" t="s">
        <v>197</v>
      </c>
      <c r="V29" s="542" t="s">
        <v>193</v>
      </c>
      <c r="W29" s="542" t="s">
        <v>198</v>
      </c>
      <c r="X29" s="546" t="s">
        <v>190</v>
      </c>
      <c r="Y29" s="546" t="s">
        <v>192</v>
      </c>
      <c r="Z29" s="553" t="s">
        <v>199</v>
      </c>
      <c r="AA29" s="224" t="s">
        <v>159</v>
      </c>
      <c r="AD29" s="192" t="str">
        <f>"בקרת "&amp;G29</f>
        <v>בקרת רמה מקצועית ואמנותית</v>
      </c>
      <c r="AE29" s="192" t="str">
        <f t="shared" ref="AE29:AV29" si="1">"בקרת "&amp;H29</f>
        <v>בקרת טור הזנת מספר</v>
      </c>
      <c r="AF29" s="192" t="str">
        <f t="shared" si="1"/>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 t="shared" si="1"/>
        <v>בקרת 0/1</v>
      </c>
      <c r="AN29" s="192" t="str">
        <f t="shared" si="1"/>
        <v>בקרת 17</v>
      </c>
      <c r="AO29" s="192" t="str">
        <f t="shared" si="1"/>
        <v>בקרת 18</v>
      </c>
      <c r="AP29" s="192" t="str">
        <f t="shared" si="1"/>
        <v>בקרת 19</v>
      </c>
      <c r="AQ29" s="192" t="str">
        <f t="shared" si="1"/>
        <v>בקרת 20</v>
      </c>
      <c r="AR29" s="192" t="str">
        <f t="shared" si="1"/>
        <v>בקרת סה"כ ניקוד</v>
      </c>
      <c r="AS29" s="192" t="str">
        <f t="shared" si="1"/>
        <v>בקרת מקדם גודל</v>
      </c>
      <c r="AT29" s="192" t="str">
        <f t="shared" si="1"/>
        <v>בקרת ניקוד לאחר מקדם גודל</v>
      </c>
      <c r="AU29" s="192" t="str">
        <f t="shared" si="1"/>
        <v>בקרת נתון למכפיל1</v>
      </c>
      <c r="AV29" s="192" t="str">
        <f t="shared" si="1"/>
        <v>בקרת ניקוד לאחר מכפיל2</v>
      </c>
      <c r="BA29" s="192" t="s">
        <v>128</v>
      </c>
    </row>
    <row r="30" spans="1:56" ht="23.25" customHeight="1" thickBot="1" x14ac:dyDescent="0.3">
      <c r="A30" s="225"/>
      <c r="B30" s="545"/>
      <c r="C30" s="547"/>
      <c r="D30" s="547"/>
      <c r="E30" s="547"/>
      <c r="F30" s="543"/>
      <c r="G30" s="240" t="s">
        <v>125</v>
      </c>
      <c r="H30" s="233"/>
      <c r="I30" s="233"/>
      <c r="J30" s="233"/>
      <c r="K30" s="233"/>
      <c r="L30" s="233"/>
      <c r="M30" s="233"/>
      <c r="N30" s="233"/>
      <c r="O30" s="233"/>
      <c r="P30" s="233"/>
      <c r="Q30" s="547"/>
      <c r="R30" s="547"/>
      <c r="S30" s="547"/>
      <c r="T30" s="547"/>
      <c r="U30" s="543"/>
      <c r="V30" s="543"/>
      <c r="W30" s="543"/>
      <c r="X30" s="547"/>
      <c r="Y30" s="547"/>
      <c r="Z30" s="554"/>
      <c r="AB30" s="192">
        <v>0</v>
      </c>
      <c r="AC30" s="192">
        <v>1</v>
      </c>
      <c r="AD30" s="192" t="str">
        <f>G30</f>
        <v>טקסט מרשימה סגורה</v>
      </c>
      <c r="AE30" s="192">
        <f t="shared" ref="AE30:AV30" si="2">H30</f>
        <v>0</v>
      </c>
      <c r="AF30" s="192">
        <f t="shared" si="2"/>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t="str">
        <f>AE$4</f>
        <v>נאותה</v>
      </c>
      <c r="BB30" s="192" t="str">
        <f>AF$4</f>
        <v>טובה</v>
      </c>
      <c r="BC30" s="192" t="str">
        <f>AG$4</f>
        <v>טובה מאוד</v>
      </c>
      <c r="BD30" s="192" t="str">
        <f>AH$4</f>
        <v>מצוינת</v>
      </c>
    </row>
    <row r="31" spans="1:56" x14ac:dyDescent="0.25">
      <c r="B31" s="160">
        <f>IF(F31="","",ROW()-30)</f>
        <v>1</v>
      </c>
      <c r="C31" s="157"/>
      <c r="D31" s="157"/>
      <c r="E31" s="157"/>
      <c r="F31" s="349" t="str">
        <f>IF('תנאי סף'!AO31&lt;&gt;1,"",'תנאי סף'!F31)</f>
        <v>אנסמבל פרץ אליהו</v>
      </c>
      <c r="G31" s="158" t="s">
        <v>91</v>
      </c>
      <c r="H31" s="176"/>
      <c r="I31" s="158"/>
      <c r="J31" s="176"/>
      <c r="K31" s="158"/>
      <c r="L31" s="176"/>
      <c r="M31" s="158"/>
      <c r="N31" s="158"/>
      <c r="O31" s="158"/>
      <c r="P31" s="177"/>
      <c r="Q31" s="159"/>
      <c r="R31" s="159"/>
      <c r="S31" s="159"/>
      <c r="T31" s="159"/>
      <c r="U31" s="159">
        <f>IF($F31="","",IF($AA31&lt;&gt;1,$AB$1,MAX(INDEX('הוראת שעה'!$F$6:$F$20,MATCH($Z$2,'הוראת שעה'!$A$6:$A$20,1)),INDEX($G$5:$G$8,MATCH(G31,$F$5:$F$8,0)))))</f>
        <v>4</v>
      </c>
      <c r="V31" s="159">
        <f>סיווג!Z31</f>
        <v>1</v>
      </c>
      <c r="W31" s="159">
        <f>IF($F31="","",IF($AA31&lt;&gt;1,$AB$1,IFERROR(U31*V31,$AB$1)))</f>
        <v>4</v>
      </c>
      <c r="X31" s="159">
        <v>1</v>
      </c>
      <c r="Y31" s="159">
        <f>IF($F31="","",IF($AA31&lt;&gt;1,$AB$1,IFERROR(W31*X31,$AB$1)))</f>
        <v>4</v>
      </c>
      <c r="Z31" s="343">
        <f t="shared" ref="Z31:Z62" si="3">IF($F31="","",IF(OR($AA31&lt;&gt;1,Y31=$AB$1),$AB$1,IFERROR(Y31/SUM($Y$31:$Y$130),0)))</f>
        <v>3.7071362372567189E-2</v>
      </c>
      <c r="AA31" s="192">
        <f>IF(SUM(AD31:AV31)=COUNT(AD31:AV31),1,0)</f>
        <v>1</v>
      </c>
      <c r="AB31" s="192">
        <f>IF($F31="","",AB$30)</f>
        <v>0</v>
      </c>
      <c r="AC31" s="192">
        <f>IF($F31="","",AC$30)</f>
        <v>1</v>
      </c>
      <c r="AD31" s="192">
        <f>IF(G$30="",1,IF(G31="",0,IFERROR(CHOOSE(AD$28,IF(ISNA(MATCH(G31,$AB$30:$AC$30,0)),0,1),IF(ISNUMBER(G31),1,0),IF(G31=TRUNC(G31),1,0),IF(AND(G31*1=G31,G31&gt;=0),1,0),IF(AND(G31=TRUNC(G31),G31&gt;=0),1,0),IF(AND(G31*1=G31,G31&gt;0),1,0),IF(AND(G31=TRUNC(G31),G31&gt;0),1,0),1,IF(ISNA(HLOOKUP(G31,$AE$4:$AN$4,1,0)),0,1)),0)))</f>
        <v>1</v>
      </c>
      <c r="BA31" s="192" t="str">
        <f t="shared" ref="BA31:BD50" si="4">IF($F31="","",BA$30)</f>
        <v>נאותה</v>
      </c>
      <c r="BB31" s="192" t="str">
        <f t="shared" si="4"/>
        <v>טובה</v>
      </c>
      <c r="BC31" s="192" t="str">
        <f t="shared" si="4"/>
        <v>טובה מאוד</v>
      </c>
      <c r="BD31" s="192" t="str">
        <f t="shared" si="4"/>
        <v>מצוינת</v>
      </c>
    </row>
    <row r="32" spans="1:56" x14ac:dyDescent="0.25">
      <c r="B32" s="242" t="str">
        <f t="shared" ref="B32:B95" si="5">IF(F32="","",ROW()-30)</f>
        <v/>
      </c>
      <c r="C32" s="4"/>
      <c r="D32" s="4"/>
      <c r="E32" s="4"/>
      <c r="F32" s="350" t="str">
        <f>IF('תנאי סף'!AO32&lt;&gt;1,"",'תנאי סף'!F32)</f>
        <v/>
      </c>
      <c r="G32" s="158"/>
      <c r="H32" s="5"/>
      <c r="I32" s="6"/>
      <c r="J32" s="5"/>
      <c r="K32" s="6"/>
      <c r="L32" s="5"/>
      <c r="M32" s="6"/>
      <c r="N32" s="6"/>
      <c r="O32" s="158"/>
      <c r="P32" s="177"/>
      <c r="Q32" s="8"/>
      <c r="R32" s="8"/>
      <c r="S32" s="8"/>
      <c r="T32" s="8"/>
      <c r="U32" s="159" t="str">
        <f>IF($F32="","",IF($AA32&lt;&gt;1,$AB$1,MAX(INDEX('הוראת שעה'!$F$6:$F$20,MATCH($Z$2,'הוראת שעה'!$A$6:$A$20,1)),INDEX($G$5:$G$8,MATCH(G32,$F$5:$F$8,0)))))</f>
        <v/>
      </c>
      <c r="V32" s="159" t="str">
        <f>סיווג!Z32</f>
        <v/>
      </c>
      <c r="W32" s="8" t="str">
        <f t="shared" ref="W32:W95" si="6">IF($F32="","",IF($AA32&lt;&gt;1,$AB$1,IFERROR(U32*V32,$AB$1)))</f>
        <v/>
      </c>
      <c r="X32" s="8">
        <v>1</v>
      </c>
      <c r="Y32" s="8" t="str">
        <f t="shared" ref="Y32:Y95" si="7">IF($F32="","",IF($AA32&lt;&gt;1,$AB$1,IFERROR(W32*X32,$AB$1)))</f>
        <v/>
      </c>
      <c r="Z32" s="351" t="str">
        <f t="shared" si="3"/>
        <v/>
      </c>
      <c r="AA32" s="192">
        <f t="shared" ref="AA32:AA95" si="8">IF(SUM(AD32:AV32)=COUNT(AD32:AV32),1,0)</f>
        <v>0</v>
      </c>
      <c r="AB32" s="192" t="str">
        <f t="shared" ref="AB32:AC63" si="9">IF($F32="","",AB$30)</f>
        <v/>
      </c>
      <c r="AC32" s="192" t="str">
        <f t="shared" si="9"/>
        <v/>
      </c>
      <c r="AD32" s="192">
        <f t="shared" ref="AD32:AD95" si="10">IF(G$30="",1,IF(G32="",0,IFERROR(CHOOSE(AD$28,IF(ISNA(MATCH(G32,$AB$30:$AC$30,0)),0,1),IF(ISNUMBER(G32),1,0),IF(G32=TRUNC(G32),1,0),IF(AND(G32*1=G32,G32&gt;=0),1,0),IF(AND(G32=TRUNC(G32),G32&gt;=0),1,0),IF(AND(G32*1=G32,G32&gt;0),1,0),IF(AND(G32=TRUNC(G32),G32&gt;0),1,0),1,IF(ISNA(HLOOKUP(G32,$AE$4:$AN$4,1,0)),0,1)),0)))</f>
        <v>0</v>
      </c>
      <c r="BA32" s="192" t="str">
        <f t="shared" si="4"/>
        <v/>
      </c>
      <c r="BB32" s="192" t="str">
        <f t="shared" si="4"/>
        <v/>
      </c>
      <c r="BC32" s="192" t="str">
        <f t="shared" si="4"/>
        <v/>
      </c>
      <c r="BD32" s="192" t="str">
        <f t="shared" si="4"/>
        <v/>
      </c>
    </row>
    <row r="33" spans="2:56" x14ac:dyDescent="0.25">
      <c r="B33" s="242" t="str">
        <f t="shared" si="5"/>
        <v/>
      </c>
      <c r="C33" s="4"/>
      <c r="D33" s="4"/>
      <c r="E33" s="4"/>
      <c r="F33" s="350" t="str">
        <f>IF('תנאי סף'!AO33&lt;&gt;1,"",'תנאי סף'!F33)</f>
        <v/>
      </c>
      <c r="G33" s="158"/>
      <c r="H33" s="5"/>
      <c r="I33" s="6"/>
      <c r="J33" s="5"/>
      <c r="K33" s="6"/>
      <c r="L33" s="5"/>
      <c r="M33" s="6"/>
      <c r="N33" s="6"/>
      <c r="O33" s="158"/>
      <c r="P33" s="177"/>
      <c r="Q33" s="8"/>
      <c r="R33" s="8"/>
      <c r="S33" s="8"/>
      <c r="T33" s="8"/>
      <c r="U33" s="159" t="str">
        <f>IF($F33="","",IF($AA33&lt;&gt;1,$AB$1,MAX(INDEX('הוראת שעה'!$F$6:$F$20,MATCH($Z$2,'הוראת שעה'!$A$6:$A$20,1)),INDEX($G$5:$G$8,MATCH(G33,$F$5:$F$8,0)))))</f>
        <v/>
      </c>
      <c r="V33" s="159" t="str">
        <f>סיווג!Z33</f>
        <v/>
      </c>
      <c r="W33" s="8" t="str">
        <f t="shared" si="6"/>
        <v/>
      </c>
      <c r="X33" s="8">
        <v>1</v>
      </c>
      <c r="Y33" s="8" t="str">
        <f t="shared" si="7"/>
        <v/>
      </c>
      <c r="Z33" s="351" t="str">
        <f t="shared" si="3"/>
        <v/>
      </c>
      <c r="AA33" s="192">
        <f t="shared" si="8"/>
        <v>0</v>
      </c>
      <c r="AB33" s="192" t="str">
        <f t="shared" si="9"/>
        <v/>
      </c>
      <c r="AC33" s="192" t="str">
        <f t="shared" si="9"/>
        <v/>
      </c>
      <c r="AD33" s="192">
        <f t="shared" si="10"/>
        <v>0</v>
      </c>
      <c r="BA33" s="192" t="str">
        <f t="shared" si="4"/>
        <v/>
      </c>
      <c r="BB33" s="192" t="str">
        <f t="shared" si="4"/>
        <v/>
      </c>
      <c r="BC33" s="192" t="str">
        <f t="shared" si="4"/>
        <v/>
      </c>
      <c r="BD33" s="192" t="str">
        <f t="shared" si="4"/>
        <v/>
      </c>
    </row>
    <row r="34" spans="2:56" x14ac:dyDescent="0.25">
      <c r="B34" s="242">
        <f t="shared" si="5"/>
        <v>4</v>
      </c>
      <c r="C34" s="4"/>
      <c r="D34" s="4"/>
      <c r="E34" s="4"/>
      <c r="F34" s="350" t="str">
        <f>IF('תנאי סף'!AO34&lt;&gt;1,"",'תנאי סף'!F34)</f>
        <v>יניב ד'אור - אנסמבל נאיה</v>
      </c>
      <c r="G34" s="158" t="s">
        <v>91</v>
      </c>
      <c r="H34" s="5"/>
      <c r="I34" s="6"/>
      <c r="J34" s="5"/>
      <c r="K34" s="6"/>
      <c r="L34" s="5"/>
      <c r="M34" s="6"/>
      <c r="N34" s="6"/>
      <c r="O34" s="158"/>
      <c r="P34" s="177"/>
      <c r="Q34" s="8"/>
      <c r="R34" s="8"/>
      <c r="S34" s="8"/>
      <c r="T34" s="8"/>
      <c r="U34" s="159">
        <f>IF($F34="","",IF($AA34&lt;&gt;1,$AB$1,MAX(INDEX('הוראת שעה'!$F$6:$F$20,MATCH($Z$2,'הוראת שעה'!$A$6:$A$20,1)),INDEX($G$5:$G$8,MATCH(G34,$F$5:$F$8,0)))))</f>
        <v>4</v>
      </c>
      <c r="V34" s="159">
        <f>סיווג!Z34</f>
        <v>0.8</v>
      </c>
      <c r="W34" s="8">
        <f t="shared" si="6"/>
        <v>3.2</v>
      </c>
      <c r="X34" s="8">
        <v>1</v>
      </c>
      <c r="Y34" s="8">
        <f t="shared" si="7"/>
        <v>3.2</v>
      </c>
      <c r="Z34" s="351">
        <f t="shared" si="3"/>
        <v>2.9657089898053754E-2</v>
      </c>
      <c r="AA34" s="192">
        <f t="shared" si="8"/>
        <v>1</v>
      </c>
      <c r="AB34" s="192">
        <f t="shared" si="9"/>
        <v>0</v>
      </c>
      <c r="AC34" s="192">
        <f t="shared" si="9"/>
        <v>1</v>
      </c>
      <c r="AD34" s="192">
        <f t="shared" si="10"/>
        <v>1</v>
      </c>
      <c r="BA34" s="192" t="str">
        <f t="shared" si="4"/>
        <v>נאותה</v>
      </c>
      <c r="BB34" s="192" t="str">
        <f t="shared" si="4"/>
        <v>טובה</v>
      </c>
      <c r="BC34" s="192" t="str">
        <f t="shared" si="4"/>
        <v>טובה מאוד</v>
      </c>
      <c r="BD34" s="192" t="str">
        <f t="shared" si="4"/>
        <v>מצוינת</v>
      </c>
    </row>
    <row r="35" spans="2:56" x14ac:dyDescent="0.25">
      <c r="B35" s="242" t="str">
        <f t="shared" si="5"/>
        <v/>
      </c>
      <c r="C35" s="4"/>
      <c r="D35" s="4"/>
      <c r="E35" s="4"/>
      <c r="F35" s="350" t="str">
        <f>IF('תנאי סף'!AO35&lt;&gt;1,"",'תנאי סף'!F35)</f>
        <v/>
      </c>
      <c r="G35" s="158"/>
      <c r="H35" s="5"/>
      <c r="I35" s="6"/>
      <c r="J35" s="5"/>
      <c r="K35" s="6"/>
      <c r="L35" s="5"/>
      <c r="M35" s="6"/>
      <c r="N35" s="6"/>
      <c r="O35" s="158"/>
      <c r="P35" s="177"/>
      <c r="Q35" s="8"/>
      <c r="R35" s="8"/>
      <c r="S35" s="8"/>
      <c r="T35" s="8"/>
      <c r="U35" s="159" t="str">
        <f>IF($F35="","",IF($AA35&lt;&gt;1,$AB$1,MAX(INDEX('הוראת שעה'!$F$6:$F$20,MATCH($Z$2,'הוראת שעה'!$A$6:$A$20,1)),INDEX($G$5:$G$8,MATCH(G35,$F$5:$F$8,0)))))</f>
        <v/>
      </c>
      <c r="V35" s="159" t="str">
        <f>סיווג!Z35</f>
        <v/>
      </c>
      <c r="W35" s="8" t="str">
        <f t="shared" si="6"/>
        <v/>
      </c>
      <c r="X35" s="8">
        <v>1</v>
      </c>
      <c r="Y35" s="8" t="str">
        <f t="shared" si="7"/>
        <v/>
      </c>
      <c r="Z35" s="351" t="str">
        <f t="shared" si="3"/>
        <v/>
      </c>
      <c r="AA35" s="192">
        <f t="shared" si="8"/>
        <v>0</v>
      </c>
      <c r="AB35" s="192" t="str">
        <f t="shared" si="9"/>
        <v/>
      </c>
      <c r="AC35" s="192" t="str">
        <f t="shared" si="9"/>
        <v/>
      </c>
      <c r="AD35" s="192">
        <f t="shared" si="10"/>
        <v>0</v>
      </c>
      <c r="BA35" s="192" t="str">
        <f t="shared" si="4"/>
        <v/>
      </c>
      <c r="BB35" s="192" t="str">
        <f t="shared" si="4"/>
        <v/>
      </c>
      <c r="BC35" s="192" t="str">
        <f t="shared" si="4"/>
        <v/>
      </c>
      <c r="BD35" s="192" t="str">
        <f t="shared" si="4"/>
        <v/>
      </c>
    </row>
    <row r="36" spans="2:56" x14ac:dyDescent="0.25">
      <c r="B36" s="242">
        <f t="shared" si="5"/>
        <v>6</v>
      </c>
      <c r="C36" s="4"/>
      <c r="D36" s="4"/>
      <c r="E36" s="4"/>
      <c r="F36" s="350" t="str">
        <f>IF('תנאי סף'!AO36&lt;&gt;1,"",'תנאי סף'!F36)</f>
        <v>הפרויקט הקאמרי הישראלי</v>
      </c>
      <c r="G36" s="158" t="s">
        <v>92</v>
      </c>
      <c r="H36" s="5"/>
      <c r="I36" s="6"/>
      <c r="J36" s="5"/>
      <c r="K36" s="6"/>
      <c r="L36" s="5"/>
      <c r="M36" s="6"/>
      <c r="N36" s="6"/>
      <c r="O36" s="158"/>
      <c r="P36" s="177"/>
      <c r="Q36" s="8"/>
      <c r="R36" s="8"/>
      <c r="S36" s="8"/>
      <c r="T36" s="8"/>
      <c r="U36" s="159">
        <f>IF($F36="","",IF($AA36&lt;&gt;1,$AB$1,MAX(INDEX('הוראת שעה'!$F$6:$F$20,MATCH($Z$2,'הוראת שעה'!$A$6:$A$20,1)),INDEX($G$5:$G$8,MATCH(G36,$F$5:$F$8,0)))))</f>
        <v>5</v>
      </c>
      <c r="V36" s="159">
        <f>סיווג!Z36</f>
        <v>1</v>
      </c>
      <c r="W36" s="8">
        <f t="shared" si="6"/>
        <v>5</v>
      </c>
      <c r="X36" s="8">
        <v>1</v>
      </c>
      <c r="Y36" s="8">
        <f t="shared" si="7"/>
        <v>5</v>
      </c>
      <c r="Z36" s="351">
        <f t="shared" si="3"/>
        <v>4.6339202965708988E-2</v>
      </c>
      <c r="AA36" s="192">
        <f t="shared" si="8"/>
        <v>1</v>
      </c>
      <c r="AB36" s="192">
        <f t="shared" si="9"/>
        <v>0</v>
      </c>
      <c r="AC36" s="192">
        <f t="shared" si="9"/>
        <v>1</v>
      </c>
      <c r="AD36" s="192">
        <f t="shared" si="10"/>
        <v>1</v>
      </c>
      <c r="BA36" s="192" t="str">
        <f t="shared" si="4"/>
        <v>נאותה</v>
      </c>
      <c r="BB36" s="192" t="str">
        <f t="shared" si="4"/>
        <v>טובה</v>
      </c>
      <c r="BC36" s="192" t="str">
        <f t="shared" si="4"/>
        <v>טובה מאוד</v>
      </c>
      <c r="BD36" s="192" t="str">
        <f t="shared" si="4"/>
        <v>מצוינת</v>
      </c>
    </row>
    <row r="37" spans="2:56" x14ac:dyDescent="0.25">
      <c r="B37" s="242">
        <f t="shared" si="5"/>
        <v>7</v>
      </c>
      <c r="C37" s="4"/>
      <c r="D37" s="4"/>
      <c r="E37" s="4"/>
      <c r="F37" s="350" t="str">
        <f>IF('תנאי סף'!AO37&lt;&gt;1,"",'תנאי סף'!F37)</f>
        <v>מארש דונדורמה</v>
      </c>
      <c r="G37" s="158" t="s">
        <v>91</v>
      </c>
      <c r="H37" s="5"/>
      <c r="I37" s="6"/>
      <c r="J37" s="5"/>
      <c r="K37" s="6"/>
      <c r="L37" s="5"/>
      <c r="M37" s="6"/>
      <c r="N37" s="6"/>
      <c r="O37" s="158"/>
      <c r="P37" s="177"/>
      <c r="Q37" s="8"/>
      <c r="R37" s="8"/>
      <c r="S37" s="8"/>
      <c r="T37" s="8"/>
      <c r="U37" s="159">
        <f>IF($F37="","",IF($AA37&lt;&gt;1,$AB$1,MAX(INDEX('הוראת שעה'!$F$6:$F$20,MATCH($Z$2,'הוראת שעה'!$A$6:$A$20,1)),INDEX($G$5:$G$8,MATCH(G37,$F$5:$F$8,0)))))</f>
        <v>4</v>
      </c>
      <c r="V37" s="159">
        <f>סיווג!Z37</f>
        <v>1</v>
      </c>
      <c r="W37" s="8">
        <f t="shared" si="6"/>
        <v>4</v>
      </c>
      <c r="X37" s="8">
        <v>1</v>
      </c>
      <c r="Y37" s="8">
        <f t="shared" si="7"/>
        <v>4</v>
      </c>
      <c r="Z37" s="351">
        <f t="shared" si="3"/>
        <v>3.7071362372567189E-2</v>
      </c>
      <c r="AA37" s="192">
        <f t="shared" si="8"/>
        <v>1</v>
      </c>
      <c r="AB37" s="192">
        <f t="shared" si="9"/>
        <v>0</v>
      </c>
      <c r="AC37" s="192">
        <f t="shared" si="9"/>
        <v>1</v>
      </c>
      <c r="AD37" s="192">
        <f t="shared" si="10"/>
        <v>1</v>
      </c>
      <c r="BA37" s="192" t="str">
        <f t="shared" si="4"/>
        <v>נאותה</v>
      </c>
      <c r="BB37" s="192" t="str">
        <f t="shared" si="4"/>
        <v>טובה</v>
      </c>
      <c r="BC37" s="192" t="str">
        <f t="shared" si="4"/>
        <v>טובה מאוד</v>
      </c>
      <c r="BD37" s="192" t="str">
        <f t="shared" si="4"/>
        <v>מצוינת</v>
      </c>
    </row>
    <row r="38" spans="2:56" x14ac:dyDescent="0.25">
      <c r="B38" s="242">
        <f t="shared" si="5"/>
        <v>8</v>
      </c>
      <c r="C38" s="4"/>
      <c r="D38" s="4"/>
      <c r="E38" s="4"/>
      <c r="F38" s="350" t="str">
        <f>IF('תנאי סף'!AO38&lt;&gt;1,"",'תנאי סף'!F38)</f>
        <v>להקת מורין נהדר</v>
      </c>
      <c r="G38" s="158" t="s">
        <v>90</v>
      </c>
      <c r="H38" s="5"/>
      <c r="I38" s="6"/>
      <c r="J38" s="5"/>
      <c r="K38" s="6"/>
      <c r="L38" s="5"/>
      <c r="M38" s="6"/>
      <c r="N38" s="6"/>
      <c r="O38" s="158"/>
      <c r="P38" s="177"/>
      <c r="Q38" s="8"/>
      <c r="R38" s="8"/>
      <c r="S38" s="8"/>
      <c r="T38" s="8"/>
      <c r="U38" s="159">
        <f>IF($F38="","",IF($AA38&lt;&gt;1,$AB$1,MAX(INDEX('הוראת שעה'!$F$6:$F$20,MATCH($Z$2,'הוראת שעה'!$A$6:$A$20,1)),INDEX($G$5:$G$8,MATCH(G38,$F$5:$F$8,0)))))</f>
        <v>3</v>
      </c>
      <c r="V38" s="159">
        <f>סיווג!Z38</f>
        <v>0.5</v>
      </c>
      <c r="W38" s="8">
        <f t="shared" si="6"/>
        <v>1.5</v>
      </c>
      <c r="X38" s="8">
        <v>1</v>
      </c>
      <c r="Y38" s="8">
        <f t="shared" si="7"/>
        <v>1.5</v>
      </c>
      <c r="Z38" s="351">
        <f t="shared" si="3"/>
        <v>1.3901760889712697E-2</v>
      </c>
      <c r="AA38" s="192">
        <f t="shared" si="8"/>
        <v>1</v>
      </c>
      <c r="AB38" s="192">
        <f t="shared" si="9"/>
        <v>0</v>
      </c>
      <c r="AC38" s="192">
        <f t="shared" si="9"/>
        <v>1</v>
      </c>
      <c r="AD38" s="192">
        <f t="shared" si="10"/>
        <v>1</v>
      </c>
      <c r="BA38" s="192" t="str">
        <f t="shared" si="4"/>
        <v>נאותה</v>
      </c>
      <c r="BB38" s="192" t="str">
        <f t="shared" si="4"/>
        <v>טובה</v>
      </c>
      <c r="BC38" s="192" t="str">
        <f t="shared" si="4"/>
        <v>טובה מאוד</v>
      </c>
      <c r="BD38" s="192" t="str">
        <f t="shared" si="4"/>
        <v>מצוינת</v>
      </c>
    </row>
    <row r="39" spans="2:56" x14ac:dyDescent="0.25">
      <c r="B39" s="242" t="str">
        <f t="shared" si="5"/>
        <v/>
      </c>
      <c r="C39" s="4"/>
      <c r="D39" s="4"/>
      <c r="E39" s="4"/>
      <c r="F39" s="350" t="str">
        <f>IF('תנאי סף'!AO39&lt;&gt;1,"",'תנאי סף'!F39)</f>
        <v/>
      </c>
      <c r="G39" s="158"/>
      <c r="H39" s="5"/>
      <c r="I39" s="6"/>
      <c r="J39" s="5"/>
      <c r="K39" s="6"/>
      <c r="L39" s="5"/>
      <c r="M39" s="6"/>
      <c r="N39" s="6"/>
      <c r="O39" s="158"/>
      <c r="P39" s="177"/>
      <c r="Q39" s="8"/>
      <c r="R39" s="8"/>
      <c r="S39" s="8"/>
      <c r="T39" s="8"/>
      <c r="U39" s="159" t="str">
        <f>IF($F39="","",IF($AA39&lt;&gt;1,$AB$1,MAX(INDEX('הוראת שעה'!$F$6:$F$20,MATCH($Z$2,'הוראת שעה'!$A$6:$A$20,1)),INDEX($G$5:$G$8,MATCH(G39,$F$5:$F$8,0)))))</f>
        <v/>
      </c>
      <c r="V39" s="159" t="str">
        <f>סיווג!Z39</f>
        <v/>
      </c>
      <c r="W39" s="8" t="str">
        <f t="shared" si="6"/>
        <v/>
      </c>
      <c r="X39" s="8">
        <v>1</v>
      </c>
      <c r="Y39" s="8" t="str">
        <f t="shared" si="7"/>
        <v/>
      </c>
      <c r="Z39" s="351" t="str">
        <f t="shared" si="3"/>
        <v/>
      </c>
      <c r="AA39" s="192">
        <f t="shared" si="8"/>
        <v>0</v>
      </c>
      <c r="AB39" s="192" t="str">
        <f t="shared" si="9"/>
        <v/>
      </c>
      <c r="AC39" s="192" t="str">
        <f t="shared" si="9"/>
        <v/>
      </c>
      <c r="AD39" s="192">
        <f t="shared" si="10"/>
        <v>0</v>
      </c>
      <c r="BA39" s="192" t="str">
        <f t="shared" si="4"/>
        <v/>
      </c>
      <c r="BB39" s="192" t="str">
        <f t="shared" si="4"/>
        <v/>
      </c>
      <c r="BC39" s="192" t="str">
        <f t="shared" si="4"/>
        <v/>
      </c>
      <c r="BD39" s="192" t="str">
        <f t="shared" si="4"/>
        <v/>
      </c>
    </row>
    <row r="40" spans="2:56" x14ac:dyDescent="0.25">
      <c r="B40" s="243">
        <f t="shared" si="5"/>
        <v>10</v>
      </c>
      <c r="C40" s="365"/>
      <c r="D40" s="365"/>
      <c r="E40" s="365"/>
      <c r="F40" s="366" t="str">
        <f>IF('תנאי סף'!AO40&lt;&gt;1,"",'תנאי סף'!F40)</f>
        <v>אנסמבל גלעד אפרת</v>
      </c>
      <c r="G40" s="412" t="s">
        <v>91</v>
      </c>
      <c r="H40" s="368"/>
      <c r="I40" s="367"/>
      <c r="J40" s="368"/>
      <c r="K40" s="367"/>
      <c r="L40" s="368"/>
      <c r="M40" s="367"/>
      <c r="N40" s="367"/>
      <c r="O40" s="412"/>
      <c r="P40" s="413"/>
      <c r="Q40" s="369"/>
      <c r="R40" s="369"/>
      <c r="S40" s="369"/>
      <c r="T40" s="369"/>
      <c r="U40" s="159">
        <f>IF($F40="","",IF($AA40&lt;&gt;1,$AB$1,MAX(INDEX('הוראת שעה'!$F$6:$F$20,MATCH($Z$2,'הוראת שעה'!$A$6:$A$20,1)),INDEX($G$5:$G$8,MATCH(G40,$F$5:$F$8,0)))))</f>
        <v>4</v>
      </c>
      <c r="V40" s="159">
        <f>סיווג!Z40</f>
        <v>1</v>
      </c>
      <c r="W40" s="369">
        <f t="shared" si="6"/>
        <v>4</v>
      </c>
      <c r="X40" s="369">
        <v>1</v>
      </c>
      <c r="Y40" s="369">
        <f t="shared" si="7"/>
        <v>4</v>
      </c>
      <c r="Z40" s="370">
        <f t="shared" si="3"/>
        <v>3.7071362372567189E-2</v>
      </c>
      <c r="AA40" s="192">
        <f t="shared" si="8"/>
        <v>1</v>
      </c>
      <c r="AB40" s="192">
        <f t="shared" si="9"/>
        <v>0</v>
      </c>
      <c r="AC40" s="192">
        <f t="shared" si="9"/>
        <v>1</v>
      </c>
      <c r="AD40" s="192">
        <f t="shared" si="10"/>
        <v>1</v>
      </c>
      <c r="BA40" s="192" t="str">
        <f t="shared" si="4"/>
        <v>נאותה</v>
      </c>
      <c r="BB40" s="192" t="str">
        <f t="shared" si="4"/>
        <v>טובה</v>
      </c>
      <c r="BC40" s="192" t="str">
        <f t="shared" si="4"/>
        <v>טובה מאוד</v>
      </c>
      <c r="BD40" s="192" t="str">
        <f t="shared" si="4"/>
        <v>מצוינת</v>
      </c>
    </row>
    <row r="41" spans="2:56" x14ac:dyDescent="0.25">
      <c r="B41" s="7">
        <f t="shared" si="5"/>
        <v>11</v>
      </c>
      <c r="C41" s="4"/>
      <c r="D41" s="4"/>
      <c r="E41" s="4"/>
      <c r="F41" s="350" t="str">
        <f>IF('תנאי סף'!AO41&lt;&gt;1,"",'תנאי סף'!F41)</f>
        <v>רביעיית כרמל</v>
      </c>
      <c r="G41" s="158" t="s">
        <v>92</v>
      </c>
      <c r="H41" s="5"/>
      <c r="I41" s="6"/>
      <c r="J41" s="5"/>
      <c r="K41" s="6"/>
      <c r="L41" s="5"/>
      <c r="M41" s="6"/>
      <c r="N41" s="6"/>
      <c r="O41" s="158"/>
      <c r="P41" s="177"/>
      <c r="Q41" s="8"/>
      <c r="R41" s="8"/>
      <c r="S41" s="8"/>
      <c r="T41" s="8"/>
      <c r="U41" s="159">
        <f>IF($F41="","",IF($AA41&lt;&gt;1,$AB$1,MAX(INDEX('הוראת שעה'!$F$6:$F$20,MATCH($Z$2,'הוראת שעה'!$A$6:$A$20,1)),INDEX($G$5:$G$8,MATCH(G41,$F$5:$F$8,0)))))</f>
        <v>5</v>
      </c>
      <c r="V41" s="159">
        <f>סיווג!Z41</f>
        <v>1</v>
      </c>
      <c r="W41" s="8">
        <f t="shared" si="6"/>
        <v>5</v>
      </c>
      <c r="X41" s="8">
        <v>1</v>
      </c>
      <c r="Y41" s="8">
        <f t="shared" si="7"/>
        <v>5</v>
      </c>
      <c r="Z41" s="352">
        <f t="shared" si="3"/>
        <v>4.6339202965708988E-2</v>
      </c>
      <c r="AA41" s="192">
        <f t="shared" si="8"/>
        <v>1</v>
      </c>
      <c r="AB41" s="192">
        <f t="shared" si="9"/>
        <v>0</v>
      </c>
      <c r="AC41" s="192">
        <f t="shared" si="9"/>
        <v>1</v>
      </c>
      <c r="AD41" s="192">
        <f t="shared" si="10"/>
        <v>1</v>
      </c>
      <c r="BA41" s="192" t="str">
        <f t="shared" si="4"/>
        <v>נאותה</v>
      </c>
      <c r="BB41" s="192" t="str">
        <f t="shared" si="4"/>
        <v>טובה</v>
      </c>
      <c r="BC41" s="192" t="str">
        <f t="shared" si="4"/>
        <v>טובה מאוד</v>
      </c>
      <c r="BD41" s="192" t="str">
        <f t="shared" si="4"/>
        <v>מצוינת</v>
      </c>
    </row>
    <row r="42" spans="2:56" x14ac:dyDescent="0.25">
      <c r="B42" s="7">
        <f t="shared" si="5"/>
        <v>12</v>
      </c>
      <c r="C42" s="4"/>
      <c r="D42" s="4"/>
      <c r="E42" s="4"/>
      <c r="F42" s="350" t="str">
        <f>IF('תנאי סף'!AO42&lt;&gt;1,"",'תנאי סף'!F42)</f>
        <v>שורולה</v>
      </c>
      <c r="G42" s="158" t="s">
        <v>91</v>
      </c>
      <c r="H42" s="5"/>
      <c r="I42" s="6"/>
      <c r="J42" s="5"/>
      <c r="K42" s="6"/>
      <c r="L42" s="5"/>
      <c r="M42" s="6"/>
      <c r="N42" s="6"/>
      <c r="O42" s="158"/>
      <c r="P42" s="177"/>
      <c r="Q42" s="8"/>
      <c r="R42" s="8"/>
      <c r="S42" s="8"/>
      <c r="T42" s="8"/>
      <c r="U42" s="159">
        <f>IF($F42="","",IF($AA42&lt;&gt;1,$AB$1,MAX(INDEX('הוראת שעה'!$F$6:$F$20,MATCH($Z$2,'הוראת שעה'!$A$6:$A$20,1)),INDEX($G$5:$G$8,MATCH(G42,$F$5:$F$8,0)))))</f>
        <v>4</v>
      </c>
      <c r="V42" s="159">
        <f>סיווג!Z42</f>
        <v>0.5</v>
      </c>
      <c r="W42" s="8">
        <f t="shared" si="6"/>
        <v>2</v>
      </c>
      <c r="X42" s="8">
        <v>1</v>
      </c>
      <c r="Y42" s="8">
        <f t="shared" si="7"/>
        <v>2</v>
      </c>
      <c r="Z42" s="352">
        <f t="shared" si="3"/>
        <v>1.8535681186283594E-2</v>
      </c>
      <c r="AA42" s="192">
        <f t="shared" si="8"/>
        <v>1</v>
      </c>
      <c r="AB42" s="192">
        <f t="shared" si="9"/>
        <v>0</v>
      </c>
      <c r="AC42" s="192">
        <f t="shared" si="9"/>
        <v>1</v>
      </c>
      <c r="AD42" s="192">
        <f t="shared" si="10"/>
        <v>1</v>
      </c>
      <c r="BA42" s="192" t="str">
        <f t="shared" si="4"/>
        <v>נאותה</v>
      </c>
      <c r="BB42" s="192" t="str">
        <f t="shared" si="4"/>
        <v>טובה</v>
      </c>
      <c r="BC42" s="192" t="str">
        <f t="shared" si="4"/>
        <v>טובה מאוד</v>
      </c>
      <c r="BD42" s="192" t="str">
        <f t="shared" si="4"/>
        <v>מצוינת</v>
      </c>
    </row>
    <row r="43" spans="2:56" x14ac:dyDescent="0.25">
      <c r="B43" s="7" t="str">
        <f t="shared" si="5"/>
        <v/>
      </c>
      <c r="C43" s="4"/>
      <c r="D43" s="4"/>
      <c r="E43" s="4"/>
      <c r="F43" s="350" t="str">
        <f>IF('תנאי סף'!AO43&lt;&gt;1,"",'תנאי סף'!F43)</f>
        <v/>
      </c>
      <c r="G43" s="158"/>
      <c r="H43" s="5"/>
      <c r="I43" s="6"/>
      <c r="J43" s="5"/>
      <c r="K43" s="6"/>
      <c r="L43" s="5"/>
      <c r="M43" s="6"/>
      <c r="N43" s="6"/>
      <c r="O43" s="158"/>
      <c r="P43" s="177"/>
      <c r="Q43" s="8"/>
      <c r="R43" s="8"/>
      <c r="S43" s="8"/>
      <c r="T43" s="8"/>
      <c r="U43" s="159" t="str">
        <f>IF($F43="","",IF($AA43&lt;&gt;1,$AB$1,MAX(INDEX('הוראת שעה'!$F$6:$F$20,MATCH($Z$2,'הוראת שעה'!$A$6:$A$20,1)),INDEX($G$5:$G$8,MATCH(G43,$F$5:$F$8,0)))))</f>
        <v/>
      </c>
      <c r="V43" s="159" t="str">
        <f>סיווג!Z43</f>
        <v/>
      </c>
      <c r="W43" s="8" t="str">
        <f t="shared" si="6"/>
        <v/>
      </c>
      <c r="X43" s="8">
        <v>1</v>
      </c>
      <c r="Y43" s="8" t="str">
        <f t="shared" si="7"/>
        <v/>
      </c>
      <c r="Z43" s="352" t="str">
        <f t="shared" si="3"/>
        <v/>
      </c>
      <c r="AA43" s="192">
        <f t="shared" si="8"/>
        <v>0</v>
      </c>
      <c r="AB43" s="192" t="str">
        <f t="shared" si="9"/>
        <v/>
      </c>
      <c r="AC43" s="192" t="str">
        <f t="shared" si="9"/>
        <v/>
      </c>
      <c r="AD43" s="192">
        <f t="shared" si="10"/>
        <v>0</v>
      </c>
      <c r="BA43" s="192" t="str">
        <f t="shared" si="4"/>
        <v/>
      </c>
      <c r="BB43" s="192" t="str">
        <f t="shared" si="4"/>
        <v/>
      </c>
      <c r="BC43" s="192" t="str">
        <f t="shared" si="4"/>
        <v/>
      </c>
      <c r="BD43" s="192" t="str">
        <f t="shared" si="4"/>
        <v/>
      </c>
    </row>
    <row r="44" spans="2:56" x14ac:dyDescent="0.25">
      <c r="B44" s="7" t="str">
        <f t="shared" si="5"/>
        <v/>
      </c>
      <c r="C44" s="4"/>
      <c r="D44" s="4"/>
      <c r="E44" s="4"/>
      <c r="F44" s="350" t="str">
        <f>IF('תנאי סף'!AO44&lt;&gt;1,"",'תנאי סף'!F44)</f>
        <v/>
      </c>
      <c r="G44" s="158"/>
      <c r="H44" s="5"/>
      <c r="I44" s="6"/>
      <c r="J44" s="5"/>
      <c r="K44" s="6"/>
      <c r="L44" s="5"/>
      <c r="M44" s="6"/>
      <c r="N44" s="6"/>
      <c r="O44" s="158"/>
      <c r="P44" s="177"/>
      <c r="Q44" s="8"/>
      <c r="R44" s="8"/>
      <c r="S44" s="8"/>
      <c r="T44" s="8"/>
      <c r="U44" s="159" t="str">
        <f>IF($F44="","",IF($AA44&lt;&gt;1,$AB$1,MAX(INDEX('הוראת שעה'!$F$6:$F$20,MATCH($Z$2,'הוראת שעה'!$A$6:$A$20,1)),INDEX($G$5:$G$8,MATCH(G44,$F$5:$F$8,0)))))</f>
        <v/>
      </c>
      <c r="V44" s="159" t="str">
        <f>סיווג!Z44</f>
        <v/>
      </c>
      <c r="W44" s="8" t="str">
        <f t="shared" si="6"/>
        <v/>
      </c>
      <c r="X44" s="8">
        <v>1</v>
      </c>
      <c r="Y44" s="8" t="str">
        <f t="shared" si="7"/>
        <v/>
      </c>
      <c r="Z44" s="352" t="str">
        <f t="shared" si="3"/>
        <v/>
      </c>
      <c r="AA44" s="192">
        <f t="shared" si="8"/>
        <v>0</v>
      </c>
      <c r="AB44" s="192" t="str">
        <f t="shared" si="9"/>
        <v/>
      </c>
      <c r="AC44" s="192" t="str">
        <f t="shared" si="9"/>
        <v/>
      </c>
      <c r="AD44" s="192">
        <f t="shared" si="10"/>
        <v>0</v>
      </c>
      <c r="BA44" s="192" t="str">
        <f t="shared" si="4"/>
        <v/>
      </c>
      <c r="BB44" s="192" t="str">
        <f t="shared" si="4"/>
        <v/>
      </c>
      <c r="BC44" s="192" t="str">
        <f t="shared" si="4"/>
        <v/>
      </c>
      <c r="BD44" s="192" t="str">
        <f t="shared" si="4"/>
        <v/>
      </c>
    </row>
    <row r="45" spans="2:56" x14ac:dyDescent="0.25">
      <c r="B45" s="7" t="str">
        <f t="shared" si="5"/>
        <v/>
      </c>
      <c r="C45" s="4"/>
      <c r="D45" s="4"/>
      <c r="E45" s="4"/>
      <c r="F45" s="350" t="str">
        <f>IF('תנאי סף'!AO45&lt;&gt;1,"",'תנאי סף'!F45)</f>
        <v/>
      </c>
      <c r="G45" s="412"/>
      <c r="H45" s="5"/>
      <c r="I45" s="6"/>
      <c r="J45" s="5"/>
      <c r="K45" s="6"/>
      <c r="L45" s="5"/>
      <c r="M45" s="6"/>
      <c r="N45" s="6"/>
      <c r="O45" s="158"/>
      <c r="P45" s="177"/>
      <c r="Q45" s="8"/>
      <c r="R45" s="8"/>
      <c r="S45" s="8"/>
      <c r="T45" s="8"/>
      <c r="U45" s="159" t="str">
        <f>IF($F45="","",IF($AA45&lt;&gt;1,$AB$1,MAX(INDEX('הוראת שעה'!$F$6:$F$20,MATCH($Z$2,'הוראת שעה'!$A$6:$A$20,1)),INDEX($G$5:$G$8,MATCH(G45,$F$5:$F$8,0)))))</f>
        <v/>
      </c>
      <c r="V45" s="159" t="str">
        <f>סיווג!Z45</f>
        <v/>
      </c>
      <c r="W45" s="8" t="str">
        <f t="shared" si="6"/>
        <v/>
      </c>
      <c r="X45" s="8">
        <v>1</v>
      </c>
      <c r="Y45" s="8" t="str">
        <f t="shared" si="7"/>
        <v/>
      </c>
      <c r="Z45" s="352" t="str">
        <f t="shared" si="3"/>
        <v/>
      </c>
      <c r="AA45" s="192">
        <f t="shared" si="8"/>
        <v>0</v>
      </c>
      <c r="AB45" s="192" t="str">
        <f t="shared" si="9"/>
        <v/>
      </c>
      <c r="AC45" s="192" t="str">
        <f t="shared" si="9"/>
        <v/>
      </c>
      <c r="AD45" s="192">
        <f t="shared" si="10"/>
        <v>0</v>
      </c>
      <c r="BA45" s="192" t="str">
        <f t="shared" si="4"/>
        <v/>
      </c>
      <c r="BB45" s="192" t="str">
        <f t="shared" si="4"/>
        <v/>
      </c>
      <c r="BC45" s="192" t="str">
        <f t="shared" si="4"/>
        <v/>
      </c>
      <c r="BD45" s="192" t="str">
        <f t="shared" si="4"/>
        <v/>
      </c>
    </row>
    <row r="46" spans="2:56" x14ac:dyDescent="0.25">
      <c r="B46" s="7" t="str">
        <f t="shared" si="5"/>
        <v/>
      </c>
      <c r="C46" s="4"/>
      <c r="D46" s="4"/>
      <c r="E46" s="4"/>
      <c r="F46" s="350" t="str">
        <f>IF('תנאי סף'!AO46&lt;&gt;1,"",'תנאי סף'!F46)</f>
        <v/>
      </c>
      <c r="G46" s="158"/>
      <c r="H46" s="5"/>
      <c r="I46" s="6"/>
      <c r="J46" s="5"/>
      <c r="K46" s="6"/>
      <c r="L46" s="5"/>
      <c r="M46" s="6"/>
      <c r="N46" s="6"/>
      <c r="O46" s="158"/>
      <c r="P46" s="177"/>
      <c r="Q46" s="8"/>
      <c r="R46" s="8"/>
      <c r="S46" s="8"/>
      <c r="T46" s="8"/>
      <c r="U46" s="159" t="str">
        <f>IF($F46="","",IF($AA46&lt;&gt;1,$AB$1,MAX(INDEX('הוראת שעה'!$F$6:$F$20,MATCH($Z$2,'הוראת שעה'!$A$6:$A$20,1)),INDEX($G$5:$G$8,MATCH(G46,$F$5:$F$8,0)))))</f>
        <v/>
      </c>
      <c r="V46" s="159" t="str">
        <f>סיווג!Z46</f>
        <v/>
      </c>
      <c r="W46" s="8" t="str">
        <f t="shared" si="6"/>
        <v/>
      </c>
      <c r="X46" s="8">
        <v>1</v>
      </c>
      <c r="Y46" s="8" t="str">
        <f t="shared" si="7"/>
        <v/>
      </c>
      <c r="Z46" s="352" t="str">
        <f t="shared" si="3"/>
        <v/>
      </c>
      <c r="AA46" s="192">
        <f t="shared" si="8"/>
        <v>0</v>
      </c>
      <c r="AB46" s="192" t="str">
        <f t="shared" si="9"/>
        <v/>
      </c>
      <c r="AC46" s="192" t="str">
        <f t="shared" si="9"/>
        <v/>
      </c>
      <c r="AD46" s="192">
        <f t="shared" si="10"/>
        <v>0</v>
      </c>
      <c r="BA46" s="192" t="str">
        <f t="shared" si="4"/>
        <v/>
      </c>
      <c r="BB46" s="192" t="str">
        <f t="shared" si="4"/>
        <v/>
      </c>
      <c r="BC46" s="192" t="str">
        <f t="shared" si="4"/>
        <v/>
      </c>
      <c r="BD46" s="192" t="str">
        <f t="shared" si="4"/>
        <v/>
      </c>
    </row>
    <row r="47" spans="2:56" x14ac:dyDescent="0.25">
      <c r="B47" s="7">
        <f t="shared" si="5"/>
        <v>17</v>
      </c>
      <c r="C47" s="4"/>
      <c r="D47" s="4"/>
      <c r="E47" s="4"/>
      <c r="F47" s="350" t="str">
        <f>IF('תנאי סף'!AO47&lt;&gt;1,"",'תנאי סף'!F47)</f>
        <v>הרכב עמית פרידמן</v>
      </c>
      <c r="G47" s="158" t="s">
        <v>91</v>
      </c>
      <c r="H47" s="5"/>
      <c r="I47" s="6"/>
      <c r="J47" s="5"/>
      <c r="K47" s="6"/>
      <c r="L47" s="5"/>
      <c r="M47" s="6"/>
      <c r="N47" s="6"/>
      <c r="O47" s="158"/>
      <c r="P47" s="177"/>
      <c r="Q47" s="8"/>
      <c r="R47" s="8"/>
      <c r="S47" s="8"/>
      <c r="T47" s="8"/>
      <c r="U47" s="159">
        <f>IF($F47="","",IF($AA47&lt;&gt;1,$AB$1,MAX(INDEX('הוראת שעה'!$F$6:$F$20,MATCH($Z$2,'הוראת שעה'!$A$6:$A$20,1)),INDEX($G$5:$G$8,MATCH(G47,$F$5:$F$8,0)))))</f>
        <v>4</v>
      </c>
      <c r="V47" s="159">
        <f>סיווג!Z47</f>
        <v>0.8</v>
      </c>
      <c r="W47" s="8">
        <f t="shared" si="6"/>
        <v>3.2</v>
      </c>
      <c r="X47" s="8">
        <v>1</v>
      </c>
      <c r="Y47" s="8">
        <f t="shared" si="7"/>
        <v>3.2</v>
      </c>
      <c r="Z47" s="352">
        <f t="shared" si="3"/>
        <v>2.9657089898053754E-2</v>
      </c>
      <c r="AA47" s="192">
        <f t="shared" si="8"/>
        <v>1</v>
      </c>
      <c r="AB47" s="192">
        <f t="shared" si="9"/>
        <v>0</v>
      </c>
      <c r="AC47" s="192">
        <f t="shared" si="9"/>
        <v>1</v>
      </c>
      <c r="AD47" s="192">
        <f t="shared" si="10"/>
        <v>1</v>
      </c>
      <c r="BA47" s="192" t="str">
        <f t="shared" si="4"/>
        <v>נאותה</v>
      </c>
      <c r="BB47" s="192" t="str">
        <f t="shared" si="4"/>
        <v>טובה</v>
      </c>
      <c r="BC47" s="192" t="str">
        <f t="shared" si="4"/>
        <v>טובה מאוד</v>
      </c>
      <c r="BD47" s="192" t="str">
        <f t="shared" si="4"/>
        <v>מצוינת</v>
      </c>
    </row>
    <row r="48" spans="2:56" x14ac:dyDescent="0.25">
      <c r="B48" s="7" t="str">
        <f t="shared" si="5"/>
        <v/>
      </c>
      <c r="C48" s="4"/>
      <c r="D48" s="4"/>
      <c r="E48" s="4"/>
      <c r="F48" s="350" t="str">
        <f>IF('תנאי סף'!AO48&lt;&gt;1,"",'תנאי סף'!F48)</f>
        <v/>
      </c>
      <c r="G48" s="158"/>
      <c r="H48" s="5"/>
      <c r="I48" s="6"/>
      <c r="J48" s="5"/>
      <c r="K48" s="6"/>
      <c r="L48" s="5"/>
      <c r="M48" s="6"/>
      <c r="N48" s="6"/>
      <c r="O48" s="158"/>
      <c r="P48" s="177"/>
      <c r="Q48" s="8"/>
      <c r="R48" s="8"/>
      <c r="S48" s="8"/>
      <c r="T48" s="8"/>
      <c r="U48" s="159" t="str">
        <f>IF($F48="","",IF($AA48&lt;&gt;1,$AB$1,MAX(INDEX('הוראת שעה'!$F$6:$F$20,MATCH($Z$2,'הוראת שעה'!$A$6:$A$20,1)),INDEX($G$5:$G$8,MATCH(G48,$F$5:$F$8,0)))))</f>
        <v/>
      </c>
      <c r="V48" s="159" t="str">
        <f>סיווג!Z48</f>
        <v/>
      </c>
      <c r="W48" s="8" t="str">
        <f t="shared" si="6"/>
        <v/>
      </c>
      <c r="X48" s="8">
        <v>1</v>
      </c>
      <c r="Y48" s="8" t="str">
        <f t="shared" si="7"/>
        <v/>
      </c>
      <c r="Z48" s="352" t="str">
        <f t="shared" si="3"/>
        <v/>
      </c>
      <c r="AA48" s="192">
        <f t="shared" si="8"/>
        <v>0</v>
      </c>
      <c r="AB48" s="192" t="str">
        <f t="shared" si="9"/>
        <v/>
      </c>
      <c r="AC48" s="192" t="str">
        <f t="shared" si="9"/>
        <v/>
      </c>
      <c r="AD48" s="192">
        <f t="shared" si="10"/>
        <v>0</v>
      </c>
      <c r="BA48" s="192" t="str">
        <f t="shared" si="4"/>
        <v/>
      </c>
      <c r="BB48" s="192" t="str">
        <f t="shared" si="4"/>
        <v/>
      </c>
      <c r="BC48" s="192" t="str">
        <f t="shared" si="4"/>
        <v/>
      </c>
      <c r="BD48" s="192" t="str">
        <f t="shared" si="4"/>
        <v/>
      </c>
    </row>
    <row r="49" spans="2:56" x14ac:dyDescent="0.25">
      <c r="B49" s="7" t="str">
        <f t="shared" si="5"/>
        <v/>
      </c>
      <c r="C49" s="4"/>
      <c r="D49" s="4"/>
      <c r="E49" s="4"/>
      <c r="F49" s="350" t="str">
        <f>IF('תנאי סף'!AO49&lt;&gt;1,"",'תנאי סף'!F49)</f>
        <v/>
      </c>
      <c r="G49" s="158"/>
      <c r="H49" s="5"/>
      <c r="I49" s="6"/>
      <c r="J49" s="5"/>
      <c r="K49" s="6"/>
      <c r="L49" s="5"/>
      <c r="M49" s="6"/>
      <c r="N49" s="6"/>
      <c r="O49" s="158"/>
      <c r="P49" s="177"/>
      <c r="Q49" s="8"/>
      <c r="R49" s="8"/>
      <c r="S49" s="8"/>
      <c r="T49" s="8"/>
      <c r="U49" s="159" t="str">
        <f>IF($F49="","",IF($AA49&lt;&gt;1,$AB$1,MAX(INDEX('הוראת שעה'!$F$6:$F$20,MATCH($Z$2,'הוראת שעה'!$A$6:$A$20,1)),INDEX($G$5:$G$8,MATCH(G49,$F$5:$F$8,0)))))</f>
        <v/>
      </c>
      <c r="V49" s="159" t="str">
        <f>סיווג!Z49</f>
        <v/>
      </c>
      <c r="W49" s="8" t="str">
        <f t="shared" si="6"/>
        <v/>
      </c>
      <c r="X49" s="8">
        <v>1</v>
      </c>
      <c r="Y49" s="8" t="str">
        <f t="shared" si="7"/>
        <v/>
      </c>
      <c r="Z49" s="352" t="str">
        <f t="shared" si="3"/>
        <v/>
      </c>
      <c r="AA49" s="192">
        <f t="shared" si="8"/>
        <v>0</v>
      </c>
      <c r="AB49" s="192" t="str">
        <f t="shared" si="9"/>
        <v/>
      </c>
      <c r="AC49" s="192" t="str">
        <f t="shared" si="9"/>
        <v/>
      </c>
      <c r="AD49" s="192">
        <f t="shared" si="10"/>
        <v>0</v>
      </c>
      <c r="BA49" s="192" t="str">
        <f t="shared" si="4"/>
        <v/>
      </c>
      <c r="BB49" s="192" t="str">
        <f t="shared" si="4"/>
        <v/>
      </c>
      <c r="BC49" s="192" t="str">
        <f t="shared" si="4"/>
        <v/>
      </c>
      <c r="BD49" s="192" t="str">
        <f t="shared" si="4"/>
        <v/>
      </c>
    </row>
    <row r="50" spans="2:56" x14ac:dyDescent="0.25">
      <c r="B50" s="7" t="str">
        <f t="shared" si="5"/>
        <v/>
      </c>
      <c r="C50" s="4"/>
      <c r="D50" s="4"/>
      <c r="E50" s="4"/>
      <c r="F50" s="350" t="str">
        <f>IF('תנאי סף'!AO50&lt;&gt;1,"",'תנאי סף'!F50)</f>
        <v/>
      </c>
      <c r="G50" s="412"/>
      <c r="H50" s="5"/>
      <c r="I50" s="6"/>
      <c r="J50" s="5"/>
      <c r="K50" s="6"/>
      <c r="L50" s="5"/>
      <c r="M50" s="6"/>
      <c r="N50" s="6"/>
      <c r="O50" s="158"/>
      <c r="P50" s="177"/>
      <c r="Q50" s="8"/>
      <c r="R50" s="8"/>
      <c r="S50" s="8"/>
      <c r="T50" s="8"/>
      <c r="U50" s="159" t="str">
        <f>IF($F50="","",IF($AA50&lt;&gt;1,$AB$1,MAX(INDEX('הוראת שעה'!$F$6:$F$20,MATCH($Z$2,'הוראת שעה'!$A$6:$A$20,1)),INDEX($G$5:$G$8,MATCH(G50,$F$5:$F$8,0)))))</f>
        <v/>
      </c>
      <c r="V50" s="159" t="str">
        <f>סיווג!Z50</f>
        <v/>
      </c>
      <c r="W50" s="8" t="str">
        <f t="shared" si="6"/>
        <v/>
      </c>
      <c r="X50" s="8">
        <v>1</v>
      </c>
      <c r="Y50" s="8" t="str">
        <f t="shared" si="7"/>
        <v/>
      </c>
      <c r="Z50" s="352" t="str">
        <f t="shared" si="3"/>
        <v/>
      </c>
      <c r="AA50" s="192">
        <f t="shared" si="8"/>
        <v>0</v>
      </c>
      <c r="AB50" s="192" t="str">
        <f t="shared" si="9"/>
        <v/>
      </c>
      <c r="AC50" s="192" t="str">
        <f t="shared" si="9"/>
        <v/>
      </c>
      <c r="AD50" s="192">
        <f t="shared" si="10"/>
        <v>0</v>
      </c>
      <c r="BA50" s="192" t="str">
        <f t="shared" si="4"/>
        <v/>
      </c>
      <c r="BB50" s="192" t="str">
        <f t="shared" si="4"/>
        <v/>
      </c>
      <c r="BC50" s="192" t="str">
        <f t="shared" si="4"/>
        <v/>
      </c>
      <c r="BD50" s="192" t="str">
        <f t="shared" si="4"/>
        <v/>
      </c>
    </row>
    <row r="51" spans="2:56" x14ac:dyDescent="0.25">
      <c r="B51" s="7">
        <f t="shared" si="5"/>
        <v>21</v>
      </c>
      <c r="C51" s="4"/>
      <c r="D51" s="4"/>
      <c r="E51" s="4"/>
      <c r="F51" s="350" t="str">
        <f>IF('תנאי סף'!AO51&lt;&gt;1,"",'תנאי סף'!F51)</f>
        <v>חמישיית תל אביב לכלי נשיפה</v>
      </c>
      <c r="G51" s="158" t="s">
        <v>92</v>
      </c>
      <c r="H51" s="5"/>
      <c r="I51" s="6"/>
      <c r="J51" s="5"/>
      <c r="K51" s="6"/>
      <c r="L51" s="5"/>
      <c r="M51" s="6"/>
      <c r="N51" s="6"/>
      <c r="O51" s="158"/>
      <c r="P51" s="177"/>
      <c r="Q51" s="8"/>
      <c r="R51" s="8"/>
      <c r="S51" s="8"/>
      <c r="T51" s="8"/>
      <c r="U51" s="159">
        <f>IF($F51="","",IF($AA51&lt;&gt;1,$AB$1,MAX(INDEX('הוראת שעה'!$F$6:$F$20,MATCH($Z$2,'הוראת שעה'!$A$6:$A$20,1)),INDEX($G$5:$G$8,MATCH(G51,$F$5:$F$8,0)))))</f>
        <v>5</v>
      </c>
      <c r="V51" s="159">
        <f>סיווג!Z51</f>
        <v>1</v>
      </c>
      <c r="W51" s="8">
        <f t="shared" si="6"/>
        <v>5</v>
      </c>
      <c r="X51" s="8">
        <v>1</v>
      </c>
      <c r="Y51" s="8">
        <f t="shared" si="7"/>
        <v>5</v>
      </c>
      <c r="Z51" s="352">
        <f t="shared" si="3"/>
        <v>4.6339202965708988E-2</v>
      </c>
      <c r="AA51" s="192">
        <f t="shared" si="8"/>
        <v>1</v>
      </c>
      <c r="AB51" s="192">
        <f t="shared" si="9"/>
        <v>0</v>
      </c>
      <c r="AC51" s="192">
        <f t="shared" si="9"/>
        <v>1</v>
      </c>
      <c r="AD51" s="192">
        <f t="shared" si="10"/>
        <v>1</v>
      </c>
      <c r="BA51" s="192" t="str">
        <f t="shared" ref="BA51:BD70" si="11">IF($F51="","",BA$30)</f>
        <v>נאותה</v>
      </c>
      <c r="BB51" s="192" t="str">
        <f t="shared" si="11"/>
        <v>טובה</v>
      </c>
      <c r="BC51" s="192" t="str">
        <f t="shared" si="11"/>
        <v>טובה מאוד</v>
      </c>
      <c r="BD51" s="192" t="str">
        <f t="shared" si="11"/>
        <v>מצוינת</v>
      </c>
    </row>
    <row r="52" spans="2:56" x14ac:dyDescent="0.25">
      <c r="B52" s="7">
        <f t="shared" si="5"/>
        <v>22</v>
      </c>
      <c r="C52" s="4"/>
      <c r="D52" s="4"/>
      <c r="E52" s="4"/>
      <c r="F52" s="350" t="str">
        <f>IF('תנאי סף'!AO52&lt;&gt;1,"",'תנאי סף'!F52)</f>
        <v>הרכב אקוט</v>
      </c>
      <c r="G52" s="158" t="s">
        <v>90</v>
      </c>
      <c r="H52" s="5"/>
      <c r="I52" s="6"/>
      <c r="J52" s="5"/>
      <c r="K52" s="6"/>
      <c r="L52" s="5"/>
      <c r="M52" s="6"/>
      <c r="N52" s="6"/>
      <c r="O52" s="158"/>
      <c r="P52" s="177"/>
      <c r="Q52" s="8"/>
      <c r="R52" s="8"/>
      <c r="S52" s="8"/>
      <c r="T52" s="8"/>
      <c r="U52" s="159">
        <f>IF($F52="","",IF($AA52&lt;&gt;1,$AB$1,MAX(INDEX('הוראת שעה'!$F$6:$F$20,MATCH($Z$2,'הוראת שעה'!$A$6:$A$20,1)),INDEX($G$5:$G$8,MATCH(G52,$F$5:$F$8,0)))))</f>
        <v>3</v>
      </c>
      <c r="V52" s="159">
        <f>סיווג!Z52</f>
        <v>1</v>
      </c>
      <c r="W52" s="8">
        <f t="shared" si="6"/>
        <v>3</v>
      </c>
      <c r="X52" s="8">
        <v>1</v>
      </c>
      <c r="Y52" s="8">
        <f t="shared" si="7"/>
        <v>3</v>
      </c>
      <c r="Z52" s="352">
        <f t="shared" si="3"/>
        <v>2.7803521779425393E-2</v>
      </c>
      <c r="AA52" s="192">
        <f t="shared" si="8"/>
        <v>1</v>
      </c>
      <c r="AB52" s="192">
        <f t="shared" si="9"/>
        <v>0</v>
      </c>
      <c r="AC52" s="192">
        <f t="shared" si="9"/>
        <v>1</v>
      </c>
      <c r="AD52" s="192">
        <f t="shared" si="10"/>
        <v>1</v>
      </c>
      <c r="BA52" s="192" t="str">
        <f t="shared" si="11"/>
        <v>נאותה</v>
      </c>
      <c r="BB52" s="192" t="str">
        <f t="shared" si="11"/>
        <v>טובה</v>
      </c>
      <c r="BC52" s="192" t="str">
        <f t="shared" si="11"/>
        <v>טובה מאוד</v>
      </c>
      <c r="BD52" s="192" t="str">
        <f t="shared" si="11"/>
        <v>מצוינת</v>
      </c>
    </row>
    <row r="53" spans="2:56" x14ac:dyDescent="0.25">
      <c r="B53" s="7">
        <f t="shared" si="5"/>
        <v>23</v>
      </c>
      <c r="C53" s="4"/>
      <c r="D53" s="4"/>
      <c r="E53" s="4"/>
      <c r="F53" s="350" t="str">
        <f>IF('תנאי סף'!AO53&lt;&gt;1,"",'תנאי סף'!F53)</f>
        <v>שלישיית עתר</v>
      </c>
      <c r="G53" s="158" t="s">
        <v>91</v>
      </c>
      <c r="H53" s="5"/>
      <c r="I53" s="6"/>
      <c r="J53" s="5"/>
      <c r="K53" s="6"/>
      <c r="L53" s="5"/>
      <c r="M53" s="6"/>
      <c r="N53" s="6"/>
      <c r="O53" s="158"/>
      <c r="P53" s="177"/>
      <c r="Q53" s="8"/>
      <c r="R53" s="8"/>
      <c r="S53" s="8"/>
      <c r="T53" s="8"/>
      <c r="U53" s="159">
        <f>IF($F53="","",IF($AA53&lt;&gt;1,$AB$1,MAX(INDEX('הוראת שעה'!$F$6:$F$20,MATCH($Z$2,'הוראת שעה'!$A$6:$A$20,1)),INDEX($G$5:$G$8,MATCH(G53,$F$5:$F$8,0)))))</f>
        <v>4</v>
      </c>
      <c r="V53" s="159">
        <f>סיווג!Z53</f>
        <v>0.5</v>
      </c>
      <c r="W53" s="8">
        <f t="shared" si="6"/>
        <v>2</v>
      </c>
      <c r="X53" s="8">
        <v>1</v>
      </c>
      <c r="Y53" s="8">
        <f t="shared" si="7"/>
        <v>2</v>
      </c>
      <c r="Z53" s="352">
        <f t="shared" si="3"/>
        <v>1.8535681186283594E-2</v>
      </c>
      <c r="AA53" s="192">
        <f t="shared" si="8"/>
        <v>1</v>
      </c>
      <c r="AB53" s="192">
        <f t="shared" si="9"/>
        <v>0</v>
      </c>
      <c r="AC53" s="192">
        <f t="shared" si="9"/>
        <v>1</v>
      </c>
      <c r="AD53" s="192">
        <f t="shared" si="10"/>
        <v>1</v>
      </c>
      <c r="BA53" s="192" t="str">
        <f t="shared" si="11"/>
        <v>נאותה</v>
      </c>
      <c r="BB53" s="192" t="str">
        <f t="shared" si="11"/>
        <v>טובה</v>
      </c>
      <c r="BC53" s="192" t="str">
        <f t="shared" si="11"/>
        <v>טובה מאוד</v>
      </c>
      <c r="BD53" s="192" t="str">
        <f t="shared" si="11"/>
        <v>מצוינת</v>
      </c>
    </row>
    <row r="54" spans="2:56" x14ac:dyDescent="0.25">
      <c r="B54" s="7" t="str">
        <f t="shared" si="5"/>
        <v/>
      </c>
      <c r="C54" s="4"/>
      <c r="D54" s="4"/>
      <c r="E54" s="4"/>
      <c r="F54" s="350" t="str">
        <f>IF('תנאי סף'!AO54&lt;&gt;1,"",'תנאי סף'!F54)</f>
        <v/>
      </c>
      <c r="G54" s="158"/>
      <c r="H54" s="5"/>
      <c r="I54" s="6"/>
      <c r="J54" s="5"/>
      <c r="K54" s="6"/>
      <c r="L54" s="5"/>
      <c r="M54" s="6"/>
      <c r="N54" s="6"/>
      <c r="O54" s="158"/>
      <c r="P54" s="177"/>
      <c r="Q54" s="8"/>
      <c r="R54" s="8"/>
      <c r="S54" s="8"/>
      <c r="T54" s="8"/>
      <c r="U54" s="159" t="str">
        <f>IF($F54="","",IF($AA54&lt;&gt;1,$AB$1,MAX(INDEX('הוראת שעה'!$F$6:$F$20,MATCH($Z$2,'הוראת שעה'!$A$6:$A$20,1)),INDEX($G$5:$G$8,MATCH(G54,$F$5:$F$8,0)))))</f>
        <v/>
      </c>
      <c r="V54" s="159" t="str">
        <f>סיווג!Z54</f>
        <v/>
      </c>
      <c r="W54" s="8" t="str">
        <f t="shared" si="6"/>
        <v/>
      </c>
      <c r="X54" s="8">
        <v>1</v>
      </c>
      <c r="Y54" s="8" t="str">
        <f t="shared" si="7"/>
        <v/>
      </c>
      <c r="Z54" s="352" t="str">
        <f t="shared" si="3"/>
        <v/>
      </c>
      <c r="AA54" s="192">
        <f t="shared" si="8"/>
        <v>0</v>
      </c>
      <c r="AB54" s="192" t="str">
        <f t="shared" si="9"/>
        <v/>
      </c>
      <c r="AC54" s="192" t="str">
        <f t="shared" si="9"/>
        <v/>
      </c>
      <c r="AD54" s="192">
        <f t="shared" si="10"/>
        <v>0</v>
      </c>
      <c r="BA54" s="192" t="str">
        <f t="shared" si="11"/>
        <v/>
      </c>
      <c r="BB54" s="192" t="str">
        <f t="shared" si="11"/>
        <v/>
      </c>
      <c r="BC54" s="192" t="str">
        <f t="shared" si="11"/>
        <v/>
      </c>
      <c r="BD54" s="192" t="str">
        <f t="shared" si="11"/>
        <v/>
      </c>
    </row>
    <row r="55" spans="2:56" x14ac:dyDescent="0.25">
      <c r="B55" s="7" t="str">
        <f t="shared" si="5"/>
        <v/>
      </c>
      <c r="C55" s="4"/>
      <c r="D55" s="4"/>
      <c r="E55" s="4"/>
      <c r="F55" s="350" t="str">
        <f>IF('תנאי סף'!AO55&lt;&gt;1,"",'תנאי סף'!F55)</f>
        <v/>
      </c>
      <c r="G55" s="158"/>
      <c r="H55" s="5"/>
      <c r="I55" s="6"/>
      <c r="J55" s="5"/>
      <c r="K55" s="6"/>
      <c r="L55" s="5"/>
      <c r="M55" s="6"/>
      <c r="N55" s="6"/>
      <c r="O55" s="158"/>
      <c r="P55" s="177"/>
      <c r="Q55" s="8"/>
      <c r="R55" s="8"/>
      <c r="S55" s="8"/>
      <c r="T55" s="8"/>
      <c r="U55" s="159" t="str">
        <f>IF($F55="","",IF($AA55&lt;&gt;1,$AB$1,MAX(INDEX('הוראת שעה'!$F$6:$F$20,MATCH($Z$2,'הוראת שעה'!$A$6:$A$20,1)),INDEX($G$5:$G$8,MATCH(G55,$F$5:$F$8,0)))))</f>
        <v/>
      </c>
      <c r="V55" s="159" t="str">
        <f>סיווג!Z55</f>
        <v/>
      </c>
      <c r="W55" s="8" t="str">
        <f t="shared" si="6"/>
        <v/>
      </c>
      <c r="X55" s="8">
        <v>1</v>
      </c>
      <c r="Y55" s="8" t="str">
        <f t="shared" si="7"/>
        <v/>
      </c>
      <c r="Z55" s="352" t="str">
        <f t="shared" si="3"/>
        <v/>
      </c>
      <c r="AA55" s="192">
        <f t="shared" si="8"/>
        <v>0</v>
      </c>
      <c r="AB55" s="192" t="str">
        <f t="shared" si="9"/>
        <v/>
      </c>
      <c r="AC55" s="192" t="str">
        <f t="shared" si="9"/>
        <v/>
      </c>
      <c r="AD55" s="192">
        <f t="shared" si="10"/>
        <v>0</v>
      </c>
      <c r="BA55" s="192" t="str">
        <f t="shared" si="11"/>
        <v/>
      </c>
      <c r="BB55" s="192" t="str">
        <f t="shared" si="11"/>
        <v/>
      </c>
      <c r="BC55" s="192" t="str">
        <f t="shared" si="11"/>
        <v/>
      </c>
      <c r="BD55" s="192" t="str">
        <f t="shared" si="11"/>
        <v/>
      </c>
    </row>
    <row r="56" spans="2:56" x14ac:dyDescent="0.25">
      <c r="B56" s="7">
        <f t="shared" si="5"/>
        <v>26</v>
      </c>
      <c r="C56" s="4"/>
      <c r="D56" s="4"/>
      <c r="E56" s="4"/>
      <c r="F56" s="350" t="str">
        <f>IF('תנאי סף'!AO56&lt;&gt;1,"",'תנאי סף'!F56)</f>
        <v>אנסמבל מצו</v>
      </c>
      <c r="G56" s="158" t="s">
        <v>91</v>
      </c>
      <c r="H56" s="5"/>
      <c r="I56" s="6"/>
      <c r="J56" s="5"/>
      <c r="K56" s="6"/>
      <c r="L56" s="5"/>
      <c r="M56" s="6"/>
      <c r="N56" s="6"/>
      <c r="O56" s="158"/>
      <c r="P56" s="177"/>
      <c r="Q56" s="8"/>
      <c r="R56" s="8"/>
      <c r="S56" s="8"/>
      <c r="T56" s="8"/>
      <c r="U56" s="159">
        <f>IF($F56="","",IF($AA56&lt;&gt;1,$AB$1,MAX(INDEX('הוראת שעה'!$F$6:$F$20,MATCH($Z$2,'הוראת שעה'!$A$6:$A$20,1)),INDEX($G$5:$G$8,MATCH(G56,$F$5:$F$8,0)))))</f>
        <v>4</v>
      </c>
      <c r="V56" s="159">
        <f>סיווג!Z56</f>
        <v>1</v>
      </c>
      <c r="W56" s="8">
        <f t="shared" si="6"/>
        <v>4</v>
      </c>
      <c r="X56" s="8">
        <v>1</v>
      </c>
      <c r="Y56" s="8">
        <f t="shared" si="7"/>
        <v>4</v>
      </c>
      <c r="Z56" s="352">
        <f t="shared" si="3"/>
        <v>3.7071362372567189E-2</v>
      </c>
      <c r="AA56" s="192">
        <f t="shared" si="8"/>
        <v>1</v>
      </c>
      <c r="AB56" s="192">
        <f t="shared" si="9"/>
        <v>0</v>
      </c>
      <c r="AC56" s="192">
        <f t="shared" si="9"/>
        <v>1</v>
      </c>
      <c r="AD56" s="192">
        <f t="shared" si="10"/>
        <v>1</v>
      </c>
      <c r="BA56" s="192" t="str">
        <f t="shared" si="11"/>
        <v>נאותה</v>
      </c>
      <c r="BB56" s="192" t="str">
        <f t="shared" si="11"/>
        <v>טובה</v>
      </c>
      <c r="BC56" s="192" t="str">
        <f t="shared" si="11"/>
        <v>טובה מאוד</v>
      </c>
      <c r="BD56" s="192" t="str">
        <f t="shared" si="11"/>
        <v>מצוינת</v>
      </c>
    </row>
    <row r="57" spans="2:56" x14ac:dyDescent="0.25">
      <c r="B57" s="7" t="str">
        <f t="shared" si="5"/>
        <v/>
      </c>
      <c r="C57" s="4"/>
      <c r="D57" s="4"/>
      <c r="E57" s="4"/>
      <c r="F57" s="350" t="str">
        <f>IF('תנאי סף'!AO57&lt;&gt;1,"",'תנאי סף'!F57)</f>
        <v/>
      </c>
      <c r="G57" s="158"/>
      <c r="H57" s="5"/>
      <c r="I57" s="6"/>
      <c r="J57" s="5"/>
      <c r="K57" s="6"/>
      <c r="L57" s="5"/>
      <c r="M57" s="6"/>
      <c r="N57" s="6"/>
      <c r="O57" s="158"/>
      <c r="P57" s="177"/>
      <c r="Q57" s="8"/>
      <c r="R57" s="8"/>
      <c r="S57" s="8"/>
      <c r="T57" s="8"/>
      <c r="U57" s="159" t="str">
        <f>IF($F57="","",IF($AA57&lt;&gt;1,$AB$1,MAX(INDEX('הוראת שעה'!$F$6:$F$20,MATCH($Z$2,'הוראת שעה'!$A$6:$A$20,1)),INDEX($G$5:$G$8,MATCH(G57,$F$5:$F$8,0)))))</f>
        <v/>
      </c>
      <c r="V57" s="159" t="str">
        <f>סיווג!Z57</f>
        <v/>
      </c>
      <c r="W57" s="8" t="str">
        <f t="shared" si="6"/>
        <v/>
      </c>
      <c r="X57" s="8">
        <v>1</v>
      </c>
      <c r="Y57" s="8" t="str">
        <f t="shared" si="7"/>
        <v/>
      </c>
      <c r="Z57" s="352" t="str">
        <f t="shared" si="3"/>
        <v/>
      </c>
      <c r="AA57" s="192">
        <f t="shared" si="8"/>
        <v>0</v>
      </c>
      <c r="AB57" s="192" t="str">
        <f t="shared" si="9"/>
        <v/>
      </c>
      <c r="AC57" s="192" t="str">
        <f t="shared" si="9"/>
        <v/>
      </c>
      <c r="AD57" s="192">
        <f t="shared" si="10"/>
        <v>0</v>
      </c>
      <c r="BA57" s="192" t="str">
        <f t="shared" si="11"/>
        <v/>
      </c>
      <c r="BB57" s="192" t="str">
        <f t="shared" si="11"/>
        <v/>
      </c>
      <c r="BC57" s="192" t="str">
        <f t="shared" si="11"/>
        <v/>
      </c>
      <c r="BD57" s="192" t="str">
        <f t="shared" si="11"/>
        <v/>
      </c>
    </row>
    <row r="58" spans="2:56" x14ac:dyDescent="0.25">
      <c r="B58" s="7">
        <f t="shared" si="5"/>
        <v>28</v>
      </c>
      <c r="C58" s="4"/>
      <c r="D58" s="4"/>
      <c r="E58" s="4"/>
      <c r="F58" s="350" t="str">
        <f>IF('תנאי סף'!AO58&lt;&gt;1,"",'תנאי סף'!F58)</f>
        <v>תמיכה שותפת- קבוצת מוסיקה נובה</v>
      </c>
      <c r="G58" s="158" t="s">
        <v>91</v>
      </c>
      <c r="H58" s="5"/>
      <c r="I58" s="6"/>
      <c r="J58" s="5"/>
      <c r="K58" s="6"/>
      <c r="L58" s="5"/>
      <c r="M58" s="6"/>
      <c r="N58" s="6"/>
      <c r="O58" s="158"/>
      <c r="P58" s="177"/>
      <c r="Q58" s="8"/>
      <c r="R58" s="8"/>
      <c r="S58" s="8"/>
      <c r="T58" s="8"/>
      <c r="U58" s="159">
        <f>IF($F58="","",IF($AA58&lt;&gt;1,$AB$1,MAX(INDEX('הוראת שעה'!$F$6:$F$20,MATCH($Z$2,'הוראת שעה'!$A$6:$A$20,1)),INDEX($G$5:$G$8,MATCH(G58,$F$5:$F$8,0)))))</f>
        <v>4</v>
      </c>
      <c r="V58" s="159">
        <f>סיווג!Z58</f>
        <v>1</v>
      </c>
      <c r="W58" s="8">
        <f t="shared" si="6"/>
        <v>4</v>
      </c>
      <c r="X58" s="8">
        <v>1</v>
      </c>
      <c r="Y58" s="8">
        <f t="shared" si="7"/>
        <v>4</v>
      </c>
      <c r="Z58" s="352">
        <f t="shared" si="3"/>
        <v>3.7071362372567189E-2</v>
      </c>
      <c r="AA58" s="192">
        <f t="shared" si="8"/>
        <v>1</v>
      </c>
      <c r="AB58" s="192">
        <f t="shared" si="9"/>
        <v>0</v>
      </c>
      <c r="AC58" s="192">
        <f t="shared" si="9"/>
        <v>1</v>
      </c>
      <c r="AD58" s="192">
        <f t="shared" si="10"/>
        <v>1</v>
      </c>
      <c r="BA58" s="192" t="str">
        <f t="shared" si="11"/>
        <v>נאותה</v>
      </c>
      <c r="BB58" s="192" t="str">
        <f t="shared" si="11"/>
        <v>טובה</v>
      </c>
      <c r="BC58" s="192" t="str">
        <f t="shared" si="11"/>
        <v>טובה מאוד</v>
      </c>
      <c r="BD58" s="192" t="str">
        <f t="shared" si="11"/>
        <v>מצוינת</v>
      </c>
    </row>
    <row r="59" spans="2:56" ht="33" customHeight="1" x14ac:dyDescent="0.25">
      <c r="B59" s="7" t="str">
        <f t="shared" si="5"/>
        <v/>
      </c>
      <c r="C59" s="4"/>
      <c r="D59" s="4"/>
      <c r="E59" s="4"/>
      <c r="F59" s="350" t="str">
        <f>IF('תנאי סף'!AO59&lt;&gt;1,"",'תנאי סף'!F59)</f>
        <v/>
      </c>
      <c r="G59" s="158"/>
      <c r="H59" s="5"/>
      <c r="I59" s="6"/>
      <c r="J59" s="5"/>
      <c r="K59" s="6"/>
      <c r="L59" s="5"/>
      <c r="M59" s="6"/>
      <c r="N59" s="6"/>
      <c r="O59" s="158"/>
      <c r="P59" s="177"/>
      <c r="Q59" s="8"/>
      <c r="R59" s="8"/>
      <c r="S59" s="8"/>
      <c r="T59" s="8"/>
      <c r="U59" s="159" t="str">
        <f>IF($F59="","",IF($AA59&lt;&gt;1,$AB$1,MAX(INDEX('הוראת שעה'!$F$6:$F$20,MATCH($Z$2,'הוראת שעה'!$A$6:$A$20,1)),INDEX($G$5:$G$8,MATCH(G59,$F$5:$F$8,0)))))</f>
        <v/>
      </c>
      <c r="V59" s="159" t="str">
        <f>סיווג!Z59</f>
        <v/>
      </c>
      <c r="W59" s="8" t="str">
        <f t="shared" si="6"/>
        <v/>
      </c>
      <c r="X59" s="8">
        <v>1</v>
      </c>
      <c r="Y59" s="8" t="str">
        <f t="shared" si="7"/>
        <v/>
      </c>
      <c r="Z59" s="352" t="str">
        <f t="shared" si="3"/>
        <v/>
      </c>
      <c r="AA59" s="192">
        <f t="shared" si="8"/>
        <v>0</v>
      </c>
      <c r="AB59" s="192" t="str">
        <f t="shared" si="9"/>
        <v/>
      </c>
      <c r="AC59" s="192" t="str">
        <f t="shared" si="9"/>
        <v/>
      </c>
      <c r="AD59" s="192">
        <f t="shared" si="10"/>
        <v>0</v>
      </c>
      <c r="BA59" s="192" t="str">
        <f t="shared" si="11"/>
        <v/>
      </c>
      <c r="BB59" s="192" t="str">
        <f t="shared" si="11"/>
        <v/>
      </c>
      <c r="BC59" s="192" t="str">
        <f t="shared" si="11"/>
        <v/>
      </c>
      <c r="BD59" s="192" t="str">
        <f t="shared" si="11"/>
        <v/>
      </c>
    </row>
    <row r="60" spans="2:56" ht="26.25" customHeight="1" x14ac:dyDescent="0.25">
      <c r="B60" s="7" t="str">
        <f t="shared" si="5"/>
        <v/>
      </c>
      <c r="C60" s="4"/>
      <c r="D60" s="4"/>
      <c r="E60" s="4"/>
      <c r="F60" s="350" t="str">
        <f>IF('תנאי סף'!AO60&lt;&gt;1,"",'תנאי סף'!F60)</f>
        <v/>
      </c>
      <c r="G60" s="158"/>
      <c r="H60" s="5"/>
      <c r="I60" s="6"/>
      <c r="J60" s="5"/>
      <c r="K60" s="6"/>
      <c r="L60" s="5"/>
      <c r="M60" s="6"/>
      <c r="N60" s="6"/>
      <c r="O60" s="158"/>
      <c r="P60" s="177"/>
      <c r="Q60" s="8"/>
      <c r="R60" s="8"/>
      <c r="S60" s="8"/>
      <c r="T60" s="8"/>
      <c r="U60" s="159" t="str">
        <f>IF($F60="","",IF($AA60&lt;&gt;1,$AB$1,MAX(INDEX('הוראת שעה'!$F$6:$F$20,MATCH($Z$2,'הוראת שעה'!$A$6:$A$20,1)),INDEX($G$5:$G$8,MATCH(G60,$F$5:$F$8,0)))))</f>
        <v/>
      </c>
      <c r="V60" s="159" t="str">
        <f>סיווג!Z60</f>
        <v/>
      </c>
      <c r="W60" s="8" t="str">
        <f t="shared" si="6"/>
        <v/>
      </c>
      <c r="X60" s="8">
        <v>1</v>
      </c>
      <c r="Y60" s="8" t="str">
        <f t="shared" si="7"/>
        <v/>
      </c>
      <c r="Z60" s="352" t="str">
        <f t="shared" si="3"/>
        <v/>
      </c>
      <c r="AA60" s="192">
        <f t="shared" si="8"/>
        <v>0</v>
      </c>
      <c r="AB60" s="192" t="str">
        <f t="shared" si="9"/>
        <v/>
      </c>
      <c r="AC60" s="192" t="str">
        <f t="shared" si="9"/>
        <v/>
      </c>
      <c r="AD60" s="192">
        <f t="shared" si="10"/>
        <v>0</v>
      </c>
      <c r="BA60" s="192" t="str">
        <f t="shared" si="11"/>
        <v/>
      </c>
      <c r="BB60" s="192" t="str">
        <f t="shared" si="11"/>
        <v/>
      </c>
      <c r="BC60" s="192" t="str">
        <f t="shared" si="11"/>
        <v/>
      </c>
      <c r="BD60" s="192" t="str">
        <f t="shared" si="11"/>
        <v/>
      </c>
    </row>
    <row r="61" spans="2:56" x14ac:dyDescent="0.25">
      <c r="B61" s="7" t="str">
        <f t="shared" si="5"/>
        <v/>
      </c>
      <c r="C61" s="4"/>
      <c r="D61" s="4"/>
      <c r="E61" s="4"/>
      <c r="F61" s="350" t="str">
        <f>IF('תנאי סף'!AO61&lt;&gt;1,"",'תנאי סף'!F61)</f>
        <v/>
      </c>
      <c r="G61" s="158"/>
      <c r="H61" s="5"/>
      <c r="I61" s="6"/>
      <c r="J61" s="5"/>
      <c r="K61" s="6"/>
      <c r="L61" s="5"/>
      <c r="M61" s="6"/>
      <c r="N61" s="6"/>
      <c r="O61" s="158"/>
      <c r="P61" s="177"/>
      <c r="Q61" s="8"/>
      <c r="R61" s="8"/>
      <c r="S61" s="8"/>
      <c r="T61" s="8"/>
      <c r="U61" s="159" t="str">
        <f>IF($F61="","",IF($AA61&lt;&gt;1,$AB$1,MAX(INDEX('הוראת שעה'!$F$6:$F$20,MATCH($Z$2,'הוראת שעה'!$A$6:$A$20,1)),INDEX($G$5:$G$8,MATCH(G61,$F$5:$F$8,0)))))</f>
        <v/>
      </c>
      <c r="V61" s="159" t="str">
        <f>סיווג!Z61</f>
        <v/>
      </c>
      <c r="W61" s="8" t="str">
        <f t="shared" si="6"/>
        <v/>
      </c>
      <c r="X61" s="8">
        <v>1</v>
      </c>
      <c r="Y61" s="8" t="str">
        <f t="shared" si="7"/>
        <v/>
      </c>
      <c r="Z61" s="352" t="str">
        <f t="shared" si="3"/>
        <v/>
      </c>
      <c r="AA61" s="192">
        <f t="shared" si="8"/>
        <v>0</v>
      </c>
      <c r="AB61" s="192" t="str">
        <f t="shared" si="9"/>
        <v/>
      </c>
      <c r="AC61" s="192" t="str">
        <f t="shared" si="9"/>
        <v/>
      </c>
      <c r="AD61" s="192">
        <f t="shared" si="10"/>
        <v>0</v>
      </c>
      <c r="BA61" s="192" t="str">
        <f t="shared" si="11"/>
        <v/>
      </c>
      <c r="BB61" s="192" t="str">
        <f t="shared" si="11"/>
        <v/>
      </c>
      <c r="BC61" s="192" t="str">
        <f t="shared" si="11"/>
        <v/>
      </c>
      <c r="BD61" s="192" t="str">
        <f t="shared" si="11"/>
        <v/>
      </c>
    </row>
    <row r="62" spans="2:56" ht="28.5" customHeight="1" x14ac:dyDescent="0.25">
      <c r="B62" s="7" t="str">
        <f t="shared" si="5"/>
        <v/>
      </c>
      <c r="C62" s="4"/>
      <c r="D62" s="4"/>
      <c r="E62" s="4"/>
      <c r="F62" s="350" t="str">
        <f>IF('תנאי סף'!AO62&lt;&gt;1,"",'תנאי סף'!F62)</f>
        <v/>
      </c>
      <c r="G62" s="158"/>
      <c r="H62" s="5"/>
      <c r="I62" s="6"/>
      <c r="J62" s="5"/>
      <c r="K62" s="6"/>
      <c r="L62" s="5"/>
      <c r="M62" s="6"/>
      <c r="N62" s="6"/>
      <c r="O62" s="158"/>
      <c r="P62" s="177"/>
      <c r="Q62" s="8"/>
      <c r="R62" s="8"/>
      <c r="S62" s="8"/>
      <c r="T62" s="8"/>
      <c r="U62" s="159" t="str">
        <f>IF($F62="","",IF($AA62&lt;&gt;1,$AB$1,MAX(INDEX('הוראת שעה'!$F$6:$F$20,MATCH($Z$2,'הוראת שעה'!$A$6:$A$20,1)),INDEX($G$5:$G$8,MATCH(G62,$F$5:$F$8,0)))))</f>
        <v/>
      </c>
      <c r="V62" s="159" t="str">
        <f>סיווג!Z62</f>
        <v/>
      </c>
      <c r="W62" s="8" t="str">
        <f t="shared" si="6"/>
        <v/>
      </c>
      <c r="X62" s="8">
        <v>1</v>
      </c>
      <c r="Y62" s="8" t="str">
        <f t="shared" si="7"/>
        <v/>
      </c>
      <c r="Z62" s="352" t="str">
        <f t="shared" si="3"/>
        <v/>
      </c>
      <c r="AA62" s="192">
        <f t="shared" si="8"/>
        <v>0</v>
      </c>
      <c r="AB62" s="192" t="str">
        <f t="shared" si="9"/>
        <v/>
      </c>
      <c r="AC62" s="192" t="str">
        <f t="shared" si="9"/>
        <v/>
      </c>
      <c r="AD62" s="192">
        <f t="shared" si="10"/>
        <v>0</v>
      </c>
      <c r="BA62" s="192" t="str">
        <f t="shared" si="11"/>
        <v/>
      </c>
      <c r="BB62" s="192" t="str">
        <f t="shared" si="11"/>
        <v/>
      </c>
      <c r="BC62" s="192" t="str">
        <f t="shared" si="11"/>
        <v/>
      </c>
      <c r="BD62" s="192" t="str">
        <f t="shared" si="11"/>
        <v/>
      </c>
    </row>
    <row r="63" spans="2:56" ht="28.5" customHeight="1" x14ac:dyDescent="0.25">
      <c r="B63" s="7" t="str">
        <f t="shared" si="5"/>
        <v/>
      </c>
      <c r="C63" s="4"/>
      <c r="D63" s="4"/>
      <c r="E63" s="4"/>
      <c r="F63" s="350" t="str">
        <f>IF('תנאי סף'!AO63&lt;&gt;1,"",'תנאי סף'!F63)</f>
        <v/>
      </c>
      <c r="G63" s="158"/>
      <c r="H63" s="5"/>
      <c r="I63" s="6"/>
      <c r="J63" s="5"/>
      <c r="K63" s="6"/>
      <c r="L63" s="5"/>
      <c r="M63" s="6"/>
      <c r="N63" s="6"/>
      <c r="O63" s="158"/>
      <c r="P63" s="177"/>
      <c r="Q63" s="8"/>
      <c r="R63" s="8"/>
      <c r="S63" s="8"/>
      <c r="T63" s="8"/>
      <c r="U63" s="159" t="str">
        <f>IF($F63="","",IF($AA63&lt;&gt;1,$AB$1,MAX(INDEX('הוראת שעה'!$F$6:$F$20,MATCH($Z$2,'הוראת שעה'!$A$6:$A$20,1)),INDEX($G$5:$G$8,MATCH(G63,$F$5:$F$8,0)))))</f>
        <v/>
      </c>
      <c r="V63" s="159" t="str">
        <f>סיווג!Z63</f>
        <v/>
      </c>
      <c r="W63" s="8" t="str">
        <f t="shared" si="6"/>
        <v/>
      </c>
      <c r="X63" s="8">
        <v>1</v>
      </c>
      <c r="Y63" s="8" t="str">
        <f t="shared" si="7"/>
        <v/>
      </c>
      <c r="Z63" s="352" t="str">
        <f t="shared" ref="Z63:Z94" si="12">IF($F63="","",IF(OR($AA63&lt;&gt;1,Y63=$AB$1),$AB$1,IFERROR(Y63/SUM($Y$31:$Y$130),0)))</f>
        <v/>
      </c>
      <c r="AA63" s="192">
        <f t="shared" si="8"/>
        <v>0</v>
      </c>
      <c r="AB63" s="192" t="str">
        <f t="shared" si="9"/>
        <v/>
      </c>
      <c r="AC63" s="192" t="str">
        <f t="shared" si="9"/>
        <v/>
      </c>
      <c r="AD63" s="192">
        <f t="shared" si="10"/>
        <v>0</v>
      </c>
      <c r="BA63" s="192" t="str">
        <f t="shared" si="11"/>
        <v/>
      </c>
      <c r="BB63" s="192" t="str">
        <f t="shared" si="11"/>
        <v/>
      </c>
      <c r="BC63" s="192" t="str">
        <f t="shared" si="11"/>
        <v/>
      </c>
      <c r="BD63" s="192" t="str">
        <f t="shared" si="11"/>
        <v/>
      </c>
    </row>
    <row r="64" spans="2:56" x14ac:dyDescent="0.25">
      <c r="B64" s="7" t="str">
        <f t="shared" si="5"/>
        <v/>
      </c>
      <c r="C64" s="4"/>
      <c r="D64" s="4"/>
      <c r="E64" s="4"/>
      <c r="F64" s="350" t="str">
        <f>IF('תנאי סף'!AO64&lt;&gt;1,"",'תנאי סף'!F64)</f>
        <v/>
      </c>
      <c r="G64" s="158"/>
      <c r="H64" s="5"/>
      <c r="I64" s="6"/>
      <c r="J64" s="5"/>
      <c r="K64" s="6"/>
      <c r="L64" s="5"/>
      <c r="M64" s="6"/>
      <c r="N64" s="6"/>
      <c r="O64" s="158"/>
      <c r="P64" s="177"/>
      <c r="Q64" s="8"/>
      <c r="R64" s="8"/>
      <c r="S64" s="8"/>
      <c r="T64" s="8"/>
      <c r="U64" s="159" t="str">
        <f>IF($F64="","",IF($AA64&lt;&gt;1,$AB$1,MAX(INDEX('הוראת שעה'!$F$6:$F$20,MATCH($Z$2,'הוראת שעה'!$A$6:$A$20,1)),INDEX($G$5:$G$8,MATCH(G64,$F$5:$F$8,0)))))</f>
        <v/>
      </c>
      <c r="V64" s="159" t="str">
        <f>סיווג!Z64</f>
        <v/>
      </c>
      <c r="W64" s="8" t="str">
        <f t="shared" si="6"/>
        <v/>
      </c>
      <c r="X64" s="8">
        <v>1</v>
      </c>
      <c r="Y64" s="8" t="str">
        <f t="shared" si="7"/>
        <v/>
      </c>
      <c r="Z64" s="352" t="str">
        <f t="shared" si="12"/>
        <v/>
      </c>
      <c r="AA64" s="192">
        <f t="shared" si="8"/>
        <v>0</v>
      </c>
      <c r="AB64" s="192" t="str">
        <f t="shared" ref="AB64:AC91" si="13">IF($F64="","",AB$30)</f>
        <v/>
      </c>
      <c r="AC64" s="192" t="str">
        <f t="shared" si="13"/>
        <v/>
      </c>
      <c r="AD64" s="192">
        <f t="shared" si="10"/>
        <v>0</v>
      </c>
      <c r="BA64" s="192" t="str">
        <f t="shared" si="11"/>
        <v/>
      </c>
      <c r="BB64" s="192" t="str">
        <f t="shared" si="11"/>
        <v/>
      </c>
      <c r="BC64" s="192" t="str">
        <f t="shared" si="11"/>
        <v/>
      </c>
      <c r="BD64" s="192" t="str">
        <f t="shared" si="11"/>
        <v/>
      </c>
    </row>
    <row r="65" spans="2:56" x14ac:dyDescent="0.25">
      <c r="B65" s="7">
        <f t="shared" si="5"/>
        <v>35</v>
      </c>
      <c r="C65" s="4"/>
      <c r="D65" s="4"/>
      <c r="E65" s="4"/>
      <c r="F65" s="350" t="str">
        <f>IF('תנאי סף'!AO65&lt;&gt;1,"",'תנאי סף'!F65)</f>
        <v>אנסמבל מיתר</v>
      </c>
      <c r="G65" s="158" t="s">
        <v>91</v>
      </c>
      <c r="H65" s="5"/>
      <c r="I65" s="6"/>
      <c r="J65" s="5"/>
      <c r="K65" s="6"/>
      <c r="L65" s="5"/>
      <c r="M65" s="6"/>
      <c r="N65" s="6"/>
      <c r="O65" s="158"/>
      <c r="P65" s="177"/>
      <c r="Q65" s="8"/>
      <c r="R65" s="8"/>
      <c r="S65" s="8"/>
      <c r="T65" s="8"/>
      <c r="U65" s="159">
        <f>IF($F65="","",IF($AA65&lt;&gt;1,$AB$1,MAX(INDEX('הוראת שעה'!$F$6:$F$20,MATCH($Z$2,'הוראת שעה'!$A$6:$A$20,1)),INDEX($G$5:$G$8,MATCH(G65,$F$5:$F$8,0)))))</f>
        <v>4</v>
      </c>
      <c r="V65" s="159">
        <f>סיווג!Z65</f>
        <v>1</v>
      </c>
      <c r="W65" s="8">
        <f t="shared" si="6"/>
        <v>4</v>
      </c>
      <c r="X65" s="8">
        <v>1</v>
      </c>
      <c r="Y65" s="8">
        <f t="shared" si="7"/>
        <v>4</v>
      </c>
      <c r="Z65" s="352">
        <f t="shared" si="12"/>
        <v>3.7071362372567189E-2</v>
      </c>
      <c r="AA65" s="192">
        <f t="shared" si="8"/>
        <v>1</v>
      </c>
      <c r="AB65" s="192">
        <f t="shared" si="13"/>
        <v>0</v>
      </c>
      <c r="AC65" s="192">
        <f t="shared" si="13"/>
        <v>1</v>
      </c>
      <c r="AD65" s="192">
        <f t="shared" si="10"/>
        <v>1</v>
      </c>
      <c r="BA65" s="192" t="str">
        <f t="shared" si="11"/>
        <v>נאותה</v>
      </c>
      <c r="BB65" s="192" t="str">
        <f t="shared" si="11"/>
        <v>טובה</v>
      </c>
      <c r="BC65" s="192" t="str">
        <f t="shared" si="11"/>
        <v>טובה מאוד</v>
      </c>
      <c r="BD65" s="192" t="str">
        <f t="shared" si="11"/>
        <v>מצוינת</v>
      </c>
    </row>
    <row r="66" spans="2:56" x14ac:dyDescent="0.25">
      <c r="B66" s="7" t="str">
        <f t="shared" si="5"/>
        <v/>
      </c>
      <c r="C66" s="4"/>
      <c r="D66" s="4"/>
      <c r="E66" s="4"/>
      <c r="F66" s="350" t="str">
        <f>IF('תנאי סף'!AO66&lt;&gt;1,"",'תנאי סף'!F66)</f>
        <v/>
      </c>
      <c r="G66" s="158"/>
      <c r="H66" s="5"/>
      <c r="I66" s="6"/>
      <c r="J66" s="5"/>
      <c r="K66" s="6"/>
      <c r="L66" s="5"/>
      <c r="M66" s="6"/>
      <c r="N66" s="6"/>
      <c r="O66" s="158"/>
      <c r="P66" s="177"/>
      <c r="Q66" s="8"/>
      <c r="R66" s="8"/>
      <c r="S66" s="8"/>
      <c r="T66" s="8"/>
      <c r="U66" s="159" t="str">
        <f>IF($F66="","",IF($AA66&lt;&gt;1,$AB$1,MAX(INDEX('הוראת שעה'!$F$6:$F$20,MATCH($Z$2,'הוראת שעה'!$A$6:$A$20,1)),INDEX($G$5:$G$8,MATCH(G66,$F$5:$F$8,0)))))</f>
        <v/>
      </c>
      <c r="V66" s="159" t="str">
        <f>סיווג!Z66</f>
        <v/>
      </c>
      <c r="W66" s="8" t="str">
        <f t="shared" si="6"/>
        <v/>
      </c>
      <c r="X66" s="8">
        <v>1</v>
      </c>
      <c r="Y66" s="8" t="str">
        <f t="shared" si="7"/>
        <v/>
      </c>
      <c r="Z66" s="352" t="str">
        <f t="shared" si="12"/>
        <v/>
      </c>
      <c r="AA66" s="192">
        <f t="shared" si="8"/>
        <v>0</v>
      </c>
      <c r="AB66" s="192" t="str">
        <f t="shared" si="13"/>
        <v/>
      </c>
      <c r="AC66" s="192" t="str">
        <f t="shared" si="13"/>
        <v/>
      </c>
      <c r="AD66" s="192">
        <f t="shared" si="10"/>
        <v>0</v>
      </c>
      <c r="BA66" s="192" t="str">
        <f t="shared" si="11"/>
        <v/>
      </c>
      <c r="BB66" s="192" t="str">
        <f t="shared" si="11"/>
        <v/>
      </c>
      <c r="BC66" s="192" t="str">
        <f t="shared" si="11"/>
        <v/>
      </c>
      <c r="BD66" s="192" t="str">
        <f t="shared" si="11"/>
        <v/>
      </c>
    </row>
    <row r="67" spans="2:56" x14ac:dyDescent="0.25">
      <c r="B67" s="7">
        <f t="shared" si="5"/>
        <v>37</v>
      </c>
      <c r="C67" s="4"/>
      <c r="D67" s="4"/>
      <c r="E67" s="4"/>
      <c r="F67" s="350" t="str">
        <f>IF('תנאי סף'!AO67&lt;&gt;1,"",'תנאי סף'!F67)</f>
        <v>אנסמבל ארז נטף</v>
      </c>
      <c r="G67" s="158" t="s">
        <v>89</v>
      </c>
      <c r="H67" s="5"/>
      <c r="I67" s="6"/>
      <c r="J67" s="5"/>
      <c r="K67" s="6"/>
      <c r="L67" s="5"/>
      <c r="M67" s="6"/>
      <c r="N67" s="6"/>
      <c r="O67" s="158"/>
      <c r="P67" s="177"/>
      <c r="Q67" s="8"/>
      <c r="R67" s="8"/>
      <c r="S67" s="8"/>
      <c r="T67" s="8"/>
      <c r="U67" s="159">
        <f>IF($F67="","",IF($AA67&lt;&gt;1,$AB$1,MAX(INDEX('הוראת שעה'!$F$6:$F$20,MATCH($Z$2,'הוראת שעה'!$A$6:$A$20,1)),INDEX($G$5:$G$8,MATCH(G67,$F$5:$F$8,0)))))</f>
        <v>2</v>
      </c>
      <c r="V67" s="159">
        <f>סיווג!Z67</f>
        <v>1</v>
      </c>
      <c r="W67" s="8">
        <f t="shared" si="6"/>
        <v>2</v>
      </c>
      <c r="X67" s="8">
        <v>1</v>
      </c>
      <c r="Y67" s="8">
        <f t="shared" si="7"/>
        <v>2</v>
      </c>
      <c r="Z67" s="352">
        <f t="shared" si="12"/>
        <v>1.8535681186283594E-2</v>
      </c>
      <c r="AA67" s="192">
        <f t="shared" si="8"/>
        <v>1</v>
      </c>
      <c r="AB67" s="192">
        <f t="shared" si="13"/>
        <v>0</v>
      </c>
      <c r="AC67" s="192">
        <f t="shared" si="13"/>
        <v>1</v>
      </c>
      <c r="AD67" s="192">
        <f t="shared" si="10"/>
        <v>1</v>
      </c>
      <c r="BA67" s="192" t="str">
        <f t="shared" si="11"/>
        <v>נאותה</v>
      </c>
      <c r="BB67" s="192" t="str">
        <f t="shared" si="11"/>
        <v>טובה</v>
      </c>
      <c r="BC67" s="192" t="str">
        <f t="shared" si="11"/>
        <v>טובה מאוד</v>
      </c>
      <c r="BD67" s="192" t="str">
        <f t="shared" si="11"/>
        <v>מצוינת</v>
      </c>
    </row>
    <row r="68" spans="2:56" x14ac:dyDescent="0.25">
      <c r="B68" s="7" t="str">
        <f t="shared" si="5"/>
        <v/>
      </c>
      <c r="C68" s="4"/>
      <c r="D68" s="4"/>
      <c r="E68" s="4"/>
      <c r="F68" s="350" t="str">
        <f>IF('תנאי סף'!AO68&lt;&gt;1,"",'תנאי סף'!F68)</f>
        <v/>
      </c>
      <c r="G68" s="158"/>
      <c r="H68" s="5"/>
      <c r="I68" s="6"/>
      <c r="J68" s="5"/>
      <c r="K68" s="6"/>
      <c r="L68" s="5"/>
      <c r="M68" s="6"/>
      <c r="N68" s="6"/>
      <c r="O68" s="158"/>
      <c r="P68" s="177"/>
      <c r="Q68" s="8"/>
      <c r="R68" s="8"/>
      <c r="S68" s="8"/>
      <c r="T68" s="8"/>
      <c r="U68" s="159" t="str">
        <f>IF($F68="","",IF($AA68&lt;&gt;1,$AB$1,MAX(INDEX('הוראת שעה'!$F$6:$F$20,MATCH($Z$2,'הוראת שעה'!$A$6:$A$20,1)),INDEX($G$5:$G$8,MATCH(G68,$F$5:$F$8,0)))))</f>
        <v/>
      </c>
      <c r="V68" s="159" t="str">
        <f>סיווג!Z68</f>
        <v/>
      </c>
      <c r="W68" s="8" t="str">
        <f t="shared" si="6"/>
        <v/>
      </c>
      <c r="X68" s="8">
        <v>1</v>
      </c>
      <c r="Y68" s="8" t="str">
        <f t="shared" si="7"/>
        <v/>
      </c>
      <c r="Z68" s="352" t="str">
        <f t="shared" si="12"/>
        <v/>
      </c>
      <c r="AA68" s="192">
        <f t="shared" si="8"/>
        <v>0</v>
      </c>
      <c r="AB68" s="192" t="str">
        <f t="shared" si="13"/>
        <v/>
      </c>
      <c r="AC68" s="192" t="str">
        <f t="shared" si="13"/>
        <v/>
      </c>
      <c r="AD68" s="192">
        <f t="shared" si="10"/>
        <v>0</v>
      </c>
      <c r="BA68" s="192" t="str">
        <f t="shared" si="11"/>
        <v/>
      </c>
      <c r="BB68" s="192" t="str">
        <f t="shared" si="11"/>
        <v/>
      </c>
      <c r="BC68" s="192" t="str">
        <f t="shared" si="11"/>
        <v/>
      </c>
      <c r="BD68" s="192" t="str">
        <f t="shared" si="11"/>
        <v/>
      </c>
    </row>
    <row r="69" spans="2:56" x14ac:dyDescent="0.25">
      <c r="B69" s="7" t="str">
        <f t="shared" si="5"/>
        <v/>
      </c>
      <c r="C69" s="4"/>
      <c r="D69" s="4"/>
      <c r="E69" s="4"/>
      <c r="F69" s="350" t="str">
        <f>IF('תנאי סף'!AO69&lt;&gt;1,"",'תנאי סף'!F69)</f>
        <v/>
      </c>
      <c r="G69" s="158"/>
      <c r="H69" s="5"/>
      <c r="I69" s="6"/>
      <c r="J69" s="5"/>
      <c r="K69" s="6"/>
      <c r="L69" s="5"/>
      <c r="M69" s="6"/>
      <c r="N69" s="6"/>
      <c r="O69" s="158"/>
      <c r="P69" s="177"/>
      <c r="Q69" s="8"/>
      <c r="R69" s="8"/>
      <c r="S69" s="8"/>
      <c r="T69" s="8"/>
      <c r="U69" s="159" t="str">
        <f>IF($F69="","",IF($AA69&lt;&gt;1,$AB$1,MAX(INDEX('הוראת שעה'!$F$6:$F$20,MATCH($Z$2,'הוראת שעה'!$A$6:$A$20,1)),INDEX($G$5:$G$8,MATCH(G69,$F$5:$F$8,0)))))</f>
        <v/>
      </c>
      <c r="V69" s="159" t="str">
        <f>סיווג!Z69</f>
        <v/>
      </c>
      <c r="W69" s="8" t="str">
        <f t="shared" si="6"/>
        <v/>
      </c>
      <c r="X69" s="8">
        <v>1</v>
      </c>
      <c r="Y69" s="8" t="str">
        <f t="shared" si="7"/>
        <v/>
      </c>
      <c r="Z69" s="352" t="str">
        <f t="shared" si="12"/>
        <v/>
      </c>
      <c r="AA69" s="192">
        <f t="shared" si="8"/>
        <v>0</v>
      </c>
      <c r="AB69" s="192" t="str">
        <f t="shared" si="13"/>
        <v/>
      </c>
      <c r="AC69" s="192" t="str">
        <f t="shared" si="13"/>
        <v/>
      </c>
      <c r="AD69" s="192">
        <f t="shared" si="10"/>
        <v>0</v>
      </c>
      <c r="BA69" s="192" t="str">
        <f t="shared" si="11"/>
        <v/>
      </c>
      <c r="BB69" s="192" t="str">
        <f t="shared" si="11"/>
        <v/>
      </c>
      <c r="BC69" s="192" t="str">
        <f t="shared" si="11"/>
        <v/>
      </c>
      <c r="BD69" s="192" t="str">
        <f t="shared" si="11"/>
        <v/>
      </c>
    </row>
    <row r="70" spans="2:56" x14ac:dyDescent="0.25">
      <c r="B70" s="7">
        <f t="shared" si="5"/>
        <v>40</v>
      </c>
      <c r="C70" s="4"/>
      <c r="D70" s="4"/>
      <c r="E70" s="4"/>
      <c r="F70" s="350" t="str">
        <f>IF('תנאי סף'!AO70&lt;&gt;1,"",'תנאי סף'!F70)</f>
        <v>תו המשווה (ע"ר)</v>
      </c>
      <c r="G70" s="158" t="s">
        <v>91</v>
      </c>
      <c r="H70" s="5"/>
      <c r="I70" s="6"/>
      <c r="J70" s="5"/>
      <c r="K70" s="6"/>
      <c r="L70" s="5"/>
      <c r="M70" s="6"/>
      <c r="N70" s="6"/>
      <c r="O70" s="158"/>
      <c r="P70" s="177"/>
      <c r="Q70" s="8"/>
      <c r="R70" s="8"/>
      <c r="S70" s="8"/>
      <c r="T70" s="8"/>
      <c r="U70" s="159">
        <f>IF($F70="","",IF($AA70&lt;&gt;1,$AB$1,MAX(INDEX('הוראת שעה'!$F$6:$F$20,MATCH($Z$2,'הוראת שעה'!$A$6:$A$20,1)),INDEX($G$5:$G$8,MATCH(G70,$F$5:$F$8,0)))))</f>
        <v>4</v>
      </c>
      <c r="V70" s="159">
        <f>סיווג!Z70</f>
        <v>1</v>
      </c>
      <c r="W70" s="8">
        <f t="shared" si="6"/>
        <v>4</v>
      </c>
      <c r="X70" s="8">
        <v>1</v>
      </c>
      <c r="Y70" s="8">
        <f t="shared" si="7"/>
        <v>4</v>
      </c>
      <c r="Z70" s="352">
        <f t="shared" si="12"/>
        <v>3.7071362372567189E-2</v>
      </c>
      <c r="AA70" s="192">
        <f t="shared" si="8"/>
        <v>1</v>
      </c>
      <c r="AB70" s="192">
        <f t="shared" si="13"/>
        <v>0</v>
      </c>
      <c r="AC70" s="192">
        <f t="shared" si="13"/>
        <v>1</v>
      </c>
      <c r="AD70" s="192">
        <f t="shared" si="10"/>
        <v>1</v>
      </c>
      <c r="BA70" s="192" t="str">
        <f t="shared" si="11"/>
        <v>נאותה</v>
      </c>
      <c r="BB70" s="192" t="str">
        <f t="shared" si="11"/>
        <v>טובה</v>
      </c>
      <c r="BC70" s="192" t="str">
        <f t="shared" si="11"/>
        <v>טובה מאוד</v>
      </c>
      <c r="BD70" s="192" t="str">
        <f t="shared" si="11"/>
        <v>מצוינת</v>
      </c>
    </row>
    <row r="71" spans="2:56" x14ac:dyDescent="0.25">
      <c r="B71" s="7" t="str">
        <f t="shared" si="5"/>
        <v/>
      </c>
      <c r="C71" s="4"/>
      <c r="D71" s="4"/>
      <c r="E71" s="4"/>
      <c r="F71" s="230" t="str">
        <f>IF('תנאי סף'!AO71&lt;&gt;1,"",'תנאי סף'!F71)</f>
        <v/>
      </c>
      <c r="G71" s="158"/>
      <c r="H71" s="5"/>
      <c r="I71" s="6"/>
      <c r="J71" s="5"/>
      <c r="K71" s="6"/>
      <c r="L71" s="5"/>
      <c r="M71" s="6"/>
      <c r="N71" s="6"/>
      <c r="O71" s="158"/>
      <c r="P71" s="177"/>
      <c r="Q71" s="8"/>
      <c r="R71" s="8"/>
      <c r="S71" s="8"/>
      <c r="T71" s="8"/>
      <c r="U71" s="159" t="str">
        <f>IF($F71="","",IF($AA71&lt;&gt;1,$AB$1,MAX(INDEX('הוראת שעה'!$F$6:$F$20,MATCH($Z$2,'הוראת שעה'!$A$6:$A$20,1)),INDEX($G$5:$G$8,MATCH(G71,$F$5:$F$8,0)))))</f>
        <v/>
      </c>
      <c r="V71" s="159" t="str">
        <f>סיווג!Z71</f>
        <v/>
      </c>
      <c r="W71" s="8" t="str">
        <f t="shared" si="6"/>
        <v/>
      </c>
      <c r="X71" s="8">
        <v>1</v>
      </c>
      <c r="Y71" s="8" t="str">
        <f t="shared" si="7"/>
        <v/>
      </c>
      <c r="Z71" s="123" t="str">
        <f t="shared" si="12"/>
        <v/>
      </c>
      <c r="AA71" s="192">
        <f t="shared" si="8"/>
        <v>0</v>
      </c>
      <c r="AB71" s="192" t="str">
        <f t="shared" si="13"/>
        <v/>
      </c>
      <c r="AC71" s="192" t="str">
        <f t="shared" si="13"/>
        <v/>
      </c>
      <c r="AD71" s="192">
        <f t="shared" si="10"/>
        <v>0</v>
      </c>
      <c r="BA71" s="192" t="str">
        <f t="shared" ref="BA71:BD90" si="14">IF($F71="","",BA$30)</f>
        <v/>
      </c>
      <c r="BB71" s="192" t="str">
        <f t="shared" si="14"/>
        <v/>
      </c>
      <c r="BC71" s="192" t="str">
        <f t="shared" si="14"/>
        <v/>
      </c>
      <c r="BD71" s="192" t="str">
        <f t="shared" si="14"/>
        <v/>
      </c>
    </row>
    <row r="72" spans="2:56" x14ac:dyDescent="0.25">
      <c r="B72" s="7" t="str">
        <f t="shared" si="5"/>
        <v/>
      </c>
      <c r="C72" s="4"/>
      <c r="D72" s="4"/>
      <c r="E72" s="4"/>
      <c r="F72" s="230" t="str">
        <f>IF('תנאי סף'!AO72&lt;&gt;1,"",'תנאי סף'!F72)</f>
        <v/>
      </c>
      <c r="G72" s="158" t="s">
        <v>186</v>
      </c>
      <c r="H72" s="5"/>
      <c r="I72" s="6"/>
      <c r="J72" s="5"/>
      <c r="K72" s="6"/>
      <c r="L72" s="5"/>
      <c r="M72" s="6"/>
      <c r="N72" s="6"/>
      <c r="O72" s="158"/>
      <c r="P72" s="177"/>
      <c r="Q72" s="8"/>
      <c r="R72" s="8"/>
      <c r="S72" s="8"/>
      <c r="T72" s="8"/>
      <c r="U72" s="159" t="str">
        <f>IF($F72="","",IF($AA72&lt;&gt;1,$AB$1,MAX(INDEX('הוראת שעה'!$F$6:$F$20,MATCH($Z$2,'הוראת שעה'!$A$6:$A$20,1)),INDEX($G$5:$G$8,MATCH(G72,$F$5:$F$8,0)))))</f>
        <v/>
      </c>
      <c r="V72" s="159" t="str">
        <f>סיווג!Z72</f>
        <v/>
      </c>
      <c r="W72" s="8" t="str">
        <f t="shared" si="6"/>
        <v/>
      </c>
      <c r="X72" s="8">
        <v>1</v>
      </c>
      <c r="Y72" s="8" t="str">
        <f t="shared" si="7"/>
        <v/>
      </c>
      <c r="Z72" s="123" t="str">
        <f t="shared" si="12"/>
        <v/>
      </c>
      <c r="AA72" s="192">
        <f t="shared" si="8"/>
        <v>0</v>
      </c>
      <c r="AB72" s="192" t="str">
        <f t="shared" si="13"/>
        <v/>
      </c>
      <c r="AC72" s="192" t="str">
        <f t="shared" si="13"/>
        <v/>
      </c>
      <c r="AD72" s="192">
        <f t="shared" si="10"/>
        <v>0</v>
      </c>
      <c r="BA72" s="192" t="str">
        <f t="shared" si="14"/>
        <v/>
      </c>
      <c r="BB72" s="192" t="str">
        <f t="shared" si="14"/>
        <v/>
      </c>
      <c r="BC72" s="192" t="str">
        <f t="shared" si="14"/>
        <v/>
      </c>
      <c r="BD72" s="192" t="str">
        <f t="shared" si="14"/>
        <v/>
      </c>
    </row>
    <row r="73" spans="2:56" x14ac:dyDescent="0.25">
      <c r="B73" s="7">
        <f t="shared" si="5"/>
        <v>43</v>
      </c>
      <c r="C73" s="4"/>
      <c r="D73" s="4"/>
      <c r="E73" s="4"/>
      <c r="F73" s="230" t="str">
        <f>IF('תנאי סף'!AO73&lt;&gt;1,"",'תנאי סף'!F73)</f>
        <v>בר קיימא ואקלקוטנטקט</v>
      </c>
      <c r="G73" s="158" t="s">
        <v>90</v>
      </c>
      <c r="H73" s="5"/>
      <c r="I73" s="6"/>
      <c r="J73" s="5"/>
      <c r="K73" s="6"/>
      <c r="L73" s="5"/>
      <c r="M73" s="6"/>
      <c r="N73" s="6"/>
      <c r="O73" s="158"/>
      <c r="P73" s="177"/>
      <c r="Q73" s="8"/>
      <c r="R73" s="8"/>
      <c r="S73" s="8"/>
      <c r="T73" s="8"/>
      <c r="U73" s="159">
        <f>IF($F73="","",IF($AA73&lt;&gt;1,$AB$1,MAX(INDEX('הוראת שעה'!$F$6:$F$20,MATCH($Z$2,'הוראת שעה'!$A$6:$A$20,1)),INDEX($G$5:$G$8,MATCH(G73,$F$5:$F$8,0)))))</f>
        <v>3</v>
      </c>
      <c r="V73" s="159">
        <f>סיווג!Z73</f>
        <v>0.8</v>
      </c>
      <c r="W73" s="8">
        <f t="shared" si="6"/>
        <v>2.4000000000000004</v>
      </c>
      <c r="X73" s="8">
        <v>1</v>
      </c>
      <c r="Y73" s="8">
        <f t="shared" si="7"/>
        <v>2.4000000000000004</v>
      </c>
      <c r="Z73" s="123">
        <f t="shared" si="12"/>
        <v>2.2242817423540319E-2</v>
      </c>
      <c r="AA73" s="192">
        <f t="shared" si="8"/>
        <v>1</v>
      </c>
      <c r="AB73" s="192">
        <f t="shared" si="13"/>
        <v>0</v>
      </c>
      <c r="AC73" s="192">
        <f t="shared" si="13"/>
        <v>1</v>
      </c>
      <c r="AD73" s="192">
        <f t="shared" si="10"/>
        <v>1</v>
      </c>
      <c r="BA73" s="192" t="str">
        <f t="shared" si="14"/>
        <v>נאותה</v>
      </c>
      <c r="BB73" s="192" t="str">
        <f t="shared" si="14"/>
        <v>טובה</v>
      </c>
      <c r="BC73" s="192" t="str">
        <f t="shared" si="14"/>
        <v>טובה מאוד</v>
      </c>
      <c r="BD73" s="192" t="str">
        <f t="shared" si="14"/>
        <v>מצוינת</v>
      </c>
    </row>
    <row r="74" spans="2:56" x14ac:dyDescent="0.25">
      <c r="B74" s="7" t="str">
        <f t="shared" si="5"/>
        <v/>
      </c>
      <c r="C74" s="4"/>
      <c r="D74" s="4"/>
      <c r="E74" s="4"/>
      <c r="F74" s="230" t="str">
        <f>IF('תנאי סף'!AO74&lt;&gt;1,"",'תנאי סף'!F74)</f>
        <v/>
      </c>
      <c r="G74" s="158"/>
      <c r="H74" s="5"/>
      <c r="I74" s="6"/>
      <c r="J74" s="5"/>
      <c r="K74" s="6"/>
      <c r="L74" s="5"/>
      <c r="M74" s="6"/>
      <c r="N74" s="6"/>
      <c r="O74" s="158"/>
      <c r="P74" s="177"/>
      <c r="Q74" s="8"/>
      <c r="R74" s="8"/>
      <c r="S74" s="8"/>
      <c r="T74" s="8"/>
      <c r="U74" s="159" t="str">
        <f>IF($F74="","",IF($AA74&lt;&gt;1,$AB$1,MAX(INDEX('הוראת שעה'!$F$6:$F$20,MATCH($Z$2,'הוראת שעה'!$A$6:$A$20,1)),INDEX($G$5:$G$8,MATCH(G74,$F$5:$F$8,0)))))</f>
        <v/>
      </c>
      <c r="V74" s="159" t="str">
        <f>סיווג!Z74</f>
        <v/>
      </c>
      <c r="W74" s="8" t="str">
        <f t="shared" si="6"/>
        <v/>
      </c>
      <c r="X74" s="8">
        <v>1</v>
      </c>
      <c r="Y74" s="8" t="str">
        <f t="shared" si="7"/>
        <v/>
      </c>
      <c r="Z74" s="123" t="str">
        <f t="shared" si="12"/>
        <v/>
      </c>
      <c r="AA74" s="192">
        <f t="shared" si="8"/>
        <v>0</v>
      </c>
      <c r="AB74" s="192" t="str">
        <f t="shared" si="13"/>
        <v/>
      </c>
      <c r="AC74" s="192" t="str">
        <f t="shared" si="13"/>
        <v/>
      </c>
      <c r="AD74" s="192">
        <f t="shared" si="10"/>
        <v>0</v>
      </c>
      <c r="BA74" s="192" t="str">
        <f t="shared" si="14"/>
        <v/>
      </c>
      <c r="BB74" s="192" t="str">
        <f t="shared" si="14"/>
        <v/>
      </c>
      <c r="BC74" s="192" t="str">
        <f t="shared" si="14"/>
        <v/>
      </c>
      <c r="BD74" s="192" t="str">
        <f t="shared" si="14"/>
        <v/>
      </c>
    </row>
    <row r="75" spans="2:56" x14ac:dyDescent="0.25">
      <c r="B75" s="7">
        <f t="shared" si="5"/>
        <v>45</v>
      </c>
      <c r="C75" s="4"/>
      <c r="D75" s="4"/>
      <c r="E75" s="4"/>
      <c r="F75" s="230" t="str">
        <f>IF('תנאי סף'!AO75&lt;&gt;1,"",'תנאי סף'!F75)</f>
        <v>אלקאת התזמורת התימנית</v>
      </c>
      <c r="G75" s="158" t="s">
        <v>91</v>
      </c>
      <c r="H75" s="5"/>
      <c r="I75" s="6"/>
      <c r="J75" s="5"/>
      <c r="K75" s="6"/>
      <c r="L75" s="5"/>
      <c r="M75" s="6"/>
      <c r="N75" s="6"/>
      <c r="O75" s="158"/>
      <c r="P75" s="177"/>
      <c r="Q75" s="8"/>
      <c r="R75" s="8"/>
      <c r="S75" s="8"/>
      <c r="T75" s="8"/>
      <c r="U75" s="159">
        <f>IF($F75="","",IF($AA75&lt;&gt;1,$AB$1,MAX(INDEX('הוראת שעה'!$F$6:$F$20,MATCH($Z$2,'הוראת שעה'!$A$6:$A$20,1)),INDEX($G$5:$G$8,MATCH(G75,$F$5:$F$8,0)))))</f>
        <v>4</v>
      </c>
      <c r="V75" s="159">
        <f>סיווג!Z75</f>
        <v>1</v>
      </c>
      <c r="W75" s="8">
        <f t="shared" si="6"/>
        <v>4</v>
      </c>
      <c r="X75" s="8">
        <v>1</v>
      </c>
      <c r="Y75" s="8">
        <f t="shared" si="7"/>
        <v>4</v>
      </c>
      <c r="Z75" s="123">
        <f t="shared" si="12"/>
        <v>3.7071362372567189E-2</v>
      </c>
      <c r="AA75" s="192">
        <f t="shared" si="8"/>
        <v>1</v>
      </c>
      <c r="AB75" s="192">
        <f t="shared" si="13"/>
        <v>0</v>
      </c>
      <c r="AC75" s="192">
        <f t="shared" si="13"/>
        <v>1</v>
      </c>
      <c r="AD75" s="192">
        <f t="shared" si="10"/>
        <v>1</v>
      </c>
      <c r="BA75" s="192" t="str">
        <f t="shared" si="14"/>
        <v>נאותה</v>
      </c>
      <c r="BB75" s="192" t="str">
        <f t="shared" si="14"/>
        <v>טובה</v>
      </c>
      <c r="BC75" s="192" t="str">
        <f t="shared" si="14"/>
        <v>טובה מאוד</v>
      </c>
      <c r="BD75" s="192" t="str">
        <f t="shared" si="14"/>
        <v>מצוינת</v>
      </c>
    </row>
    <row r="76" spans="2:56" x14ac:dyDescent="0.25">
      <c r="B76" s="7" t="str">
        <f t="shared" si="5"/>
        <v/>
      </c>
      <c r="C76" s="4"/>
      <c r="D76" s="4"/>
      <c r="E76" s="4"/>
      <c r="F76" s="230" t="str">
        <f>IF('תנאי סף'!AO76&lt;&gt;1,"",'תנאי סף'!F76)</f>
        <v/>
      </c>
      <c r="G76" s="158" t="s">
        <v>186</v>
      </c>
      <c r="H76" s="5"/>
      <c r="I76" s="6"/>
      <c r="J76" s="5"/>
      <c r="K76" s="6"/>
      <c r="L76" s="5"/>
      <c r="M76" s="6"/>
      <c r="N76" s="6"/>
      <c r="O76" s="158"/>
      <c r="P76" s="177"/>
      <c r="Q76" s="8"/>
      <c r="R76" s="8"/>
      <c r="S76" s="8"/>
      <c r="T76" s="8"/>
      <c r="U76" s="159" t="str">
        <f>IF($F76="","",IF($AA76&lt;&gt;1,$AB$1,MAX(INDEX('הוראת שעה'!$F$6:$F$20,MATCH($Z$2,'הוראת שעה'!$A$6:$A$20,1)),INDEX($G$5:$G$8,MATCH(G76,$F$5:$F$8,0)))))</f>
        <v/>
      </c>
      <c r="V76" s="159" t="str">
        <f>סיווג!Z76</f>
        <v/>
      </c>
      <c r="W76" s="8" t="str">
        <f t="shared" si="6"/>
        <v/>
      </c>
      <c r="X76" s="8">
        <v>1</v>
      </c>
      <c r="Y76" s="8" t="str">
        <f t="shared" si="7"/>
        <v/>
      </c>
      <c r="Z76" s="123" t="str">
        <f t="shared" si="12"/>
        <v/>
      </c>
      <c r="AA76" s="192">
        <f t="shared" si="8"/>
        <v>0</v>
      </c>
      <c r="AB76" s="192" t="str">
        <f t="shared" si="13"/>
        <v/>
      </c>
      <c r="AC76" s="192" t="str">
        <f t="shared" si="13"/>
        <v/>
      </c>
      <c r="AD76" s="192">
        <f t="shared" si="10"/>
        <v>0</v>
      </c>
      <c r="BA76" s="192" t="str">
        <f t="shared" si="14"/>
        <v/>
      </c>
      <c r="BB76" s="192" t="str">
        <f t="shared" si="14"/>
        <v/>
      </c>
      <c r="BC76" s="192" t="str">
        <f t="shared" si="14"/>
        <v/>
      </c>
      <c r="BD76" s="192" t="str">
        <f t="shared" si="14"/>
        <v/>
      </c>
    </row>
    <row r="77" spans="2:56" x14ac:dyDescent="0.25">
      <c r="B77" s="7" t="str">
        <f t="shared" si="5"/>
        <v/>
      </c>
      <c r="C77" s="4"/>
      <c r="D77" s="4"/>
      <c r="E77" s="4"/>
      <c r="F77" s="230" t="str">
        <f>IF('תנאי סף'!AO77&lt;&gt;1,"",'תנאי סף'!F77)</f>
        <v/>
      </c>
      <c r="G77" s="158"/>
      <c r="H77" s="5"/>
      <c r="I77" s="6"/>
      <c r="J77" s="5"/>
      <c r="K77" s="6"/>
      <c r="L77" s="5"/>
      <c r="M77" s="6"/>
      <c r="N77" s="6"/>
      <c r="O77" s="158"/>
      <c r="P77" s="177"/>
      <c r="Q77" s="8"/>
      <c r="R77" s="8"/>
      <c r="S77" s="8"/>
      <c r="T77" s="8"/>
      <c r="U77" s="159" t="str">
        <f>IF($F77="","",IF($AA77&lt;&gt;1,$AB$1,MAX(INDEX('הוראת שעה'!$F$6:$F$20,MATCH($Z$2,'הוראת שעה'!$A$6:$A$20,1)),INDEX($G$5:$G$8,MATCH(G77,$F$5:$F$8,0)))))</f>
        <v/>
      </c>
      <c r="V77" s="159" t="str">
        <f>סיווג!Z77</f>
        <v/>
      </c>
      <c r="W77" s="8" t="str">
        <f t="shared" si="6"/>
        <v/>
      </c>
      <c r="X77" s="8">
        <v>1</v>
      </c>
      <c r="Y77" s="8" t="str">
        <f t="shared" si="7"/>
        <v/>
      </c>
      <c r="Z77" s="123" t="str">
        <f t="shared" si="12"/>
        <v/>
      </c>
      <c r="AA77" s="192">
        <f t="shared" si="8"/>
        <v>0</v>
      </c>
      <c r="AB77" s="192" t="str">
        <f t="shared" si="13"/>
        <v/>
      </c>
      <c r="AC77" s="192" t="str">
        <f t="shared" si="13"/>
        <v/>
      </c>
      <c r="AD77" s="192">
        <f t="shared" si="10"/>
        <v>0</v>
      </c>
      <c r="BA77" s="192" t="str">
        <f t="shared" si="14"/>
        <v/>
      </c>
      <c r="BB77" s="192" t="str">
        <f t="shared" si="14"/>
        <v/>
      </c>
      <c r="BC77" s="192" t="str">
        <f t="shared" si="14"/>
        <v/>
      </c>
      <c r="BD77" s="192" t="str">
        <f t="shared" si="14"/>
        <v/>
      </c>
    </row>
    <row r="78" spans="2:56" x14ac:dyDescent="0.25">
      <c r="B78" s="7">
        <f t="shared" si="5"/>
        <v>48</v>
      </c>
      <c r="C78" s="4"/>
      <c r="D78" s="4"/>
      <c r="E78" s="4"/>
      <c r="F78" s="230" t="str">
        <f>IF('תנאי סף'!AO78&lt;&gt;1,"",'תנאי סף'!F78)</f>
        <v>גיא מינטוס- טריו</v>
      </c>
      <c r="G78" s="158" t="s">
        <v>92</v>
      </c>
      <c r="H78" s="5"/>
      <c r="I78" s="6"/>
      <c r="J78" s="5"/>
      <c r="K78" s="6"/>
      <c r="L78" s="5"/>
      <c r="M78" s="6"/>
      <c r="N78" s="6"/>
      <c r="O78" s="158"/>
      <c r="P78" s="177"/>
      <c r="Q78" s="8"/>
      <c r="R78" s="8"/>
      <c r="S78" s="8"/>
      <c r="T78" s="8"/>
      <c r="U78" s="159">
        <f>IF($F78="","",IF($AA78&lt;&gt;1,$AB$1,MAX(INDEX('הוראת שעה'!$F$6:$F$20,MATCH($Z$2,'הוראת שעה'!$A$6:$A$20,1)),INDEX($G$5:$G$8,MATCH(G78,$F$5:$F$8,0)))))</f>
        <v>5</v>
      </c>
      <c r="V78" s="159">
        <f>סיווג!Z78</f>
        <v>1</v>
      </c>
      <c r="W78" s="8">
        <f t="shared" si="6"/>
        <v>5</v>
      </c>
      <c r="X78" s="8">
        <v>1</v>
      </c>
      <c r="Y78" s="8">
        <f t="shared" si="7"/>
        <v>5</v>
      </c>
      <c r="Z78" s="123">
        <f t="shared" si="12"/>
        <v>4.6339202965708988E-2</v>
      </c>
      <c r="AA78" s="192">
        <f t="shared" si="8"/>
        <v>1</v>
      </c>
      <c r="AB78" s="192">
        <f t="shared" si="13"/>
        <v>0</v>
      </c>
      <c r="AC78" s="192">
        <f t="shared" si="13"/>
        <v>1</v>
      </c>
      <c r="AD78" s="192">
        <f t="shared" si="10"/>
        <v>1</v>
      </c>
      <c r="BA78" s="192" t="str">
        <f t="shared" si="14"/>
        <v>נאותה</v>
      </c>
      <c r="BB78" s="192" t="str">
        <f t="shared" si="14"/>
        <v>טובה</v>
      </c>
      <c r="BC78" s="192" t="str">
        <f t="shared" si="14"/>
        <v>טובה מאוד</v>
      </c>
      <c r="BD78" s="192" t="str">
        <f t="shared" si="14"/>
        <v>מצוינת</v>
      </c>
    </row>
    <row r="79" spans="2:56" x14ac:dyDescent="0.25">
      <c r="B79" s="7" t="str">
        <f t="shared" si="5"/>
        <v/>
      </c>
      <c r="C79" s="4"/>
      <c r="D79" s="4"/>
      <c r="E79" s="4"/>
      <c r="F79" s="230" t="str">
        <f>IF('תנאי סף'!AO79&lt;&gt;1,"",'תנאי סף'!F79)</f>
        <v/>
      </c>
      <c r="G79" s="158"/>
      <c r="H79" s="5"/>
      <c r="I79" s="6"/>
      <c r="J79" s="5"/>
      <c r="K79" s="6"/>
      <c r="L79" s="5"/>
      <c r="M79" s="6"/>
      <c r="N79" s="6"/>
      <c r="O79" s="158"/>
      <c r="P79" s="177"/>
      <c r="Q79" s="8"/>
      <c r="R79" s="8"/>
      <c r="S79" s="8"/>
      <c r="T79" s="8"/>
      <c r="U79" s="159" t="str">
        <f>IF($F79="","",IF($AA79&lt;&gt;1,$AB$1,MAX(INDEX('הוראת שעה'!$F$6:$F$20,MATCH($Z$2,'הוראת שעה'!$A$6:$A$20,1)),INDEX($G$5:$G$8,MATCH(G79,$F$5:$F$8,0)))))</f>
        <v/>
      </c>
      <c r="V79" s="159" t="str">
        <f>סיווג!Z79</f>
        <v/>
      </c>
      <c r="W79" s="8" t="str">
        <f t="shared" si="6"/>
        <v/>
      </c>
      <c r="X79" s="8">
        <v>1</v>
      </c>
      <c r="Y79" s="8" t="str">
        <f t="shared" si="7"/>
        <v/>
      </c>
      <c r="Z79" s="123" t="str">
        <f t="shared" si="12"/>
        <v/>
      </c>
      <c r="AA79" s="192">
        <f t="shared" si="8"/>
        <v>0</v>
      </c>
      <c r="AB79" s="192" t="str">
        <f t="shared" si="13"/>
        <v/>
      </c>
      <c r="AC79" s="192" t="str">
        <f t="shared" si="13"/>
        <v/>
      </c>
      <c r="AD79" s="192">
        <f t="shared" si="10"/>
        <v>0</v>
      </c>
      <c r="BA79" s="192" t="str">
        <f t="shared" si="14"/>
        <v/>
      </c>
      <c r="BB79" s="192" t="str">
        <f t="shared" si="14"/>
        <v/>
      </c>
      <c r="BC79" s="192" t="str">
        <f t="shared" si="14"/>
        <v/>
      </c>
      <c r="BD79" s="192" t="str">
        <f t="shared" si="14"/>
        <v/>
      </c>
    </row>
    <row r="80" spans="2:56" x14ac:dyDescent="0.25">
      <c r="B80" s="7" t="str">
        <f t="shared" si="5"/>
        <v/>
      </c>
      <c r="C80" s="4"/>
      <c r="D80" s="4"/>
      <c r="E80" s="4"/>
      <c r="F80" s="230" t="str">
        <f>IF('תנאי סף'!AO80&lt;&gt;1,"",'תנאי סף'!F80)</f>
        <v/>
      </c>
      <c r="G80" s="158"/>
      <c r="H80" s="5"/>
      <c r="I80" s="6"/>
      <c r="J80" s="5"/>
      <c r="K80" s="6"/>
      <c r="L80" s="5"/>
      <c r="M80" s="6"/>
      <c r="N80" s="6"/>
      <c r="O80" s="158"/>
      <c r="P80" s="177"/>
      <c r="Q80" s="8"/>
      <c r="R80" s="8"/>
      <c r="S80" s="8"/>
      <c r="T80" s="8"/>
      <c r="U80" s="159" t="str">
        <f>IF($F80="","",IF($AA80&lt;&gt;1,$AB$1,MAX(INDEX('הוראת שעה'!$F$6:$F$20,MATCH($Z$2,'הוראת שעה'!$A$6:$A$20,1)),INDEX($G$5:$G$8,MATCH(G80,$F$5:$F$8,0)))))</f>
        <v/>
      </c>
      <c r="V80" s="159" t="str">
        <f>סיווג!Z80</f>
        <v/>
      </c>
      <c r="W80" s="8" t="str">
        <f t="shared" si="6"/>
        <v/>
      </c>
      <c r="X80" s="8">
        <v>1</v>
      </c>
      <c r="Y80" s="8" t="str">
        <f t="shared" si="7"/>
        <v/>
      </c>
      <c r="Z80" s="123" t="str">
        <f t="shared" si="12"/>
        <v/>
      </c>
      <c r="AA80" s="192">
        <f t="shared" si="8"/>
        <v>0</v>
      </c>
      <c r="AB80" s="192" t="str">
        <f t="shared" si="13"/>
        <v/>
      </c>
      <c r="AC80" s="192" t="str">
        <f t="shared" si="13"/>
        <v/>
      </c>
      <c r="AD80" s="192">
        <f t="shared" si="10"/>
        <v>0</v>
      </c>
      <c r="BA80" s="192" t="str">
        <f t="shared" si="14"/>
        <v/>
      </c>
      <c r="BB80" s="192" t="str">
        <f t="shared" si="14"/>
        <v/>
      </c>
      <c r="BC80" s="192" t="str">
        <f t="shared" si="14"/>
        <v/>
      </c>
      <c r="BD80" s="192" t="str">
        <f t="shared" si="14"/>
        <v/>
      </c>
    </row>
    <row r="81" spans="2:56" x14ac:dyDescent="0.25">
      <c r="B81" s="7" t="str">
        <f t="shared" si="5"/>
        <v/>
      </c>
      <c r="C81" s="4"/>
      <c r="D81" s="4"/>
      <c r="E81" s="4"/>
      <c r="F81" s="230" t="str">
        <f>IF('תנאי סף'!AO81&lt;&gt;1,"",'תנאי סף'!F81)</f>
        <v/>
      </c>
      <c r="G81" s="158"/>
      <c r="H81" s="5"/>
      <c r="I81" s="6"/>
      <c r="J81" s="5"/>
      <c r="K81" s="6"/>
      <c r="L81" s="5"/>
      <c r="M81" s="6"/>
      <c r="N81" s="6"/>
      <c r="O81" s="158"/>
      <c r="P81" s="177"/>
      <c r="Q81" s="8"/>
      <c r="R81" s="8"/>
      <c r="S81" s="8"/>
      <c r="T81" s="8"/>
      <c r="U81" s="159" t="str">
        <f>IF($F81="","",IF($AA81&lt;&gt;1,$AB$1,MAX(INDEX('הוראת שעה'!$F$6:$F$20,MATCH($Z$2,'הוראת שעה'!$A$6:$A$20,1)),INDEX($G$5:$G$8,MATCH(G81,$F$5:$F$8,0)))))</f>
        <v/>
      </c>
      <c r="V81" s="159" t="str">
        <f>סיווג!Z81</f>
        <v/>
      </c>
      <c r="W81" s="8" t="str">
        <f t="shared" si="6"/>
        <v/>
      </c>
      <c r="X81" s="8">
        <v>1</v>
      </c>
      <c r="Y81" s="8" t="str">
        <f t="shared" si="7"/>
        <v/>
      </c>
      <c r="Z81" s="123" t="str">
        <f t="shared" si="12"/>
        <v/>
      </c>
      <c r="AA81" s="192">
        <f t="shared" si="8"/>
        <v>0</v>
      </c>
      <c r="AB81" s="192" t="str">
        <f t="shared" si="13"/>
        <v/>
      </c>
      <c r="AC81" s="192" t="str">
        <f t="shared" si="13"/>
        <v/>
      </c>
      <c r="AD81" s="192">
        <f t="shared" si="10"/>
        <v>0</v>
      </c>
      <c r="BA81" s="192" t="str">
        <f t="shared" si="14"/>
        <v/>
      </c>
      <c r="BB81" s="192" t="str">
        <f t="shared" si="14"/>
        <v/>
      </c>
      <c r="BC81" s="192" t="str">
        <f t="shared" si="14"/>
        <v/>
      </c>
      <c r="BD81" s="192" t="str">
        <f t="shared" si="14"/>
        <v/>
      </c>
    </row>
    <row r="82" spans="2:56" ht="15.75" customHeight="1" x14ac:dyDescent="0.25">
      <c r="B82" s="7">
        <f t="shared" si="5"/>
        <v>52</v>
      </c>
      <c r="C82" s="4"/>
      <c r="D82" s="4"/>
      <c r="E82" s="4"/>
      <c r="F82" s="230" t="str">
        <f>IF('תנאי סף'!AO82&lt;&gt;1,"",'תנאי סף'!F82)</f>
        <v xml:space="preserve">פולקעס - בר-קיימא לתרבות </v>
      </c>
      <c r="G82" s="158" t="s">
        <v>91</v>
      </c>
      <c r="H82" s="5"/>
      <c r="I82" s="6"/>
      <c r="J82" s="5"/>
      <c r="K82" s="6"/>
      <c r="L82" s="5"/>
      <c r="M82" s="6"/>
      <c r="N82" s="6"/>
      <c r="O82" s="158"/>
      <c r="P82" s="177"/>
      <c r="Q82" s="8"/>
      <c r="R82" s="8"/>
      <c r="S82" s="8"/>
      <c r="T82" s="8"/>
      <c r="U82" s="159">
        <f>IF($F82="","",IF($AA82&lt;&gt;1,$AB$1,MAX(INDEX('הוראת שעה'!$F$6:$F$20,MATCH($Z$2,'הוראת שעה'!$A$6:$A$20,1)),INDEX($G$5:$G$8,MATCH(G82,$F$5:$F$8,0)))))</f>
        <v>4</v>
      </c>
      <c r="V82" s="159">
        <f>סיווג!Z82</f>
        <v>0.8</v>
      </c>
      <c r="W82" s="8">
        <f t="shared" si="6"/>
        <v>3.2</v>
      </c>
      <c r="X82" s="8">
        <v>1</v>
      </c>
      <c r="Y82" s="8">
        <f t="shared" si="7"/>
        <v>3.2</v>
      </c>
      <c r="Z82" s="123">
        <f t="shared" si="12"/>
        <v>2.9657089898053754E-2</v>
      </c>
      <c r="AA82" s="192">
        <f t="shared" si="8"/>
        <v>1</v>
      </c>
      <c r="AB82" s="192">
        <f t="shared" si="13"/>
        <v>0</v>
      </c>
      <c r="AC82" s="192">
        <f t="shared" si="13"/>
        <v>1</v>
      </c>
      <c r="AD82" s="192">
        <f t="shared" si="10"/>
        <v>1</v>
      </c>
      <c r="BA82" s="192" t="str">
        <f t="shared" si="14"/>
        <v>נאותה</v>
      </c>
      <c r="BB82" s="192" t="str">
        <f t="shared" si="14"/>
        <v>טובה</v>
      </c>
      <c r="BC82" s="192" t="str">
        <f t="shared" si="14"/>
        <v>טובה מאוד</v>
      </c>
      <c r="BD82" s="192" t="str">
        <f t="shared" si="14"/>
        <v>מצוינת</v>
      </c>
    </row>
    <row r="83" spans="2:56" x14ac:dyDescent="0.25">
      <c r="B83" s="7" t="str">
        <f t="shared" si="5"/>
        <v/>
      </c>
      <c r="C83" s="4"/>
      <c r="D83" s="4"/>
      <c r="E83" s="4"/>
      <c r="F83" s="230" t="str">
        <f>IF('תנאי סף'!AO83&lt;&gt;1,"",'תנאי סף'!F83)</f>
        <v/>
      </c>
      <c r="G83" s="158"/>
      <c r="H83" s="5"/>
      <c r="I83" s="6"/>
      <c r="J83" s="5"/>
      <c r="K83" s="6"/>
      <c r="L83" s="5"/>
      <c r="M83" s="6"/>
      <c r="N83" s="6"/>
      <c r="O83" s="158"/>
      <c r="P83" s="177"/>
      <c r="Q83" s="8"/>
      <c r="R83" s="8"/>
      <c r="S83" s="8"/>
      <c r="T83" s="8"/>
      <c r="U83" s="159" t="str">
        <f>IF($F83="","",IF($AA83&lt;&gt;1,$AB$1,MAX(INDEX('הוראת שעה'!$F$6:$F$20,MATCH($Z$2,'הוראת שעה'!$A$6:$A$20,1)),INDEX($G$5:$G$8,MATCH(G83,$F$5:$F$8,0)))))</f>
        <v/>
      </c>
      <c r="V83" s="159" t="str">
        <f>סיווג!Z83</f>
        <v/>
      </c>
      <c r="W83" s="8" t="str">
        <f t="shared" si="6"/>
        <v/>
      </c>
      <c r="X83" s="8">
        <v>1</v>
      </c>
      <c r="Y83" s="8" t="str">
        <f t="shared" si="7"/>
        <v/>
      </c>
      <c r="Z83" s="123" t="str">
        <f t="shared" si="12"/>
        <v/>
      </c>
      <c r="AA83" s="192">
        <f t="shared" si="8"/>
        <v>0</v>
      </c>
      <c r="AB83" s="192" t="str">
        <f t="shared" si="13"/>
        <v/>
      </c>
      <c r="AC83" s="192" t="str">
        <f t="shared" si="13"/>
        <v/>
      </c>
      <c r="AD83" s="192">
        <f t="shared" si="10"/>
        <v>0</v>
      </c>
      <c r="BA83" s="192" t="str">
        <f t="shared" si="14"/>
        <v/>
      </c>
      <c r="BB83" s="192" t="str">
        <f t="shared" si="14"/>
        <v/>
      </c>
      <c r="BC83" s="192" t="str">
        <f t="shared" si="14"/>
        <v/>
      </c>
      <c r="BD83" s="192" t="str">
        <f t="shared" si="14"/>
        <v/>
      </c>
    </row>
    <row r="84" spans="2:56" x14ac:dyDescent="0.25">
      <c r="B84" s="7" t="str">
        <f t="shared" si="5"/>
        <v/>
      </c>
      <c r="C84" s="4"/>
      <c r="D84" s="4"/>
      <c r="E84" s="4"/>
      <c r="F84" s="230" t="str">
        <f>IF('תנאי סף'!AO84&lt;&gt;1,"",'תנאי סף'!F84)</f>
        <v/>
      </c>
      <c r="G84" s="158"/>
      <c r="H84" s="5"/>
      <c r="I84" s="6"/>
      <c r="J84" s="5"/>
      <c r="K84" s="6"/>
      <c r="L84" s="5"/>
      <c r="M84" s="6"/>
      <c r="N84" s="6"/>
      <c r="O84" s="158"/>
      <c r="P84" s="177"/>
      <c r="Q84" s="8"/>
      <c r="R84" s="8"/>
      <c r="S84" s="8"/>
      <c r="T84" s="8"/>
      <c r="U84" s="159" t="str">
        <f>IF($F84="","",IF($AA84&lt;&gt;1,$AB$1,MAX(INDEX('הוראת שעה'!$F$6:$F$20,MATCH($Z$2,'הוראת שעה'!$A$6:$A$20,1)),INDEX($G$5:$G$8,MATCH(G84,$F$5:$F$8,0)))))</f>
        <v/>
      </c>
      <c r="V84" s="159" t="str">
        <f>סיווג!Z84</f>
        <v/>
      </c>
      <c r="W84" s="8" t="str">
        <f t="shared" si="6"/>
        <v/>
      </c>
      <c r="X84" s="8">
        <v>1</v>
      </c>
      <c r="Y84" s="8" t="str">
        <f t="shared" si="7"/>
        <v/>
      </c>
      <c r="Z84" s="123" t="str">
        <f t="shared" si="12"/>
        <v/>
      </c>
      <c r="AA84" s="192">
        <f t="shared" si="8"/>
        <v>0</v>
      </c>
      <c r="AB84" s="192" t="str">
        <f t="shared" si="13"/>
        <v/>
      </c>
      <c r="AC84" s="192" t="str">
        <f t="shared" si="13"/>
        <v/>
      </c>
      <c r="AD84" s="192">
        <f t="shared" si="10"/>
        <v>0</v>
      </c>
      <c r="BA84" s="192" t="str">
        <f t="shared" si="14"/>
        <v/>
      </c>
      <c r="BB84" s="192" t="str">
        <f t="shared" si="14"/>
        <v/>
      </c>
      <c r="BC84" s="192" t="str">
        <f t="shared" si="14"/>
        <v/>
      </c>
      <c r="BD84" s="192" t="str">
        <f t="shared" si="14"/>
        <v/>
      </c>
    </row>
    <row r="85" spans="2:56" x14ac:dyDescent="0.25">
      <c r="B85" s="7">
        <f t="shared" si="5"/>
        <v>55</v>
      </c>
      <c r="C85" s="4"/>
      <c r="D85" s="4"/>
      <c r="E85" s="4"/>
      <c r="F85" s="230" t="str">
        <f>IF('תנאי סף'!AO85&lt;&gt;1,"",'תנאי סף'!F85)</f>
        <v>מכון רננות</v>
      </c>
      <c r="G85" s="158" t="s">
        <v>90</v>
      </c>
      <c r="H85" s="5"/>
      <c r="I85" s="6"/>
      <c r="J85" s="5"/>
      <c r="K85" s="6"/>
      <c r="L85" s="5"/>
      <c r="M85" s="6"/>
      <c r="N85" s="6"/>
      <c r="O85" s="158"/>
      <c r="P85" s="177"/>
      <c r="Q85" s="8"/>
      <c r="R85" s="8"/>
      <c r="S85" s="8"/>
      <c r="T85" s="8"/>
      <c r="U85" s="159">
        <f>IF($F85="","",IF($AA85&lt;&gt;1,$AB$1,MAX(INDEX('הוראת שעה'!$F$6:$F$20,MATCH($Z$2,'הוראת שעה'!$A$6:$A$20,1)),INDEX($G$5:$G$8,MATCH(G85,$F$5:$F$8,0)))))</f>
        <v>3</v>
      </c>
      <c r="V85" s="159">
        <f>סיווג!Z85</f>
        <v>0.8</v>
      </c>
      <c r="W85" s="8">
        <f t="shared" si="6"/>
        <v>2.4000000000000004</v>
      </c>
      <c r="X85" s="8">
        <v>1</v>
      </c>
      <c r="Y85" s="8">
        <f t="shared" si="7"/>
        <v>2.4000000000000004</v>
      </c>
      <c r="Z85" s="123">
        <f t="shared" si="12"/>
        <v>2.2242817423540319E-2</v>
      </c>
      <c r="AA85" s="192">
        <f t="shared" si="8"/>
        <v>1</v>
      </c>
      <c r="AB85" s="192">
        <f t="shared" si="13"/>
        <v>0</v>
      </c>
      <c r="AC85" s="192">
        <f t="shared" si="13"/>
        <v>1</v>
      </c>
      <c r="AD85" s="192">
        <f t="shared" si="10"/>
        <v>1</v>
      </c>
      <c r="BA85" s="192" t="str">
        <f t="shared" si="14"/>
        <v>נאותה</v>
      </c>
      <c r="BB85" s="192" t="str">
        <f t="shared" si="14"/>
        <v>טובה</v>
      </c>
      <c r="BC85" s="192" t="str">
        <f t="shared" si="14"/>
        <v>טובה מאוד</v>
      </c>
      <c r="BD85" s="192" t="str">
        <f t="shared" si="14"/>
        <v>מצוינת</v>
      </c>
    </row>
    <row r="86" spans="2:56" x14ac:dyDescent="0.25">
      <c r="B86" s="7" t="str">
        <f t="shared" si="5"/>
        <v/>
      </c>
      <c r="C86" s="4"/>
      <c r="D86" s="4"/>
      <c r="E86" s="4"/>
      <c r="F86" s="230" t="str">
        <f>IF('תנאי סף'!AO86&lt;&gt;1,"",'תנאי סף'!F86)</f>
        <v/>
      </c>
      <c r="G86" s="158"/>
      <c r="H86" s="5"/>
      <c r="I86" s="6"/>
      <c r="J86" s="5"/>
      <c r="K86" s="6"/>
      <c r="L86" s="5"/>
      <c r="M86" s="6"/>
      <c r="N86" s="6"/>
      <c r="O86" s="158"/>
      <c r="P86" s="177"/>
      <c r="Q86" s="8"/>
      <c r="R86" s="8"/>
      <c r="S86" s="8"/>
      <c r="T86" s="8"/>
      <c r="U86" s="159" t="str">
        <f>IF($F86="","",IF($AA86&lt;&gt;1,$AB$1,MAX(INDEX('הוראת שעה'!$F$6:$F$20,MATCH($Z$2,'הוראת שעה'!$A$6:$A$20,1)),INDEX($G$5:$G$8,MATCH(G86,$F$5:$F$8,0)))))</f>
        <v/>
      </c>
      <c r="V86" s="159" t="str">
        <f>סיווג!Z86</f>
        <v/>
      </c>
      <c r="W86" s="8" t="str">
        <f t="shared" si="6"/>
        <v/>
      </c>
      <c r="X86" s="8">
        <v>1</v>
      </c>
      <c r="Y86" s="8" t="str">
        <f t="shared" si="7"/>
        <v/>
      </c>
      <c r="Z86" s="123" t="str">
        <f t="shared" si="12"/>
        <v/>
      </c>
      <c r="AA86" s="192">
        <f t="shared" si="8"/>
        <v>0</v>
      </c>
      <c r="AB86" s="192" t="str">
        <f t="shared" si="13"/>
        <v/>
      </c>
      <c r="AC86" s="192" t="str">
        <f t="shared" si="13"/>
        <v/>
      </c>
      <c r="AD86" s="192">
        <f t="shared" si="10"/>
        <v>0</v>
      </c>
      <c r="BA86" s="192" t="str">
        <f t="shared" si="14"/>
        <v/>
      </c>
      <c r="BB86" s="192" t="str">
        <f t="shared" si="14"/>
        <v/>
      </c>
      <c r="BC86" s="192" t="str">
        <f t="shared" si="14"/>
        <v/>
      </c>
      <c r="BD86" s="192" t="str">
        <f t="shared" si="14"/>
        <v/>
      </c>
    </row>
    <row r="87" spans="2:56" x14ac:dyDescent="0.25">
      <c r="B87" s="7">
        <f t="shared" si="5"/>
        <v>57</v>
      </c>
      <c r="C87" s="4"/>
      <c r="D87" s="4"/>
      <c r="E87" s="4"/>
      <c r="F87" s="230" t="str">
        <f>IF('תנאי סף'!AO87&lt;&gt;1,"",'תנאי סף'!F87)</f>
        <v>עמותת מפעל המוזיקה צימבליסטה</v>
      </c>
      <c r="G87" s="158" t="s">
        <v>91</v>
      </c>
      <c r="H87" s="5"/>
      <c r="I87" s="6"/>
      <c r="J87" s="5"/>
      <c r="K87" s="6"/>
      <c r="L87" s="5"/>
      <c r="M87" s="6"/>
      <c r="N87" s="6"/>
      <c r="O87" s="158"/>
      <c r="P87" s="177"/>
      <c r="Q87" s="8"/>
      <c r="R87" s="8"/>
      <c r="S87" s="8"/>
      <c r="T87" s="8"/>
      <c r="U87" s="159">
        <f>IF($F87="","",IF($AA87&lt;&gt;1,$AB$1,MAX(INDEX('הוראת שעה'!$F$6:$F$20,MATCH($Z$2,'הוראת שעה'!$A$6:$A$20,1)),INDEX($G$5:$G$8,MATCH(G87,$F$5:$F$8,0)))))</f>
        <v>4</v>
      </c>
      <c r="V87" s="159">
        <f>סיווג!Z87</f>
        <v>1</v>
      </c>
      <c r="W87" s="8">
        <f t="shared" si="6"/>
        <v>4</v>
      </c>
      <c r="X87" s="8">
        <v>1</v>
      </c>
      <c r="Y87" s="8">
        <f t="shared" si="7"/>
        <v>4</v>
      </c>
      <c r="Z87" s="123">
        <f t="shared" si="12"/>
        <v>3.7071362372567189E-2</v>
      </c>
      <c r="AA87" s="192">
        <f t="shared" si="8"/>
        <v>1</v>
      </c>
      <c r="AB87" s="192">
        <f t="shared" si="13"/>
        <v>0</v>
      </c>
      <c r="AC87" s="192">
        <f t="shared" si="13"/>
        <v>1</v>
      </c>
      <c r="AD87" s="192">
        <f t="shared" si="10"/>
        <v>1</v>
      </c>
      <c r="BA87" s="192" t="str">
        <f t="shared" si="14"/>
        <v>נאותה</v>
      </c>
      <c r="BB87" s="192" t="str">
        <f t="shared" si="14"/>
        <v>טובה</v>
      </c>
      <c r="BC87" s="192" t="str">
        <f t="shared" si="14"/>
        <v>טובה מאוד</v>
      </c>
      <c r="BD87" s="192" t="str">
        <f t="shared" si="14"/>
        <v>מצוינת</v>
      </c>
    </row>
    <row r="88" spans="2:56" x14ac:dyDescent="0.25">
      <c r="B88" s="7" t="str">
        <f t="shared" si="5"/>
        <v/>
      </c>
      <c r="C88" s="4"/>
      <c r="D88" s="4"/>
      <c r="E88" s="4"/>
      <c r="F88" s="230" t="str">
        <f>IF('תנאי סף'!AO88&lt;&gt;1,"",'תנאי סף'!F88)</f>
        <v/>
      </c>
      <c r="G88" s="158" t="s">
        <v>186</v>
      </c>
      <c r="H88" s="5"/>
      <c r="I88" s="6"/>
      <c r="J88" s="5"/>
      <c r="K88" s="6"/>
      <c r="L88" s="5"/>
      <c r="M88" s="6"/>
      <c r="N88" s="6"/>
      <c r="O88" s="158"/>
      <c r="P88" s="177"/>
      <c r="Q88" s="8"/>
      <c r="R88" s="8"/>
      <c r="S88" s="8"/>
      <c r="T88" s="8"/>
      <c r="U88" s="159" t="str">
        <f>IF($F88="","",IF($AA88&lt;&gt;1,$AB$1,MAX(INDEX('הוראת שעה'!$F$6:$F$20,MATCH($Z$2,'הוראת שעה'!$A$6:$A$20,1)),INDEX($G$5:$G$8,MATCH(G88,$F$5:$F$8,0)))))</f>
        <v/>
      </c>
      <c r="V88" s="159" t="str">
        <f>סיווג!Z88</f>
        <v/>
      </c>
      <c r="W88" s="8" t="str">
        <f t="shared" si="6"/>
        <v/>
      </c>
      <c r="X88" s="8">
        <v>1</v>
      </c>
      <c r="Y88" s="8" t="str">
        <f t="shared" si="7"/>
        <v/>
      </c>
      <c r="Z88" s="123" t="str">
        <f t="shared" si="12"/>
        <v/>
      </c>
      <c r="AA88" s="192">
        <f t="shared" si="8"/>
        <v>0</v>
      </c>
      <c r="AB88" s="192" t="str">
        <f t="shared" si="13"/>
        <v/>
      </c>
      <c r="AC88" s="192" t="str">
        <f t="shared" si="13"/>
        <v/>
      </c>
      <c r="AD88" s="192">
        <f t="shared" si="10"/>
        <v>0</v>
      </c>
      <c r="BA88" s="192" t="str">
        <f t="shared" si="14"/>
        <v/>
      </c>
      <c r="BB88" s="192" t="str">
        <f t="shared" si="14"/>
        <v/>
      </c>
      <c r="BC88" s="192" t="str">
        <f t="shared" si="14"/>
        <v/>
      </c>
      <c r="BD88" s="192" t="str">
        <f t="shared" si="14"/>
        <v/>
      </c>
    </row>
    <row r="89" spans="2:56" x14ac:dyDescent="0.25">
      <c r="B89" s="7">
        <f t="shared" si="5"/>
        <v>59</v>
      </c>
      <c r="C89" s="4"/>
      <c r="D89" s="4"/>
      <c r="E89" s="4"/>
      <c r="F89" s="230" t="str">
        <f>IF('תנאי סף'!AO89&lt;&gt;1,"",'תנאי סף'!F89)</f>
        <v>העמותה לקידום המוסיקה הערבית</v>
      </c>
      <c r="G89" s="158" t="s">
        <v>90</v>
      </c>
      <c r="H89" s="5"/>
      <c r="I89" s="6"/>
      <c r="J89" s="5"/>
      <c r="K89" s="6"/>
      <c r="L89" s="5"/>
      <c r="M89" s="6"/>
      <c r="N89" s="6"/>
      <c r="O89" s="158"/>
      <c r="P89" s="177"/>
      <c r="Q89" s="8"/>
      <c r="R89" s="8"/>
      <c r="S89" s="8"/>
      <c r="T89" s="8"/>
      <c r="U89" s="159">
        <f>IF($F89="","",IF($AA89&lt;&gt;1,$AB$1,MAX(INDEX('הוראת שעה'!$F$6:$F$20,MATCH($Z$2,'הוראת שעה'!$A$6:$A$20,1)),INDEX($G$5:$G$8,MATCH(G89,$F$5:$F$8,0)))))</f>
        <v>3</v>
      </c>
      <c r="V89" s="159">
        <f>סיווג!Z89</f>
        <v>1</v>
      </c>
      <c r="W89" s="8">
        <f t="shared" si="6"/>
        <v>3</v>
      </c>
      <c r="X89" s="8">
        <v>1</v>
      </c>
      <c r="Y89" s="8">
        <f t="shared" si="7"/>
        <v>3</v>
      </c>
      <c r="Z89" s="123">
        <f t="shared" si="12"/>
        <v>2.7803521779425393E-2</v>
      </c>
      <c r="AA89" s="192">
        <f t="shared" si="8"/>
        <v>1</v>
      </c>
      <c r="AB89" s="192">
        <f t="shared" si="13"/>
        <v>0</v>
      </c>
      <c r="AC89" s="192">
        <f t="shared" si="13"/>
        <v>1</v>
      </c>
      <c r="AD89" s="192">
        <f t="shared" si="10"/>
        <v>1</v>
      </c>
      <c r="BA89" s="192" t="str">
        <f t="shared" si="14"/>
        <v>נאותה</v>
      </c>
      <c r="BB89" s="192" t="str">
        <f t="shared" si="14"/>
        <v>טובה</v>
      </c>
      <c r="BC89" s="192" t="str">
        <f t="shared" si="14"/>
        <v>טובה מאוד</v>
      </c>
      <c r="BD89" s="192" t="str">
        <f t="shared" si="14"/>
        <v>מצוינת</v>
      </c>
    </row>
    <row r="90" spans="2:56" x14ac:dyDescent="0.25">
      <c r="B90" s="7">
        <f t="shared" si="5"/>
        <v>60</v>
      </c>
      <c r="C90" s="4"/>
      <c r="D90" s="4"/>
      <c r="E90" s="4"/>
      <c r="F90" s="230" t="str">
        <f>IF('תנאי סף'!AO90&lt;&gt;1,"",'תנאי סף'!F90)</f>
        <v>תמיכה בתזמורת TLV (הערבית יהודית)</v>
      </c>
      <c r="G90" s="158" t="s">
        <v>90</v>
      </c>
      <c r="H90" s="5"/>
      <c r="I90" s="6"/>
      <c r="J90" s="5"/>
      <c r="K90" s="6"/>
      <c r="L90" s="5"/>
      <c r="M90" s="6"/>
      <c r="N90" s="6"/>
      <c r="O90" s="158"/>
      <c r="P90" s="177"/>
      <c r="Q90" s="8"/>
      <c r="R90" s="8"/>
      <c r="S90" s="8"/>
      <c r="T90" s="8"/>
      <c r="U90" s="159">
        <f>IF($F90="","",IF($AA90&lt;&gt;1,$AB$1,MAX(INDEX('הוראת שעה'!$F$6:$F$20,MATCH($Z$2,'הוראת שעה'!$A$6:$A$20,1)),INDEX($G$5:$G$8,MATCH(G90,$F$5:$F$8,0)))))</f>
        <v>3</v>
      </c>
      <c r="V90" s="159">
        <f>סיווג!Z90</f>
        <v>1</v>
      </c>
      <c r="W90" s="8">
        <f t="shared" si="6"/>
        <v>3</v>
      </c>
      <c r="X90" s="8">
        <v>1</v>
      </c>
      <c r="Y90" s="8">
        <f t="shared" si="7"/>
        <v>3</v>
      </c>
      <c r="Z90" s="123">
        <f t="shared" si="12"/>
        <v>2.7803521779425393E-2</v>
      </c>
      <c r="AA90" s="192">
        <f t="shared" si="8"/>
        <v>1</v>
      </c>
      <c r="AB90" s="192">
        <f t="shared" si="13"/>
        <v>0</v>
      </c>
      <c r="AC90" s="192">
        <f t="shared" si="13"/>
        <v>1</v>
      </c>
      <c r="AD90" s="192">
        <f t="shared" si="10"/>
        <v>1</v>
      </c>
      <c r="BA90" s="192" t="str">
        <f t="shared" si="14"/>
        <v>נאותה</v>
      </c>
      <c r="BB90" s="192" t="str">
        <f t="shared" si="14"/>
        <v>טובה</v>
      </c>
      <c r="BC90" s="192" t="str">
        <f t="shared" si="14"/>
        <v>טובה מאוד</v>
      </c>
      <c r="BD90" s="192" t="str">
        <f t="shared" si="14"/>
        <v>מצוינת</v>
      </c>
    </row>
    <row r="91" spans="2:56" x14ac:dyDescent="0.25">
      <c r="B91" s="7">
        <f t="shared" si="5"/>
        <v>61</v>
      </c>
      <c r="C91" s="4"/>
      <c r="D91" s="4"/>
      <c r="E91" s="4"/>
      <c r="F91" s="230" t="str">
        <f>IF('תנאי סף'!AO91&lt;&gt;1,"",'תנאי סף'!F91)</f>
        <v>אנסמבל גליל</v>
      </c>
      <c r="G91" s="158" t="s">
        <v>90</v>
      </c>
      <c r="H91" s="5"/>
      <c r="I91" s="6"/>
      <c r="J91" s="5"/>
      <c r="K91" s="6"/>
      <c r="L91" s="5"/>
      <c r="M91" s="6"/>
      <c r="N91" s="6"/>
      <c r="O91" s="158"/>
      <c r="P91" s="177"/>
      <c r="Q91" s="8"/>
      <c r="R91" s="8"/>
      <c r="S91" s="8"/>
      <c r="T91" s="8"/>
      <c r="U91" s="159">
        <f>IF($F91="","",IF($AA91&lt;&gt;1,$AB$1,MAX(INDEX('הוראת שעה'!$F$6:$F$20,MATCH($Z$2,'הוראת שעה'!$A$6:$A$20,1)),INDEX($G$5:$G$8,MATCH(G91,$F$5:$F$8,0)))))</f>
        <v>3</v>
      </c>
      <c r="V91" s="159">
        <f>סיווג!Z91</f>
        <v>0.5</v>
      </c>
      <c r="W91" s="8">
        <f t="shared" si="6"/>
        <v>1.5</v>
      </c>
      <c r="X91" s="8">
        <v>1</v>
      </c>
      <c r="Y91" s="8">
        <f t="shared" si="7"/>
        <v>1.5</v>
      </c>
      <c r="Z91" s="123">
        <f t="shared" si="12"/>
        <v>1.3901760889712697E-2</v>
      </c>
      <c r="AA91" s="192">
        <f t="shared" si="8"/>
        <v>1</v>
      </c>
      <c r="AB91" s="192">
        <f t="shared" si="13"/>
        <v>0</v>
      </c>
      <c r="AC91" s="192">
        <f t="shared" si="13"/>
        <v>1</v>
      </c>
      <c r="AD91" s="192">
        <f t="shared" si="10"/>
        <v>1</v>
      </c>
      <c r="BA91" s="192" t="str">
        <f t="shared" ref="BA91:BD110" si="15">IF($F91="","",BA$30)</f>
        <v>נאותה</v>
      </c>
      <c r="BB91" s="192" t="str">
        <f t="shared" si="15"/>
        <v>טובה</v>
      </c>
      <c r="BC91" s="192" t="str">
        <f t="shared" si="15"/>
        <v>טובה מאוד</v>
      </c>
      <c r="BD91" s="192" t="str">
        <f t="shared" si="15"/>
        <v>מצוינת</v>
      </c>
    </row>
    <row r="92" spans="2:56" x14ac:dyDescent="0.25">
      <c r="B92" s="7">
        <f t="shared" si="5"/>
        <v>62</v>
      </c>
      <c r="C92" s="4"/>
      <c r="D92" s="4"/>
      <c r="E92" s="4"/>
      <c r="F92" s="230" t="str">
        <f>IF('תנאי סף'!AO92&lt;&gt;1,"",'תנאי סף'!F92)</f>
        <v>דריה- הרכב אינסטרומנטלי</v>
      </c>
      <c r="G92" s="158" t="s">
        <v>90</v>
      </c>
      <c r="H92" s="5"/>
      <c r="I92" s="6"/>
      <c r="J92" s="5"/>
      <c r="K92" s="6"/>
      <c r="L92" s="5"/>
      <c r="M92" s="6"/>
      <c r="N92" s="6"/>
      <c r="O92" s="158"/>
      <c r="P92" s="177"/>
      <c r="Q92" s="8"/>
      <c r="R92" s="8"/>
      <c r="S92" s="8"/>
      <c r="T92" s="8"/>
      <c r="U92" s="159">
        <f>IF($F92="","",IF($AA92&lt;&gt;1,$AB$1,MAX(INDEX('הוראת שעה'!$F$6:$F$20,MATCH($Z$2,'הוראת שעה'!$A$6:$A$20,1)),INDEX($G$5:$G$8,MATCH(G92,$F$5:$F$8,0)))))</f>
        <v>3</v>
      </c>
      <c r="V92" s="159">
        <f>סיווג!Z92</f>
        <v>0.5</v>
      </c>
      <c r="W92" s="8">
        <f t="shared" si="6"/>
        <v>1.5</v>
      </c>
      <c r="X92" s="8">
        <v>1</v>
      </c>
      <c r="Y92" s="8">
        <f t="shared" si="7"/>
        <v>1.5</v>
      </c>
      <c r="Z92" s="123">
        <f t="shared" si="12"/>
        <v>1.3901760889712697E-2</v>
      </c>
      <c r="AA92" s="192">
        <f t="shared" si="8"/>
        <v>1</v>
      </c>
      <c r="AB92" s="192">
        <f t="shared" ref="AB92:AC130" si="16">IF($F92="","",AB$30)</f>
        <v>0</v>
      </c>
      <c r="AC92" s="192">
        <f t="shared" si="16"/>
        <v>1</v>
      </c>
      <c r="AD92" s="192">
        <f t="shared" si="10"/>
        <v>1</v>
      </c>
      <c r="BA92" s="192" t="str">
        <f t="shared" si="15"/>
        <v>נאותה</v>
      </c>
      <c r="BB92" s="192" t="str">
        <f t="shared" si="15"/>
        <v>טובה</v>
      </c>
      <c r="BC92" s="192" t="str">
        <f t="shared" si="15"/>
        <v>טובה מאוד</v>
      </c>
      <c r="BD92" s="192" t="str">
        <f t="shared" si="15"/>
        <v>מצוינת</v>
      </c>
    </row>
    <row r="93" spans="2:56" x14ac:dyDescent="0.25">
      <c r="B93" s="7">
        <f t="shared" si="5"/>
        <v>63</v>
      </c>
      <c r="C93" s="4"/>
      <c r="D93" s="4"/>
      <c r="E93" s="4"/>
      <c r="F93" s="230" t="str">
        <f>IF('תנאי סף'!AO93&lt;&gt;1,"",'תנאי סף'!F93)</f>
        <v>להקת שלוש</v>
      </c>
      <c r="G93" s="158" t="s">
        <v>90</v>
      </c>
      <c r="H93" s="5"/>
      <c r="I93" s="6"/>
      <c r="J93" s="5"/>
      <c r="K93" s="6"/>
      <c r="L93" s="5"/>
      <c r="M93" s="6"/>
      <c r="N93" s="6"/>
      <c r="O93" s="158"/>
      <c r="P93" s="177"/>
      <c r="Q93" s="8"/>
      <c r="R93" s="8"/>
      <c r="S93" s="8"/>
      <c r="T93" s="8"/>
      <c r="U93" s="159">
        <f>IF($F93="","",IF($AA93&lt;&gt;1,$AB$1,MAX(INDEX('הוראת שעה'!$F$6:$F$20,MATCH($Z$2,'הוראת שעה'!$A$6:$A$20,1)),INDEX($G$5:$G$8,MATCH(G93,$F$5:$F$8,0)))))</f>
        <v>3</v>
      </c>
      <c r="V93" s="159">
        <f>סיווג!Z93</f>
        <v>0.5</v>
      </c>
      <c r="W93" s="8">
        <f t="shared" si="6"/>
        <v>1.5</v>
      </c>
      <c r="X93" s="8">
        <v>1</v>
      </c>
      <c r="Y93" s="8">
        <f t="shared" si="7"/>
        <v>1.5</v>
      </c>
      <c r="Z93" s="123">
        <f t="shared" si="12"/>
        <v>1.3901760889712697E-2</v>
      </c>
      <c r="AA93" s="192">
        <f t="shared" si="8"/>
        <v>1</v>
      </c>
      <c r="AB93" s="192">
        <f t="shared" si="16"/>
        <v>0</v>
      </c>
      <c r="AC93" s="192">
        <f t="shared" si="16"/>
        <v>1</v>
      </c>
      <c r="AD93" s="192">
        <f t="shared" si="10"/>
        <v>1</v>
      </c>
      <c r="BA93" s="192" t="str">
        <f t="shared" si="15"/>
        <v>נאותה</v>
      </c>
      <c r="BB93" s="192" t="str">
        <f t="shared" si="15"/>
        <v>טובה</v>
      </c>
      <c r="BC93" s="192" t="str">
        <f t="shared" si="15"/>
        <v>טובה מאוד</v>
      </c>
      <c r="BD93" s="192" t="str">
        <f t="shared" si="15"/>
        <v>מצוינת</v>
      </c>
    </row>
    <row r="94" spans="2:56" x14ac:dyDescent="0.25">
      <c r="B94" s="7">
        <f t="shared" si="5"/>
        <v>64</v>
      </c>
      <c r="C94" s="4"/>
      <c r="D94" s="4"/>
      <c r="E94" s="4"/>
      <c r="F94" s="230" t="str">
        <f>IF('תנאי סף'!AO94&lt;&gt;1,"",'תנאי סף'!F94)</f>
        <v>רביעיית טוסקאניני</v>
      </c>
      <c r="G94" s="158" t="s">
        <v>92</v>
      </c>
      <c r="H94" s="5"/>
      <c r="I94" s="6"/>
      <c r="J94" s="5"/>
      <c r="K94" s="6"/>
      <c r="L94" s="5"/>
      <c r="M94" s="6"/>
      <c r="N94" s="6"/>
      <c r="O94" s="158"/>
      <c r="P94" s="177"/>
      <c r="Q94" s="8"/>
      <c r="R94" s="8"/>
      <c r="S94" s="8"/>
      <c r="T94" s="8"/>
      <c r="U94" s="159">
        <f>IF($F94="","",IF($AA94&lt;&gt;1,$AB$1,MAX(INDEX('הוראת שעה'!$F$6:$F$20,MATCH($Z$2,'הוראת שעה'!$A$6:$A$20,1)),INDEX($G$5:$G$8,MATCH(G94,$F$5:$F$8,0)))))</f>
        <v>5</v>
      </c>
      <c r="V94" s="159">
        <f>סיווג!Z94</f>
        <v>0.5</v>
      </c>
      <c r="W94" s="8">
        <f t="shared" si="6"/>
        <v>2.5</v>
      </c>
      <c r="X94" s="8">
        <v>1</v>
      </c>
      <c r="Y94" s="8">
        <f t="shared" si="7"/>
        <v>2.5</v>
      </c>
      <c r="Z94" s="123">
        <f t="shared" si="12"/>
        <v>2.3169601482854494E-2</v>
      </c>
      <c r="AA94" s="192">
        <f t="shared" si="8"/>
        <v>1</v>
      </c>
      <c r="AB94" s="192">
        <f t="shared" si="16"/>
        <v>0</v>
      </c>
      <c r="AC94" s="192">
        <f t="shared" si="16"/>
        <v>1</v>
      </c>
      <c r="AD94" s="192">
        <f t="shared" si="10"/>
        <v>1</v>
      </c>
      <c r="BA94" s="192" t="str">
        <f t="shared" si="15"/>
        <v>נאותה</v>
      </c>
      <c r="BB94" s="192" t="str">
        <f t="shared" si="15"/>
        <v>טובה</v>
      </c>
      <c r="BC94" s="192" t="str">
        <f t="shared" si="15"/>
        <v>טובה מאוד</v>
      </c>
      <c r="BD94" s="192" t="str">
        <f t="shared" si="15"/>
        <v>מצוינת</v>
      </c>
    </row>
    <row r="95" spans="2:56" x14ac:dyDescent="0.25">
      <c r="B95" s="7">
        <f t="shared" si="5"/>
        <v>65</v>
      </c>
      <c r="C95" s="4"/>
      <c r="D95" s="4"/>
      <c r="E95" s="4"/>
      <c r="F95" s="230" t="str">
        <f>IF('תנאי סף'!AO95&lt;&gt;1,"",'תנאי סף'!F95)</f>
        <v>תקוע-קבוצה מוזיקלית - 'דאפה' 2024</v>
      </c>
      <c r="G95" s="158" t="s">
        <v>89</v>
      </c>
      <c r="H95" s="5"/>
      <c r="I95" s="6"/>
      <c r="J95" s="5"/>
      <c r="K95" s="6"/>
      <c r="L95" s="5"/>
      <c r="M95" s="6"/>
      <c r="N95" s="6"/>
      <c r="O95" s="158"/>
      <c r="P95" s="177"/>
      <c r="Q95" s="8"/>
      <c r="R95" s="8"/>
      <c r="S95" s="8"/>
      <c r="T95" s="8"/>
      <c r="U95" s="159">
        <f>IF($F95="","",IF($AA95&lt;&gt;1,$AB$1,MAX(INDEX('הוראת שעה'!$F$6:$F$20,MATCH($Z$2,'הוראת שעה'!$A$6:$A$20,1)),INDEX($G$5:$G$8,MATCH(G95,$F$5:$F$8,0)))))</f>
        <v>2</v>
      </c>
      <c r="V95" s="159">
        <f>סיווג!Z95</f>
        <v>1</v>
      </c>
      <c r="W95" s="8">
        <f t="shared" si="6"/>
        <v>2</v>
      </c>
      <c r="X95" s="8">
        <v>1</v>
      </c>
      <c r="Y95" s="8">
        <f t="shared" si="7"/>
        <v>2</v>
      </c>
      <c r="Z95" s="123">
        <f t="shared" ref="Z95:Z126" si="17">IF($F95="","",IF(OR($AA95&lt;&gt;1,Y95=$AB$1),$AB$1,IFERROR(Y95/SUM($Y$31:$Y$130),0)))</f>
        <v>1.8535681186283594E-2</v>
      </c>
      <c r="AA95" s="192">
        <f t="shared" si="8"/>
        <v>1</v>
      </c>
      <c r="AB95" s="192">
        <f t="shared" si="16"/>
        <v>0</v>
      </c>
      <c r="AC95" s="192">
        <f t="shared" si="16"/>
        <v>1</v>
      </c>
      <c r="AD95" s="192">
        <f t="shared" si="10"/>
        <v>1</v>
      </c>
      <c r="BA95" s="192" t="str">
        <f t="shared" si="15"/>
        <v>נאותה</v>
      </c>
      <c r="BB95" s="192" t="str">
        <f t="shared" si="15"/>
        <v>טובה</v>
      </c>
      <c r="BC95" s="192" t="str">
        <f t="shared" si="15"/>
        <v>טובה מאוד</v>
      </c>
      <c r="BD95" s="192" t="str">
        <f t="shared" si="15"/>
        <v>מצוינת</v>
      </c>
    </row>
    <row r="96" spans="2:56" x14ac:dyDescent="0.25">
      <c r="B96" s="7">
        <f t="shared" ref="B96:B130" si="18">IF(F96="","",ROW()-30)</f>
        <v>66</v>
      </c>
      <c r="C96" s="4"/>
      <c r="D96" s="4"/>
      <c r="E96" s="4"/>
      <c r="F96" s="230" t="str">
        <f>IF('תנאי סף'!AO96&lt;&gt;1,"",'תנאי סף'!F96)</f>
        <v>טריו בן חיים</v>
      </c>
      <c r="G96" s="158" t="s">
        <v>91</v>
      </c>
      <c r="H96" s="5"/>
      <c r="I96" s="6"/>
      <c r="J96" s="5"/>
      <c r="K96" s="6"/>
      <c r="L96" s="5"/>
      <c r="M96" s="6"/>
      <c r="N96" s="6"/>
      <c r="O96" s="158"/>
      <c r="P96" s="177"/>
      <c r="Q96" s="8"/>
      <c r="R96" s="8"/>
      <c r="S96" s="8"/>
      <c r="T96" s="8"/>
      <c r="U96" s="159">
        <f>IF($F96="","",IF($AA96&lt;&gt;1,$AB$1,MAX(INDEX('הוראת שעה'!$F$6:$F$20,MATCH($Z$2,'הוראת שעה'!$A$6:$A$20,1)),INDEX($G$5:$G$8,MATCH(G96,$F$5:$F$8,0)))))</f>
        <v>4</v>
      </c>
      <c r="V96" s="159">
        <f>סיווג!Z96</f>
        <v>0.5</v>
      </c>
      <c r="W96" s="8">
        <f t="shared" ref="W96:W130" si="19">IF($F96="","",IF($AA96&lt;&gt;1,$AB$1,IFERROR(U96*V96,$AB$1)))</f>
        <v>2</v>
      </c>
      <c r="X96" s="8">
        <v>1</v>
      </c>
      <c r="Y96" s="8">
        <f t="shared" ref="Y96:Y130" si="20">IF($F96="","",IF($AA96&lt;&gt;1,$AB$1,IFERROR(W96*X96,$AB$1)))</f>
        <v>2</v>
      </c>
      <c r="Z96" s="123">
        <f t="shared" si="17"/>
        <v>1.8535681186283594E-2</v>
      </c>
      <c r="AA96" s="192">
        <f t="shared" ref="AA96:AA130" si="21">IF(SUM(AD96:AV96)=COUNT(AD96:AV96),1,0)</f>
        <v>1</v>
      </c>
      <c r="AB96" s="192">
        <f t="shared" si="16"/>
        <v>0</v>
      </c>
      <c r="AC96" s="192">
        <f t="shared" si="16"/>
        <v>1</v>
      </c>
      <c r="AD96" s="192">
        <f t="shared" ref="AD96:AD130" si="22">IF(G$30="",1,IF(G96="",0,IFERROR(CHOOSE(AD$28,IF(ISNA(MATCH(G96,$AB$30:$AC$30,0)),0,1),IF(ISNUMBER(G96),1,0),IF(G96=TRUNC(G96),1,0),IF(AND(G96*1=G96,G96&gt;=0),1,0),IF(AND(G96=TRUNC(G96),G96&gt;=0),1,0),IF(AND(G96*1=G96,G96&gt;0),1,0),IF(AND(G96=TRUNC(G96),G96&gt;0),1,0),1,IF(ISNA(HLOOKUP(G96,$AE$4:$AN$4,1,0)),0,1)),0)))</f>
        <v>1</v>
      </c>
      <c r="BA96" s="192" t="str">
        <f t="shared" si="15"/>
        <v>נאותה</v>
      </c>
      <c r="BB96" s="192" t="str">
        <f t="shared" si="15"/>
        <v>טובה</v>
      </c>
      <c r="BC96" s="192" t="str">
        <f t="shared" si="15"/>
        <v>טובה מאוד</v>
      </c>
      <c r="BD96" s="192" t="str">
        <f t="shared" si="15"/>
        <v>מצוינת</v>
      </c>
    </row>
    <row r="97" spans="2:56" x14ac:dyDescent="0.25">
      <c r="B97" s="7" t="str">
        <f t="shared" si="18"/>
        <v/>
      </c>
      <c r="C97" s="4"/>
      <c r="D97" s="4"/>
      <c r="E97" s="4"/>
      <c r="F97" s="230" t="str">
        <f>IF('תנאי סף'!AO97&lt;&gt;1,"",'תנאי סף'!F97)</f>
        <v/>
      </c>
      <c r="G97" s="158"/>
      <c r="H97" s="5"/>
      <c r="I97" s="6"/>
      <c r="J97" s="5"/>
      <c r="K97" s="6"/>
      <c r="L97" s="5"/>
      <c r="M97" s="6"/>
      <c r="N97" s="6"/>
      <c r="O97" s="158"/>
      <c r="P97" s="177"/>
      <c r="Q97" s="8"/>
      <c r="R97" s="8"/>
      <c r="S97" s="8"/>
      <c r="T97" s="8"/>
      <c r="U97" s="159" t="str">
        <f>IF($F97="","",IF($AA97&lt;&gt;1,$AB$1,MAX(INDEX('הוראת שעה'!$F$6:$F$20,MATCH($Z$2,'הוראת שעה'!$A$6:$A$20,1)),INDEX($G$5:$G$8,MATCH(G97,$F$5:$F$8,0)))))</f>
        <v/>
      </c>
      <c r="V97" s="159" t="str">
        <f>סיווג!Z97</f>
        <v/>
      </c>
      <c r="W97" s="8" t="str">
        <f t="shared" si="19"/>
        <v/>
      </c>
      <c r="X97" s="8">
        <v>1</v>
      </c>
      <c r="Y97" s="8" t="str">
        <f t="shared" si="20"/>
        <v/>
      </c>
      <c r="Z97" s="123" t="str">
        <f t="shared" si="17"/>
        <v/>
      </c>
      <c r="AA97" s="192">
        <f t="shared" si="21"/>
        <v>0</v>
      </c>
      <c r="AB97" s="192" t="str">
        <f t="shared" si="16"/>
        <v/>
      </c>
      <c r="AC97" s="192" t="str">
        <f t="shared" si="16"/>
        <v/>
      </c>
      <c r="AD97" s="192">
        <f t="shared" si="22"/>
        <v>0</v>
      </c>
      <c r="BA97" s="192" t="str">
        <f t="shared" si="15"/>
        <v/>
      </c>
      <c r="BB97" s="192" t="str">
        <f t="shared" si="15"/>
        <v/>
      </c>
      <c r="BC97" s="192" t="str">
        <f t="shared" si="15"/>
        <v/>
      </c>
      <c r="BD97" s="192" t="str">
        <f t="shared" si="15"/>
        <v/>
      </c>
    </row>
    <row r="98" spans="2:56" x14ac:dyDescent="0.25">
      <c r="B98" s="7">
        <f t="shared" si="18"/>
        <v>68</v>
      </c>
      <c r="C98" s="4"/>
      <c r="D98" s="4"/>
      <c r="E98" s="4"/>
      <c r="F98" s="230" t="str">
        <f>IF('תנאי סף'!AO98&lt;&gt;1,"",'תנאי סף'!F98)</f>
        <v>אמיתי אריכא והפרויקט D1</v>
      </c>
      <c r="G98" s="158" t="s">
        <v>90</v>
      </c>
      <c r="H98" s="5"/>
      <c r="I98" s="6"/>
      <c r="J98" s="5"/>
      <c r="K98" s="6"/>
      <c r="L98" s="5"/>
      <c r="M98" s="6"/>
      <c r="N98" s="6"/>
      <c r="O98" s="158"/>
      <c r="P98" s="177"/>
      <c r="Q98" s="8"/>
      <c r="R98" s="8"/>
      <c r="S98" s="8"/>
      <c r="T98" s="8"/>
      <c r="U98" s="159">
        <f>IF($F98="","",IF($AA98&lt;&gt;1,$AB$1,MAX(INDEX('הוראת שעה'!$F$6:$F$20,MATCH($Z$2,'הוראת שעה'!$A$6:$A$20,1)),INDEX($G$5:$G$8,MATCH(G98,$F$5:$F$8,0)))))</f>
        <v>3</v>
      </c>
      <c r="V98" s="159">
        <f>סיווג!Z98</f>
        <v>0.5</v>
      </c>
      <c r="W98" s="8">
        <f t="shared" si="19"/>
        <v>1.5</v>
      </c>
      <c r="X98" s="8">
        <v>1</v>
      </c>
      <c r="Y98" s="8">
        <f t="shared" si="20"/>
        <v>1.5</v>
      </c>
      <c r="Z98" s="123">
        <f t="shared" si="17"/>
        <v>1.3901760889712697E-2</v>
      </c>
      <c r="AA98" s="192">
        <f t="shared" si="21"/>
        <v>1</v>
      </c>
      <c r="AB98" s="192">
        <f t="shared" si="16"/>
        <v>0</v>
      </c>
      <c r="AC98" s="192">
        <f t="shared" si="16"/>
        <v>1</v>
      </c>
      <c r="AD98" s="192">
        <f t="shared" si="22"/>
        <v>1</v>
      </c>
      <c r="BA98" s="192" t="str">
        <f t="shared" si="15"/>
        <v>נאותה</v>
      </c>
      <c r="BB98" s="192" t="str">
        <f t="shared" si="15"/>
        <v>טובה</v>
      </c>
      <c r="BC98" s="192" t="str">
        <f t="shared" si="15"/>
        <v>טובה מאוד</v>
      </c>
      <c r="BD98" s="192" t="str">
        <f t="shared" si="15"/>
        <v>מצוינת</v>
      </c>
    </row>
    <row r="99" spans="2:56" x14ac:dyDescent="0.25">
      <c r="B99" s="7" t="str">
        <f t="shared" si="18"/>
        <v/>
      </c>
      <c r="C99" s="4"/>
      <c r="D99" s="4"/>
      <c r="E99" s="4"/>
      <c r="F99" s="230" t="str">
        <f>IF('תנאי סף'!AO99&lt;&gt;1,"",'תנאי סף'!F99)</f>
        <v/>
      </c>
      <c r="G99" s="158"/>
      <c r="H99" s="5"/>
      <c r="I99" s="6"/>
      <c r="J99" s="5"/>
      <c r="K99" s="6"/>
      <c r="L99" s="5"/>
      <c r="M99" s="6"/>
      <c r="N99" s="6"/>
      <c r="O99" s="158"/>
      <c r="P99" s="177"/>
      <c r="Q99" s="8"/>
      <c r="R99" s="8"/>
      <c r="S99" s="8"/>
      <c r="T99" s="8"/>
      <c r="U99" s="159" t="str">
        <f>IF($F99="","",IF($AA99&lt;&gt;1,$AB$1,MAX(INDEX('הוראת שעה'!$F$6:$F$20,MATCH($Z$2,'הוראת שעה'!$A$6:$A$20,1)),INDEX($G$5:$G$8,MATCH(G99,$F$5:$F$8,0)))))</f>
        <v/>
      </c>
      <c r="V99" s="159" t="str">
        <f>סיווג!Z99</f>
        <v/>
      </c>
      <c r="W99" s="8" t="str">
        <f t="shared" si="19"/>
        <v/>
      </c>
      <c r="X99" s="8">
        <v>1</v>
      </c>
      <c r="Y99" s="8" t="str">
        <f t="shared" si="20"/>
        <v/>
      </c>
      <c r="Z99" s="123" t="str">
        <f t="shared" si="17"/>
        <v/>
      </c>
      <c r="AA99" s="192">
        <f t="shared" si="21"/>
        <v>0</v>
      </c>
      <c r="AB99" s="192" t="str">
        <f t="shared" si="16"/>
        <v/>
      </c>
      <c r="AC99" s="192" t="str">
        <f t="shared" si="16"/>
        <v/>
      </c>
      <c r="AD99" s="192">
        <f t="shared" si="22"/>
        <v>0</v>
      </c>
      <c r="BA99" s="192" t="str">
        <f t="shared" si="15"/>
        <v/>
      </c>
      <c r="BB99" s="192" t="str">
        <f t="shared" si="15"/>
        <v/>
      </c>
      <c r="BC99" s="192" t="str">
        <f t="shared" si="15"/>
        <v/>
      </c>
      <c r="BD99" s="192" t="str">
        <f t="shared" si="15"/>
        <v/>
      </c>
    </row>
    <row r="100" spans="2:56" x14ac:dyDescent="0.25">
      <c r="B100" s="7" t="str">
        <f t="shared" si="18"/>
        <v/>
      </c>
      <c r="C100" s="4"/>
      <c r="D100" s="4"/>
      <c r="E100" s="4"/>
      <c r="F100" s="230" t="str">
        <f>IF('תנאי סף'!AO100&lt;&gt;1,"",'תנאי סף'!F100)</f>
        <v/>
      </c>
      <c r="G100" s="158"/>
      <c r="H100" s="5"/>
      <c r="I100" s="6"/>
      <c r="J100" s="5"/>
      <c r="K100" s="6"/>
      <c r="L100" s="5"/>
      <c r="M100" s="6"/>
      <c r="N100" s="6"/>
      <c r="O100" s="158"/>
      <c r="P100" s="177"/>
      <c r="Q100" s="8"/>
      <c r="R100" s="8"/>
      <c r="S100" s="8"/>
      <c r="T100" s="8"/>
      <c r="U100" s="159" t="str">
        <f>IF($F100="","",IF($AA100&lt;&gt;1,$AB$1,MAX(INDEX('הוראת שעה'!$F$6:$F$20,MATCH($Z$2,'הוראת שעה'!$A$6:$A$20,1)),INDEX($G$5:$G$8,MATCH(G100,$F$5:$F$8,0)))))</f>
        <v/>
      </c>
      <c r="V100" s="159" t="str">
        <f>סיווג!Z100</f>
        <v/>
      </c>
      <c r="W100" s="8" t="str">
        <f t="shared" si="19"/>
        <v/>
      </c>
      <c r="X100" s="8">
        <v>1</v>
      </c>
      <c r="Y100" s="8" t="str">
        <f t="shared" si="20"/>
        <v/>
      </c>
      <c r="Z100" s="123" t="str">
        <f t="shared" si="17"/>
        <v/>
      </c>
      <c r="AA100" s="192">
        <f t="shared" si="21"/>
        <v>0</v>
      </c>
      <c r="AB100" s="192" t="str">
        <f t="shared" si="16"/>
        <v/>
      </c>
      <c r="AC100" s="192" t="str">
        <f t="shared" si="16"/>
        <v/>
      </c>
      <c r="AD100" s="192">
        <f t="shared" si="22"/>
        <v>0</v>
      </c>
      <c r="BA100" s="192" t="str">
        <f t="shared" si="15"/>
        <v/>
      </c>
      <c r="BB100" s="192" t="str">
        <f t="shared" si="15"/>
        <v/>
      </c>
      <c r="BC100" s="192" t="str">
        <f t="shared" si="15"/>
        <v/>
      </c>
      <c r="BD100" s="192" t="str">
        <f t="shared" si="15"/>
        <v/>
      </c>
    </row>
    <row r="101" spans="2:56" x14ac:dyDescent="0.25">
      <c r="B101" s="7" t="str">
        <f t="shared" si="18"/>
        <v/>
      </c>
      <c r="C101" s="4"/>
      <c r="D101" s="4"/>
      <c r="E101" s="4"/>
      <c r="F101" s="230" t="str">
        <f>IF('תנאי סף'!AO101&lt;&gt;1,"",'תנאי סף'!F101)</f>
        <v/>
      </c>
      <c r="G101" s="158"/>
      <c r="H101" s="5"/>
      <c r="I101" s="6"/>
      <c r="J101" s="5"/>
      <c r="K101" s="6"/>
      <c r="L101" s="5"/>
      <c r="M101" s="6"/>
      <c r="N101" s="6"/>
      <c r="O101" s="158"/>
      <c r="P101" s="177"/>
      <c r="Q101" s="8"/>
      <c r="R101" s="8"/>
      <c r="S101" s="8"/>
      <c r="T101" s="8"/>
      <c r="U101" s="159" t="str">
        <f>IF($F101="","",IF($AA101&lt;&gt;1,$AB$1,MAX(INDEX('הוראת שעה'!$F$6:$F$20,MATCH($Z$2,'הוראת שעה'!$A$6:$A$20,1)),INDEX($G$5:$G$8,MATCH(G101,$F$5:$F$8,0)))))</f>
        <v/>
      </c>
      <c r="V101" s="159" t="str">
        <f>סיווג!Z101</f>
        <v/>
      </c>
      <c r="W101" s="8" t="str">
        <f t="shared" si="19"/>
        <v/>
      </c>
      <c r="X101" s="8">
        <v>1</v>
      </c>
      <c r="Y101" s="8" t="str">
        <f t="shared" si="20"/>
        <v/>
      </c>
      <c r="Z101" s="123" t="str">
        <f t="shared" si="17"/>
        <v/>
      </c>
      <c r="AA101" s="192">
        <f t="shared" si="21"/>
        <v>0</v>
      </c>
      <c r="AB101" s="192" t="str">
        <f t="shared" si="16"/>
        <v/>
      </c>
      <c r="AC101" s="192" t="str">
        <f t="shared" si="16"/>
        <v/>
      </c>
      <c r="AD101" s="192">
        <f t="shared" si="22"/>
        <v>0</v>
      </c>
      <c r="BA101" s="192" t="str">
        <f t="shared" si="15"/>
        <v/>
      </c>
      <c r="BB101" s="192" t="str">
        <f t="shared" si="15"/>
        <v/>
      </c>
      <c r="BC101" s="192" t="str">
        <f t="shared" si="15"/>
        <v/>
      </c>
      <c r="BD101" s="192" t="str">
        <f t="shared" si="15"/>
        <v/>
      </c>
    </row>
    <row r="102" spans="2:56" x14ac:dyDescent="0.25">
      <c r="B102" s="7" t="str">
        <f t="shared" si="18"/>
        <v/>
      </c>
      <c r="C102" s="4"/>
      <c r="D102" s="4"/>
      <c r="E102" s="4"/>
      <c r="F102" s="230" t="str">
        <f>IF('תנאי סף'!AO102&lt;&gt;1,"",'תנאי סף'!F102)</f>
        <v/>
      </c>
      <c r="G102" s="158"/>
      <c r="H102" s="5"/>
      <c r="I102" s="6"/>
      <c r="J102" s="5"/>
      <c r="K102" s="6"/>
      <c r="L102" s="5"/>
      <c r="M102" s="6"/>
      <c r="N102" s="6"/>
      <c r="O102" s="158"/>
      <c r="P102" s="177"/>
      <c r="Q102" s="8"/>
      <c r="R102" s="8"/>
      <c r="S102" s="8"/>
      <c r="T102" s="8"/>
      <c r="U102" s="159" t="str">
        <f>IF($F102="","",IF($AA102&lt;&gt;1,$AB$1,MAX(INDEX('הוראת שעה'!$F$6:$F$20,MATCH($Z$2,'הוראת שעה'!$A$6:$A$20,1)),INDEX($G$5:$G$8,MATCH(G102,$F$5:$F$8,0)))))</f>
        <v/>
      </c>
      <c r="V102" s="159" t="str">
        <f>סיווג!Z102</f>
        <v/>
      </c>
      <c r="W102" s="8" t="str">
        <f t="shared" si="19"/>
        <v/>
      </c>
      <c r="X102" s="8">
        <v>1</v>
      </c>
      <c r="Y102" s="8" t="str">
        <f t="shared" si="20"/>
        <v/>
      </c>
      <c r="Z102" s="123" t="str">
        <f t="shared" si="17"/>
        <v/>
      </c>
      <c r="AA102" s="192">
        <f t="shared" si="21"/>
        <v>0</v>
      </c>
      <c r="AB102" s="192" t="str">
        <f t="shared" si="16"/>
        <v/>
      </c>
      <c r="AC102" s="192" t="str">
        <f t="shared" si="16"/>
        <v/>
      </c>
      <c r="AD102" s="192">
        <f t="shared" si="22"/>
        <v>0</v>
      </c>
      <c r="BA102" s="192" t="str">
        <f t="shared" si="15"/>
        <v/>
      </c>
      <c r="BB102" s="192" t="str">
        <f t="shared" si="15"/>
        <v/>
      </c>
      <c r="BC102" s="192" t="str">
        <f t="shared" si="15"/>
        <v/>
      </c>
      <c r="BD102" s="192" t="str">
        <f t="shared" si="15"/>
        <v/>
      </c>
    </row>
    <row r="103" spans="2:56" x14ac:dyDescent="0.25">
      <c r="B103" s="7" t="str">
        <f t="shared" si="18"/>
        <v/>
      </c>
      <c r="C103" s="4"/>
      <c r="D103" s="4"/>
      <c r="E103" s="4"/>
      <c r="F103" s="230" t="str">
        <f>IF('תנאי סף'!AO103&lt;&gt;1,"",'תנאי סף'!F103)</f>
        <v/>
      </c>
      <c r="G103" s="158"/>
      <c r="H103" s="5"/>
      <c r="I103" s="6"/>
      <c r="J103" s="5"/>
      <c r="K103" s="6"/>
      <c r="L103" s="5"/>
      <c r="M103" s="6"/>
      <c r="N103" s="6"/>
      <c r="O103" s="158"/>
      <c r="P103" s="177"/>
      <c r="Q103" s="8"/>
      <c r="R103" s="8"/>
      <c r="S103" s="8"/>
      <c r="T103" s="8"/>
      <c r="U103" s="159" t="str">
        <f>IF($F103="","",IF($AA103&lt;&gt;1,$AB$1,MAX(INDEX('הוראת שעה'!$F$6:$F$20,MATCH($Z$2,'הוראת שעה'!$A$6:$A$20,1)),INDEX($G$5:$G$8,MATCH(G103,$F$5:$F$8,0)))))</f>
        <v/>
      </c>
      <c r="V103" s="159" t="str">
        <f>סיווג!Z103</f>
        <v/>
      </c>
      <c r="W103" s="8" t="str">
        <f t="shared" si="19"/>
        <v/>
      </c>
      <c r="X103" s="8">
        <v>1</v>
      </c>
      <c r="Y103" s="8" t="str">
        <f t="shared" si="20"/>
        <v/>
      </c>
      <c r="Z103" s="123" t="str">
        <f t="shared" si="17"/>
        <v/>
      </c>
      <c r="AA103" s="192">
        <f t="shared" si="21"/>
        <v>0</v>
      </c>
      <c r="AB103" s="192" t="str">
        <f t="shared" si="16"/>
        <v/>
      </c>
      <c r="AC103" s="192" t="str">
        <f t="shared" si="16"/>
        <v/>
      </c>
      <c r="AD103" s="192">
        <f t="shared" si="22"/>
        <v>0</v>
      </c>
      <c r="BA103" s="192" t="str">
        <f t="shared" si="15"/>
        <v/>
      </c>
      <c r="BB103" s="192" t="str">
        <f t="shared" si="15"/>
        <v/>
      </c>
      <c r="BC103" s="192" t="str">
        <f t="shared" si="15"/>
        <v/>
      </c>
      <c r="BD103" s="192" t="str">
        <f t="shared" si="15"/>
        <v/>
      </c>
    </row>
    <row r="104" spans="2:56" x14ac:dyDescent="0.25">
      <c r="B104" s="7" t="str">
        <f t="shared" si="18"/>
        <v/>
      </c>
      <c r="C104" s="4"/>
      <c r="D104" s="4"/>
      <c r="E104" s="4"/>
      <c r="F104" s="230" t="str">
        <f>IF('תנאי סף'!AO104&lt;&gt;1,"",'תנאי סף'!F104)</f>
        <v/>
      </c>
      <c r="G104" s="158"/>
      <c r="H104" s="5"/>
      <c r="I104" s="6"/>
      <c r="J104" s="5"/>
      <c r="K104" s="6"/>
      <c r="L104" s="5"/>
      <c r="M104" s="6"/>
      <c r="N104" s="6"/>
      <c r="O104" s="158"/>
      <c r="P104" s="177"/>
      <c r="Q104" s="8"/>
      <c r="R104" s="8"/>
      <c r="S104" s="8"/>
      <c r="T104" s="8"/>
      <c r="U104" s="159" t="str">
        <f>IF($F104="","",IF($AA104&lt;&gt;1,$AB$1,MAX(INDEX('הוראת שעה'!$F$6:$F$20,MATCH($Z$2,'הוראת שעה'!$A$6:$A$20,1)),INDEX($G$5:$G$8,MATCH(G104,$F$5:$F$8,0)))))</f>
        <v/>
      </c>
      <c r="V104" s="159" t="str">
        <f>סיווג!Z104</f>
        <v/>
      </c>
      <c r="W104" s="8" t="str">
        <f t="shared" si="19"/>
        <v/>
      </c>
      <c r="X104" s="8">
        <v>1</v>
      </c>
      <c r="Y104" s="8" t="str">
        <f t="shared" si="20"/>
        <v/>
      </c>
      <c r="Z104" s="123" t="str">
        <f t="shared" si="17"/>
        <v/>
      </c>
      <c r="AA104" s="192">
        <f t="shared" si="21"/>
        <v>0</v>
      </c>
      <c r="AB104" s="192" t="str">
        <f t="shared" si="16"/>
        <v/>
      </c>
      <c r="AC104" s="192" t="str">
        <f t="shared" si="16"/>
        <v/>
      </c>
      <c r="AD104" s="192">
        <f t="shared" si="22"/>
        <v>0</v>
      </c>
      <c r="BA104" s="192" t="str">
        <f t="shared" si="15"/>
        <v/>
      </c>
      <c r="BB104" s="192" t="str">
        <f t="shared" si="15"/>
        <v/>
      </c>
      <c r="BC104" s="192" t="str">
        <f t="shared" si="15"/>
        <v/>
      </c>
      <c r="BD104" s="192" t="str">
        <f t="shared" si="15"/>
        <v/>
      </c>
    </row>
    <row r="105" spans="2:56" x14ac:dyDescent="0.25">
      <c r="B105" s="7">
        <f t="shared" si="18"/>
        <v>75</v>
      </c>
      <c r="C105" s="4"/>
      <c r="D105" s="4"/>
      <c r="E105" s="4"/>
      <c r="F105" s="230" t="str">
        <f>IF('תנאי סף'!AO105&lt;&gt;1,"",'תנאי סף'!F105)</f>
        <v>לבונטין 7</v>
      </c>
      <c r="G105" s="158" t="s">
        <v>91</v>
      </c>
      <c r="H105" s="5"/>
      <c r="I105" s="6"/>
      <c r="J105" s="5"/>
      <c r="K105" s="6"/>
      <c r="L105" s="5"/>
      <c r="M105" s="6"/>
      <c r="N105" s="6"/>
      <c r="O105" s="158"/>
      <c r="P105" s="177"/>
      <c r="Q105" s="8"/>
      <c r="R105" s="8"/>
      <c r="S105" s="8"/>
      <c r="T105" s="8"/>
      <c r="U105" s="159">
        <f>IF($F105="","",IF($AA105&lt;&gt;1,$AB$1,MAX(INDEX('הוראת שעה'!$F$6:$F$20,MATCH($Z$2,'הוראת שעה'!$A$6:$A$20,1)),INDEX($G$5:$G$8,MATCH(G105,$F$5:$F$8,0)))))</f>
        <v>4</v>
      </c>
      <c r="V105" s="159">
        <f>סיווג!Z105</f>
        <v>0.5</v>
      </c>
      <c r="W105" s="8">
        <f t="shared" si="19"/>
        <v>2</v>
      </c>
      <c r="X105" s="8">
        <v>1</v>
      </c>
      <c r="Y105" s="8">
        <f t="shared" si="20"/>
        <v>2</v>
      </c>
      <c r="Z105" s="123">
        <f t="shared" si="17"/>
        <v>1.8535681186283594E-2</v>
      </c>
      <c r="AA105" s="192">
        <f t="shared" si="21"/>
        <v>1</v>
      </c>
      <c r="AB105" s="192">
        <f t="shared" si="16"/>
        <v>0</v>
      </c>
      <c r="AC105" s="192">
        <f t="shared" si="16"/>
        <v>1</v>
      </c>
      <c r="AD105" s="192">
        <f t="shared" si="22"/>
        <v>1</v>
      </c>
      <c r="BA105" s="192" t="str">
        <f t="shared" si="15"/>
        <v>נאותה</v>
      </c>
      <c r="BB105" s="192" t="str">
        <f t="shared" si="15"/>
        <v>טובה</v>
      </c>
      <c r="BC105" s="192" t="str">
        <f t="shared" si="15"/>
        <v>טובה מאוד</v>
      </c>
      <c r="BD105" s="192" t="str">
        <f t="shared" si="15"/>
        <v>מצוינת</v>
      </c>
    </row>
    <row r="106" spans="2:56" x14ac:dyDescent="0.25">
      <c r="B106" s="7">
        <f t="shared" si="18"/>
        <v>76</v>
      </c>
      <c r="C106" s="4"/>
      <c r="D106" s="4"/>
      <c r="E106" s="4"/>
      <c r="F106" s="230" t="str">
        <f>IF('תנאי סף'!AO106&lt;&gt;1,"",'תנאי סף'!F106)</f>
        <v>מולטי פיאנו- פליציה בלומנטל</v>
      </c>
      <c r="G106" s="158" t="s">
        <v>92</v>
      </c>
      <c r="H106" s="5"/>
      <c r="I106" s="6"/>
      <c r="J106" s="5"/>
      <c r="K106" s="6"/>
      <c r="L106" s="5"/>
      <c r="M106" s="6"/>
      <c r="N106" s="6"/>
      <c r="O106" s="158"/>
      <c r="P106" s="177"/>
      <c r="Q106" s="8"/>
      <c r="R106" s="8"/>
      <c r="S106" s="8"/>
      <c r="T106" s="8"/>
      <c r="U106" s="159">
        <f>IF($F106="","",IF($AA106&lt;&gt;1,$AB$1,MAX(INDEX('הוראת שעה'!$F$6:$F$20,MATCH($Z$2,'הוראת שעה'!$A$6:$A$20,1)),INDEX($G$5:$G$8,MATCH(G106,$F$5:$F$8,0)))))</f>
        <v>5</v>
      </c>
      <c r="V106" s="159">
        <f>סיווג!Z106</f>
        <v>0.5</v>
      </c>
      <c r="W106" s="8">
        <f t="shared" si="19"/>
        <v>2.5</v>
      </c>
      <c r="X106" s="8">
        <v>1</v>
      </c>
      <c r="Y106" s="8">
        <f t="shared" si="20"/>
        <v>2.5</v>
      </c>
      <c r="Z106" s="123">
        <f t="shared" si="17"/>
        <v>2.3169601482854494E-2</v>
      </c>
      <c r="AA106" s="192">
        <f t="shared" si="21"/>
        <v>1</v>
      </c>
      <c r="AB106" s="192">
        <f t="shared" si="16"/>
        <v>0</v>
      </c>
      <c r="AC106" s="192">
        <f t="shared" si="16"/>
        <v>1</v>
      </c>
      <c r="AD106" s="192">
        <f t="shared" si="22"/>
        <v>1</v>
      </c>
      <c r="BA106" s="192" t="str">
        <f t="shared" si="15"/>
        <v>נאותה</v>
      </c>
      <c r="BB106" s="192" t="str">
        <f t="shared" si="15"/>
        <v>טובה</v>
      </c>
      <c r="BC106" s="192" t="str">
        <f t="shared" si="15"/>
        <v>טובה מאוד</v>
      </c>
      <c r="BD106" s="192" t="str">
        <f t="shared" si="15"/>
        <v>מצוינת</v>
      </c>
    </row>
    <row r="107" spans="2:56" x14ac:dyDescent="0.25">
      <c r="B107" s="7">
        <f t="shared" si="18"/>
        <v>77</v>
      </c>
      <c r="C107" s="4"/>
      <c r="D107" s="4"/>
      <c r="E107" s="4"/>
      <c r="F107" s="230" t="str">
        <f>IF('תנאי סף'!AO107&lt;&gt;1,"",'תנאי סף'!F107)</f>
        <v>ארמון בזמן - העמותה לתרבות רב תחומית</v>
      </c>
      <c r="G107" s="158" t="s">
        <v>91</v>
      </c>
      <c r="H107" s="5"/>
      <c r="I107" s="6"/>
      <c r="J107" s="5"/>
      <c r="K107" s="6"/>
      <c r="L107" s="5"/>
      <c r="M107" s="6"/>
      <c r="N107" s="6"/>
      <c r="O107" s="158"/>
      <c r="P107" s="177"/>
      <c r="Q107" s="8"/>
      <c r="R107" s="8"/>
      <c r="S107" s="8"/>
      <c r="T107" s="8"/>
      <c r="U107" s="159">
        <f>IF($F107="","",IF($AA107&lt;&gt;1,$AB$1,MAX(INDEX('הוראת שעה'!$F$6:$F$20,MATCH($Z$2,'הוראת שעה'!$A$6:$A$20,1)),INDEX($G$5:$G$8,MATCH(G107,$F$5:$F$8,0)))))</f>
        <v>4</v>
      </c>
      <c r="V107" s="159">
        <f>סיווג!Z107</f>
        <v>1</v>
      </c>
      <c r="W107" s="8">
        <f t="shared" si="19"/>
        <v>4</v>
      </c>
      <c r="X107" s="8">
        <v>1</v>
      </c>
      <c r="Y107" s="8">
        <f t="shared" si="20"/>
        <v>4</v>
      </c>
      <c r="Z107" s="123">
        <f t="shared" si="17"/>
        <v>3.7071362372567189E-2</v>
      </c>
      <c r="AA107" s="192">
        <f t="shared" si="21"/>
        <v>1</v>
      </c>
      <c r="AB107" s="192">
        <f t="shared" si="16"/>
        <v>0</v>
      </c>
      <c r="AC107" s="192">
        <f t="shared" si="16"/>
        <v>1</v>
      </c>
      <c r="AD107" s="192">
        <f t="shared" si="22"/>
        <v>1</v>
      </c>
      <c r="BA107" s="192" t="str">
        <f t="shared" si="15"/>
        <v>נאותה</v>
      </c>
      <c r="BB107" s="192" t="str">
        <f t="shared" si="15"/>
        <v>טובה</v>
      </c>
      <c r="BC107" s="192" t="str">
        <f t="shared" si="15"/>
        <v>טובה מאוד</v>
      </c>
      <c r="BD107" s="192" t="str">
        <f t="shared" si="15"/>
        <v>מצוינת</v>
      </c>
    </row>
    <row r="108" spans="2:56" x14ac:dyDescent="0.25">
      <c r="B108" s="7" t="str">
        <f t="shared" si="18"/>
        <v/>
      </c>
      <c r="C108" s="4"/>
      <c r="D108" s="4"/>
      <c r="E108" s="4"/>
      <c r="F108" s="230" t="str">
        <f>IF('תנאי סף'!AO108&lt;&gt;1,"",'תנאי סף'!F108)</f>
        <v/>
      </c>
      <c r="G108" s="158"/>
      <c r="H108" s="5"/>
      <c r="I108" s="6"/>
      <c r="J108" s="5"/>
      <c r="K108" s="6"/>
      <c r="L108" s="5"/>
      <c r="M108" s="6"/>
      <c r="N108" s="6"/>
      <c r="O108" s="158"/>
      <c r="P108" s="177"/>
      <c r="Q108" s="8"/>
      <c r="R108" s="8"/>
      <c r="S108" s="8"/>
      <c r="T108" s="8"/>
      <c r="U108" s="159" t="str">
        <f>IF($F108="","",IF($AA108&lt;&gt;1,$AB$1,MAX(INDEX('הוראת שעה'!$F$6:$F$20,MATCH($Z$2,'הוראת שעה'!$A$6:$A$20,1)),INDEX($G$5:$G$8,MATCH(G108,$F$5:$F$8,0)))))</f>
        <v/>
      </c>
      <c r="V108" s="159" t="str">
        <f>סיווג!Z108</f>
        <v/>
      </c>
      <c r="W108" s="8" t="str">
        <f t="shared" si="19"/>
        <v/>
      </c>
      <c r="X108" s="8">
        <v>1</v>
      </c>
      <c r="Y108" s="8" t="str">
        <f t="shared" si="20"/>
        <v/>
      </c>
      <c r="Z108" s="123" t="str">
        <f t="shared" si="17"/>
        <v/>
      </c>
      <c r="AA108" s="192">
        <f t="shared" si="21"/>
        <v>0</v>
      </c>
      <c r="AB108" s="192" t="str">
        <f t="shared" si="16"/>
        <v/>
      </c>
      <c r="AC108" s="192" t="str">
        <f t="shared" si="16"/>
        <v/>
      </c>
      <c r="AD108" s="192">
        <f t="shared" si="22"/>
        <v>0</v>
      </c>
      <c r="BA108" s="192" t="str">
        <f t="shared" si="15"/>
        <v/>
      </c>
      <c r="BB108" s="192" t="str">
        <f t="shared" si="15"/>
        <v/>
      </c>
      <c r="BC108" s="192" t="str">
        <f t="shared" si="15"/>
        <v/>
      </c>
      <c r="BD108" s="192" t="str">
        <f t="shared" si="15"/>
        <v/>
      </c>
    </row>
    <row r="109" spans="2:56" x14ac:dyDescent="0.25">
      <c r="B109" s="7" t="str">
        <f t="shared" si="18"/>
        <v/>
      </c>
      <c r="C109" s="4"/>
      <c r="D109" s="4"/>
      <c r="E109" s="4"/>
      <c r="F109" s="230" t="str">
        <f>IF('תנאי סף'!AO109&lt;&gt;1,"",'תנאי סף'!F109)</f>
        <v/>
      </c>
      <c r="G109" s="158"/>
      <c r="H109" s="5"/>
      <c r="I109" s="6"/>
      <c r="J109" s="5"/>
      <c r="K109" s="6"/>
      <c r="L109" s="5"/>
      <c r="M109" s="6"/>
      <c r="N109" s="6"/>
      <c r="O109" s="158"/>
      <c r="P109" s="177"/>
      <c r="Q109" s="8"/>
      <c r="R109" s="8"/>
      <c r="S109" s="8"/>
      <c r="T109" s="8"/>
      <c r="U109" s="159" t="str">
        <f>IF($F109="","",IF($AA109&lt;&gt;1,$AB$1,MAX(INDEX('הוראת שעה'!$F$6:$F$20,MATCH($Z$2,'הוראת שעה'!$A$6:$A$20,1)),INDEX($G$5:$G$8,MATCH(G109,$F$5:$F$8,0)))))</f>
        <v/>
      </c>
      <c r="V109" s="159" t="str">
        <f>סיווג!Z109</f>
        <v/>
      </c>
      <c r="W109" s="8" t="str">
        <f t="shared" si="19"/>
        <v/>
      </c>
      <c r="X109" s="8">
        <v>1</v>
      </c>
      <c r="Y109" s="8" t="str">
        <f t="shared" si="20"/>
        <v/>
      </c>
      <c r="Z109" s="123" t="str">
        <f t="shared" si="17"/>
        <v/>
      </c>
      <c r="AA109" s="192">
        <f t="shared" si="21"/>
        <v>0</v>
      </c>
      <c r="AB109" s="192" t="str">
        <f t="shared" si="16"/>
        <v/>
      </c>
      <c r="AC109" s="192" t="str">
        <f t="shared" si="16"/>
        <v/>
      </c>
      <c r="AD109" s="192">
        <f t="shared" si="22"/>
        <v>0</v>
      </c>
      <c r="BA109" s="192" t="str">
        <f t="shared" si="15"/>
        <v/>
      </c>
      <c r="BB109" s="192" t="str">
        <f t="shared" si="15"/>
        <v/>
      </c>
      <c r="BC109" s="192" t="str">
        <f t="shared" si="15"/>
        <v/>
      </c>
      <c r="BD109" s="192" t="str">
        <f t="shared" si="15"/>
        <v/>
      </c>
    </row>
    <row r="110" spans="2:56" x14ac:dyDescent="0.25">
      <c r="B110" s="7" t="str">
        <f t="shared" si="18"/>
        <v/>
      </c>
      <c r="C110" s="4"/>
      <c r="D110" s="4"/>
      <c r="E110" s="4"/>
      <c r="F110" s="230" t="str">
        <f>IF('תנאי סף'!AO110&lt;&gt;1,"",'תנאי סף'!F110)</f>
        <v/>
      </c>
      <c r="G110" s="158"/>
      <c r="H110" s="5"/>
      <c r="I110" s="6"/>
      <c r="J110" s="5"/>
      <c r="K110" s="6"/>
      <c r="L110" s="5"/>
      <c r="M110" s="6"/>
      <c r="N110" s="6"/>
      <c r="O110" s="158"/>
      <c r="P110" s="177"/>
      <c r="Q110" s="8"/>
      <c r="R110" s="8"/>
      <c r="S110" s="8"/>
      <c r="T110" s="8"/>
      <c r="U110" s="159" t="str">
        <f>IF($F110="","",IF($AA110&lt;&gt;1,$AB$1,MAX(INDEX('הוראת שעה'!$F$6:$F$20,MATCH($Z$2,'הוראת שעה'!$A$6:$A$20,1)),INDEX($G$5:$G$8,MATCH(G110,$F$5:$F$8,0)))))</f>
        <v/>
      </c>
      <c r="V110" s="159" t="str">
        <f>סיווג!Z110</f>
        <v/>
      </c>
      <c r="W110" s="8" t="str">
        <f t="shared" si="19"/>
        <v/>
      </c>
      <c r="X110" s="8">
        <v>1</v>
      </c>
      <c r="Y110" s="8" t="str">
        <f t="shared" si="20"/>
        <v/>
      </c>
      <c r="Z110" s="123" t="str">
        <f t="shared" si="17"/>
        <v/>
      </c>
      <c r="AA110" s="192">
        <f t="shared" si="21"/>
        <v>0</v>
      </c>
      <c r="AB110" s="192" t="str">
        <f t="shared" si="16"/>
        <v/>
      </c>
      <c r="AC110" s="192" t="str">
        <f t="shared" si="16"/>
        <v/>
      </c>
      <c r="AD110" s="192">
        <f t="shared" si="22"/>
        <v>0</v>
      </c>
      <c r="BA110" s="192" t="str">
        <f t="shared" si="15"/>
        <v/>
      </c>
      <c r="BB110" s="192" t="str">
        <f t="shared" si="15"/>
        <v/>
      </c>
      <c r="BC110" s="192" t="str">
        <f t="shared" si="15"/>
        <v/>
      </c>
      <c r="BD110" s="192" t="str">
        <f t="shared" si="15"/>
        <v/>
      </c>
    </row>
    <row r="111" spans="2:56" x14ac:dyDescent="0.25">
      <c r="B111" s="7" t="str">
        <f t="shared" si="18"/>
        <v/>
      </c>
      <c r="C111" s="4"/>
      <c r="D111" s="4"/>
      <c r="E111" s="4"/>
      <c r="F111" s="230" t="str">
        <f>IF('תנאי סף'!AO111&lt;&gt;1,"",'תנאי סף'!F111)</f>
        <v/>
      </c>
      <c r="G111" s="158"/>
      <c r="H111" s="5"/>
      <c r="I111" s="6"/>
      <c r="J111" s="5"/>
      <c r="K111" s="6"/>
      <c r="L111" s="5"/>
      <c r="M111" s="6"/>
      <c r="N111" s="6"/>
      <c r="O111" s="158"/>
      <c r="P111" s="177"/>
      <c r="Q111" s="8"/>
      <c r="R111" s="8"/>
      <c r="S111" s="8"/>
      <c r="T111" s="8"/>
      <c r="U111" s="159" t="str">
        <f>IF($F111="","",IF($AA111&lt;&gt;1,$AB$1,MAX(INDEX('הוראת שעה'!$F$6:$F$20,MATCH($Z$2,'הוראת שעה'!$A$6:$A$20,1)),INDEX($G$5:$G$8,MATCH(G111,$F$5:$F$8,0)))))</f>
        <v/>
      </c>
      <c r="V111" s="159" t="str">
        <f>סיווג!Z111</f>
        <v/>
      </c>
      <c r="W111" s="8" t="str">
        <f t="shared" si="19"/>
        <v/>
      </c>
      <c r="X111" s="8">
        <v>1</v>
      </c>
      <c r="Y111" s="8" t="str">
        <f t="shared" si="20"/>
        <v/>
      </c>
      <c r="Z111" s="123" t="str">
        <f t="shared" si="17"/>
        <v/>
      </c>
      <c r="AA111" s="192">
        <f t="shared" si="21"/>
        <v>0</v>
      </c>
      <c r="AB111" s="192" t="str">
        <f t="shared" si="16"/>
        <v/>
      </c>
      <c r="AC111" s="192" t="str">
        <f t="shared" si="16"/>
        <v/>
      </c>
      <c r="AD111" s="192">
        <f t="shared" si="22"/>
        <v>0</v>
      </c>
      <c r="BA111" s="192" t="str">
        <f t="shared" ref="BA111:BD130" si="23">IF($F111="","",BA$30)</f>
        <v/>
      </c>
      <c r="BB111" s="192" t="str">
        <f t="shared" si="23"/>
        <v/>
      </c>
      <c r="BC111" s="192" t="str">
        <f t="shared" si="23"/>
        <v/>
      </c>
      <c r="BD111" s="192" t="str">
        <f t="shared" si="23"/>
        <v/>
      </c>
    </row>
    <row r="112" spans="2:56" x14ac:dyDescent="0.25">
      <c r="B112" s="7" t="str">
        <f t="shared" si="18"/>
        <v/>
      </c>
      <c r="C112" s="4"/>
      <c r="D112" s="4"/>
      <c r="E112" s="4"/>
      <c r="F112" s="230" t="str">
        <f>IF('תנאי סף'!AO112&lt;&gt;1,"",'תנאי סף'!F112)</f>
        <v/>
      </c>
      <c r="G112" s="158"/>
      <c r="H112" s="5"/>
      <c r="I112" s="6"/>
      <c r="J112" s="5"/>
      <c r="K112" s="6"/>
      <c r="L112" s="5"/>
      <c r="M112" s="6"/>
      <c r="N112" s="6"/>
      <c r="O112" s="158"/>
      <c r="P112" s="177"/>
      <c r="Q112" s="8"/>
      <c r="R112" s="8"/>
      <c r="S112" s="8"/>
      <c r="T112" s="8"/>
      <c r="U112" s="159" t="str">
        <f>IF($F112="","",IF($AA112&lt;&gt;1,$AB$1,MAX(INDEX('הוראת שעה'!$F$6:$F$20,MATCH($Z$2,'הוראת שעה'!$A$6:$A$20,1)),INDEX($G$5:$G$8,MATCH(G112,$F$5:$F$8,0)))))</f>
        <v/>
      </c>
      <c r="V112" s="159" t="str">
        <f>סיווג!Z112</f>
        <v/>
      </c>
      <c r="W112" s="8" t="str">
        <f t="shared" si="19"/>
        <v/>
      </c>
      <c r="X112" s="8">
        <v>1</v>
      </c>
      <c r="Y112" s="8" t="str">
        <f t="shared" si="20"/>
        <v/>
      </c>
      <c r="Z112" s="123" t="str">
        <f t="shared" si="17"/>
        <v/>
      </c>
      <c r="AA112" s="192">
        <f t="shared" si="21"/>
        <v>0</v>
      </c>
      <c r="AB112" s="192" t="str">
        <f t="shared" si="16"/>
        <v/>
      </c>
      <c r="AC112" s="192" t="str">
        <f t="shared" si="16"/>
        <v/>
      </c>
      <c r="AD112" s="192">
        <f t="shared" si="22"/>
        <v>0</v>
      </c>
      <c r="BA112" s="192" t="str">
        <f t="shared" si="23"/>
        <v/>
      </c>
      <c r="BB112" s="192" t="str">
        <f t="shared" si="23"/>
        <v/>
      </c>
      <c r="BC112" s="192" t="str">
        <f t="shared" si="23"/>
        <v/>
      </c>
      <c r="BD112" s="192" t="str">
        <f t="shared" si="23"/>
        <v/>
      </c>
    </row>
    <row r="113" spans="2:56" x14ac:dyDescent="0.25">
      <c r="B113" s="7" t="str">
        <f t="shared" si="18"/>
        <v/>
      </c>
      <c r="C113" s="4"/>
      <c r="D113" s="4"/>
      <c r="E113" s="4"/>
      <c r="F113" s="230" t="str">
        <f>IF('תנאי סף'!AO113&lt;&gt;1,"",'תנאי סף'!F113)</f>
        <v/>
      </c>
      <c r="G113" s="158"/>
      <c r="H113" s="5"/>
      <c r="I113" s="6"/>
      <c r="J113" s="5"/>
      <c r="K113" s="6"/>
      <c r="L113" s="5"/>
      <c r="M113" s="6"/>
      <c r="N113" s="6"/>
      <c r="O113" s="158"/>
      <c r="P113" s="177"/>
      <c r="Q113" s="8"/>
      <c r="R113" s="8"/>
      <c r="S113" s="8"/>
      <c r="T113" s="8"/>
      <c r="U113" s="159" t="str">
        <f>IF($F113="","",IF($AA113&lt;&gt;1,$AB$1,MAX(INDEX('הוראת שעה'!$F$6:$F$20,MATCH($Z$2,'הוראת שעה'!$A$6:$A$20,1)),INDEX($G$5:$G$8,MATCH(G113,$F$5:$F$8,0)))))</f>
        <v/>
      </c>
      <c r="V113" s="159" t="str">
        <f>סיווג!Z113</f>
        <v/>
      </c>
      <c r="W113" s="8" t="str">
        <f t="shared" si="19"/>
        <v/>
      </c>
      <c r="X113" s="8">
        <v>1</v>
      </c>
      <c r="Y113" s="8" t="str">
        <f t="shared" si="20"/>
        <v/>
      </c>
      <c r="Z113" s="123" t="str">
        <f t="shared" si="17"/>
        <v/>
      </c>
      <c r="AA113" s="192">
        <f t="shared" si="21"/>
        <v>0</v>
      </c>
      <c r="AB113" s="192" t="str">
        <f t="shared" si="16"/>
        <v/>
      </c>
      <c r="AC113" s="192" t="str">
        <f t="shared" si="16"/>
        <v/>
      </c>
      <c r="AD113" s="192">
        <f t="shared" si="22"/>
        <v>0</v>
      </c>
      <c r="BA113" s="192" t="str">
        <f t="shared" si="23"/>
        <v/>
      </c>
      <c r="BB113" s="192" t="str">
        <f t="shared" si="23"/>
        <v/>
      </c>
      <c r="BC113" s="192" t="str">
        <f t="shared" si="23"/>
        <v/>
      </c>
      <c r="BD113" s="192" t="str">
        <f t="shared" si="23"/>
        <v/>
      </c>
    </row>
    <row r="114" spans="2:56" x14ac:dyDescent="0.25">
      <c r="B114" s="7" t="str">
        <f t="shared" si="18"/>
        <v/>
      </c>
      <c r="C114" s="4"/>
      <c r="D114" s="4"/>
      <c r="E114" s="4"/>
      <c r="F114" s="230" t="str">
        <f>IF('תנאי סף'!AO114&lt;&gt;1,"",'תנאי סף'!F114)</f>
        <v/>
      </c>
      <c r="G114" s="158"/>
      <c r="H114" s="5"/>
      <c r="I114" s="6"/>
      <c r="J114" s="5"/>
      <c r="K114" s="6"/>
      <c r="L114" s="5"/>
      <c r="M114" s="6"/>
      <c r="N114" s="6"/>
      <c r="O114" s="158"/>
      <c r="P114" s="177"/>
      <c r="Q114" s="8"/>
      <c r="R114" s="8"/>
      <c r="S114" s="8"/>
      <c r="T114" s="8"/>
      <c r="U114" s="159" t="str">
        <f>IF($F114="","",IF($AA114&lt;&gt;1,$AB$1,MAX(INDEX('הוראת שעה'!$F$6:$F$20,MATCH($Z$2,'הוראת שעה'!$A$6:$A$20,1)),INDEX($G$5:$G$8,MATCH(G114,$F$5:$F$8,0)))))</f>
        <v/>
      </c>
      <c r="V114" s="159" t="str">
        <f>סיווג!Z114</f>
        <v/>
      </c>
      <c r="W114" s="8" t="str">
        <f t="shared" si="19"/>
        <v/>
      </c>
      <c r="X114" s="8">
        <v>1</v>
      </c>
      <c r="Y114" s="8" t="str">
        <f t="shared" si="20"/>
        <v/>
      </c>
      <c r="Z114" s="123" t="str">
        <f t="shared" si="17"/>
        <v/>
      </c>
      <c r="AA114" s="192">
        <f t="shared" si="21"/>
        <v>0</v>
      </c>
      <c r="AB114" s="192" t="str">
        <f t="shared" si="16"/>
        <v/>
      </c>
      <c r="AC114" s="192" t="str">
        <f t="shared" si="16"/>
        <v/>
      </c>
      <c r="AD114" s="192">
        <f t="shared" si="22"/>
        <v>0</v>
      </c>
      <c r="BA114" s="192" t="str">
        <f t="shared" si="23"/>
        <v/>
      </c>
      <c r="BB114" s="192" t="str">
        <f t="shared" si="23"/>
        <v/>
      </c>
      <c r="BC114" s="192" t="str">
        <f t="shared" si="23"/>
        <v/>
      </c>
      <c r="BD114" s="192" t="str">
        <f t="shared" si="23"/>
        <v/>
      </c>
    </row>
    <row r="115" spans="2:56" x14ac:dyDescent="0.25">
      <c r="B115" s="7" t="str">
        <f t="shared" si="18"/>
        <v/>
      </c>
      <c r="C115" s="4"/>
      <c r="D115" s="4"/>
      <c r="E115" s="4"/>
      <c r="F115" s="230" t="str">
        <f>IF('תנאי סף'!AO115&lt;&gt;1,"",'תנאי סף'!F115)</f>
        <v/>
      </c>
      <c r="G115" s="158"/>
      <c r="H115" s="5"/>
      <c r="I115" s="6"/>
      <c r="J115" s="5"/>
      <c r="K115" s="6"/>
      <c r="L115" s="5"/>
      <c r="M115" s="6"/>
      <c r="N115" s="6"/>
      <c r="O115" s="158"/>
      <c r="P115" s="177"/>
      <c r="Q115" s="8"/>
      <c r="R115" s="8"/>
      <c r="S115" s="8"/>
      <c r="T115" s="8"/>
      <c r="U115" s="159" t="str">
        <f>IF($F115="","",IF($AA115&lt;&gt;1,$AB$1,MAX(INDEX('הוראת שעה'!$F$6:$F$20,MATCH($Z$2,'הוראת שעה'!$A$6:$A$20,1)),INDEX($G$5:$G$8,MATCH(G115,$F$5:$F$8,0)))))</f>
        <v/>
      </c>
      <c r="V115" s="159" t="str">
        <f>סיווג!Z115</f>
        <v/>
      </c>
      <c r="W115" s="8" t="str">
        <f t="shared" si="19"/>
        <v/>
      </c>
      <c r="X115" s="8">
        <v>1</v>
      </c>
      <c r="Y115" s="8" t="str">
        <f t="shared" si="20"/>
        <v/>
      </c>
      <c r="Z115" s="123" t="str">
        <f t="shared" si="17"/>
        <v/>
      </c>
      <c r="AA115" s="192">
        <f t="shared" si="21"/>
        <v>0</v>
      </c>
      <c r="AB115" s="192" t="str">
        <f t="shared" si="16"/>
        <v/>
      </c>
      <c r="AC115" s="192" t="str">
        <f t="shared" si="16"/>
        <v/>
      </c>
      <c r="AD115" s="192">
        <f t="shared" si="22"/>
        <v>0</v>
      </c>
      <c r="BA115" s="192" t="str">
        <f t="shared" si="23"/>
        <v/>
      </c>
      <c r="BB115" s="192" t="str">
        <f t="shared" si="23"/>
        <v/>
      </c>
      <c r="BC115" s="192" t="str">
        <f t="shared" si="23"/>
        <v/>
      </c>
      <c r="BD115" s="192" t="str">
        <f t="shared" si="23"/>
        <v/>
      </c>
    </row>
    <row r="116" spans="2:56" x14ac:dyDescent="0.25">
      <c r="B116" s="7" t="str">
        <f t="shared" si="18"/>
        <v/>
      </c>
      <c r="C116" s="4"/>
      <c r="D116" s="4"/>
      <c r="E116" s="4"/>
      <c r="F116" s="230" t="str">
        <f>IF('תנאי סף'!AO116&lt;&gt;1,"",'תנאי סף'!F116)</f>
        <v/>
      </c>
      <c r="G116" s="158"/>
      <c r="H116" s="5"/>
      <c r="I116" s="6"/>
      <c r="J116" s="5"/>
      <c r="K116" s="6"/>
      <c r="L116" s="5"/>
      <c r="M116" s="6"/>
      <c r="N116" s="6"/>
      <c r="O116" s="158"/>
      <c r="P116" s="177"/>
      <c r="Q116" s="8"/>
      <c r="R116" s="8"/>
      <c r="S116" s="8"/>
      <c r="T116" s="8"/>
      <c r="U116" s="159" t="str">
        <f>IF($F116="","",IF($AA116&lt;&gt;1,$AB$1,MAX(INDEX('הוראת שעה'!$F$6:$F$20,MATCH($Z$2,'הוראת שעה'!$A$6:$A$20,1)),INDEX($G$5:$G$8,MATCH(G116,$F$5:$F$8,0)))))</f>
        <v/>
      </c>
      <c r="V116" s="159" t="str">
        <f>סיווג!Z116</f>
        <v/>
      </c>
      <c r="W116" s="8" t="str">
        <f t="shared" si="19"/>
        <v/>
      </c>
      <c r="X116" s="8">
        <v>1</v>
      </c>
      <c r="Y116" s="8" t="str">
        <f t="shared" si="20"/>
        <v/>
      </c>
      <c r="Z116" s="123" t="str">
        <f t="shared" si="17"/>
        <v/>
      </c>
      <c r="AA116" s="192">
        <f t="shared" si="21"/>
        <v>0</v>
      </c>
      <c r="AB116" s="192" t="str">
        <f t="shared" si="16"/>
        <v/>
      </c>
      <c r="AC116" s="192" t="str">
        <f t="shared" si="16"/>
        <v/>
      </c>
      <c r="AD116" s="192">
        <f t="shared" si="22"/>
        <v>0</v>
      </c>
      <c r="BA116" s="192" t="str">
        <f t="shared" si="23"/>
        <v/>
      </c>
      <c r="BB116" s="192" t="str">
        <f t="shared" si="23"/>
        <v/>
      </c>
      <c r="BC116" s="192" t="str">
        <f t="shared" si="23"/>
        <v/>
      </c>
      <c r="BD116" s="192" t="str">
        <f t="shared" si="23"/>
        <v/>
      </c>
    </row>
    <row r="117" spans="2:56" x14ac:dyDescent="0.25">
      <c r="B117" s="7" t="str">
        <f t="shared" si="18"/>
        <v/>
      </c>
      <c r="C117" s="4"/>
      <c r="D117" s="4"/>
      <c r="E117" s="4"/>
      <c r="F117" s="230" t="str">
        <f>IF('תנאי סף'!AO117&lt;&gt;1,"",'תנאי סף'!F117)</f>
        <v/>
      </c>
      <c r="G117" s="158"/>
      <c r="H117" s="5"/>
      <c r="I117" s="6"/>
      <c r="J117" s="5"/>
      <c r="K117" s="6"/>
      <c r="L117" s="5"/>
      <c r="M117" s="6"/>
      <c r="N117" s="6"/>
      <c r="O117" s="158"/>
      <c r="P117" s="177"/>
      <c r="Q117" s="8"/>
      <c r="R117" s="8"/>
      <c r="S117" s="8"/>
      <c r="T117" s="8"/>
      <c r="U117" s="159" t="str">
        <f>IF($F117="","",IF($AA117&lt;&gt;1,$AB$1,MAX(INDEX('הוראת שעה'!$F$6:$F$20,MATCH($Z$2,'הוראת שעה'!$A$6:$A$20,1)),INDEX($G$5:$G$8,MATCH(G117,$F$5:$F$8,0)))))</f>
        <v/>
      </c>
      <c r="V117" s="159" t="str">
        <f>סיווג!Z117</f>
        <v/>
      </c>
      <c r="W117" s="8" t="str">
        <f t="shared" si="19"/>
        <v/>
      </c>
      <c r="X117" s="8">
        <v>1</v>
      </c>
      <c r="Y117" s="8" t="str">
        <f t="shared" si="20"/>
        <v/>
      </c>
      <c r="Z117" s="123" t="str">
        <f t="shared" si="17"/>
        <v/>
      </c>
      <c r="AA117" s="192">
        <f t="shared" si="21"/>
        <v>0</v>
      </c>
      <c r="AB117" s="192" t="str">
        <f t="shared" si="16"/>
        <v/>
      </c>
      <c r="AC117" s="192" t="str">
        <f t="shared" si="16"/>
        <v/>
      </c>
      <c r="AD117" s="192">
        <f t="shared" si="22"/>
        <v>0</v>
      </c>
      <c r="BA117" s="192" t="str">
        <f t="shared" si="23"/>
        <v/>
      </c>
      <c r="BB117" s="192" t="str">
        <f t="shared" si="23"/>
        <v/>
      </c>
      <c r="BC117" s="192" t="str">
        <f t="shared" si="23"/>
        <v/>
      </c>
      <c r="BD117" s="192" t="str">
        <f t="shared" si="23"/>
        <v/>
      </c>
    </row>
    <row r="118" spans="2:56" x14ac:dyDescent="0.25">
      <c r="B118" s="7" t="str">
        <f t="shared" si="18"/>
        <v/>
      </c>
      <c r="C118" s="4"/>
      <c r="D118" s="4"/>
      <c r="E118" s="4"/>
      <c r="F118" s="230" t="str">
        <f>IF('תנאי סף'!AO118&lt;&gt;1,"",'תנאי סף'!F118)</f>
        <v/>
      </c>
      <c r="G118" s="158"/>
      <c r="H118" s="5"/>
      <c r="I118" s="6"/>
      <c r="J118" s="5"/>
      <c r="K118" s="6"/>
      <c r="L118" s="5"/>
      <c r="M118" s="6"/>
      <c r="N118" s="6"/>
      <c r="O118" s="158"/>
      <c r="P118" s="177"/>
      <c r="Q118" s="8"/>
      <c r="R118" s="8"/>
      <c r="S118" s="8"/>
      <c r="T118" s="8"/>
      <c r="U118" s="159" t="str">
        <f>IF($F118="","",IF($AA118&lt;&gt;1,$AB$1,MAX(INDEX('הוראת שעה'!$F$6:$F$20,MATCH($Z$2,'הוראת שעה'!$A$6:$A$20,1)),INDEX($G$5:$G$8,MATCH(G118,$F$5:$F$8,0)))))</f>
        <v/>
      </c>
      <c r="V118" s="159" t="str">
        <f>סיווג!Z118</f>
        <v/>
      </c>
      <c r="W118" s="8" t="str">
        <f t="shared" si="19"/>
        <v/>
      </c>
      <c r="X118" s="8">
        <v>1</v>
      </c>
      <c r="Y118" s="8" t="str">
        <f t="shared" si="20"/>
        <v/>
      </c>
      <c r="Z118" s="123" t="str">
        <f t="shared" si="17"/>
        <v/>
      </c>
      <c r="AA118" s="192">
        <f t="shared" si="21"/>
        <v>0</v>
      </c>
      <c r="AB118" s="192" t="str">
        <f t="shared" si="16"/>
        <v/>
      </c>
      <c r="AC118" s="192" t="str">
        <f t="shared" si="16"/>
        <v/>
      </c>
      <c r="AD118" s="192">
        <f t="shared" si="22"/>
        <v>0</v>
      </c>
      <c r="BA118" s="192" t="str">
        <f t="shared" si="23"/>
        <v/>
      </c>
      <c r="BB118" s="192" t="str">
        <f t="shared" si="23"/>
        <v/>
      </c>
      <c r="BC118" s="192" t="str">
        <f t="shared" si="23"/>
        <v/>
      </c>
      <c r="BD118" s="192" t="str">
        <f t="shared" si="23"/>
        <v/>
      </c>
    </row>
    <row r="119" spans="2:56" x14ac:dyDescent="0.25">
      <c r="B119" s="7" t="str">
        <f t="shared" si="18"/>
        <v/>
      </c>
      <c r="C119" s="4"/>
      <c r="D119" s="4"/>
      <c r="E119" s="4"/>
      <c r="F119" s="230" t="str">
        <f>IF('תנאי סף'!AO119&lt;&gt;1,"",'תנאי סף'!F119)</f>
        <v/>
      </c>
      <c r="G119" s="158"/>
      <c r="H119" s="5"/>
      <c r="I119" s="6"/>
      <c r="J119" s="5"/>
      <c r="K119" s="6"/>
      <c r="L119" s="5"/>
      <c r="M119" s="6"/>
      <c r="N119" s="6"/>
      <c r="O119" s="158"/>
      <c r="P119" s="177"/>
      <c r="Q119" s="8"/>
      <c r="R119" s="8"/>
      <c r="S119" s="8"/>
      <c r="T119" s="8"/>
      <c r="U119" s="159" t="str">
        <f>IF($F119="","",IF($AA119&lt;&gt;1,$AB$1,MAX(INDEX('הוראת שעה'!$F$6:$F$20,MATCH($Z$2,'הוראת שעה'!$A$6:$A$20,1)),INDEX($G$5:$G$8,MATCH(G119,$F$5:$F$8,0)))))</f>
        <v/>
      </c>
      <c r="V119" s="159" t="str">
        <f>סיווג!Z119</f>
        <v/>
      </c>
      <c r="W119" s="8" t="str">
        <f t="shared" si="19"/>
        <v/>
      </c>
      <c r="X119" s="8">
        <v>1</v>
      </c>
      <c r="Y119" s="8" t="str">
        <f t="shared" si="20"/>
        <v/>
      </c>
      <c r="Z119" s="123" t="str">
        <f t="shared" si="17"/>
        <v/>
      </c>
      <c r="AA119" s="192">
        <f t="shared" si="21"/>
        <v>0</v>
      </c>
      <c r="AB119" s="192" t="str">
        <f t="shared" si="16"/>
        <v/>
      </c>
      <c r="AC119" s="192" t="str">
        <f t="shared" si="16"/>
        <v/>
      </c>
      <c r="AD119" s="192">
        <f t="shared" si="22"/>
        <v>0</v>
      </c>
      <c r="BA119" s="192" t="str">
        <f t="shared" si="23"/>
        <v/>
      </c>
      <c r="BB119" s="192" t="str">
        <f t="shared" si="23"/>
        <v/>
      </c>
      <c r="BC119" s="192" t="str">
        <f t="shared" si="23"/>
        <v/>
      </c>
      <c r="BD119" s="192" t="str">
        <f t="shared" si="23"/>
        <v/>
      </c>
    </row>
    <row r="120" spans="2:56" x14ac:dyDescent="0.25">
      <c r="B120" s="7" t="str">
        <f t="shared" si="18"/>
        <v/>
      </c>
      <c r="C120" s="4"/>
      <c r="D120" s="4"/>
      <c r="E120" s="4"/>
      <c r="F120" s="230" t="str">
        <f>IF('תנאי סף'!AO120&lt;&gt;1,"",'תנאי סף'!F120)</f>
        <v/>
      </c>
      <c r="G120" s="158"/>
      <c r="H120" s="5"/>
      <c r="I120" s="6"/>
      <c r="J120" s="5"/>
      <c r="K120" s="6"/>
      <c r="L120" s="5"/>
      <c r="M120" s="6"/>
      <c r="N120" s="6"/>
      <c r="O120" s="158"/>
      <c r="P120" s="177"/>
      <c r="Q120" s="8"/>
      <c r="R120" s="8"/>
      <c r="S120" s="8"/>
      <c r="T120" s="8"/>
      <c r="U120" s="159" t="str">
        <f>IF($F120="","",IF($AA120&lt;&gt;1,$AB$1,MAX(INDEX('הוראת שעה'!$F$6:$F$20,MATCH($Z$2,'הוראת שעה'!$A$6:$A$20,1)),INDEX($G$5:$G$8,MATCH(G120,$F$5:$F$8,0)))))</f>
        <v/>
      </c>
      <c r="V120" s="159" t="str">
        <f>סיווג!Z120</f>
        <v/>
      </c>
      <c r="W120" s="8" t="str">
        <f t="shared" si="19"/>
        <v/>
      </c>
      <c r="X120" s="8">
        <v>1</v>
      </c>
      <c r="Y120" s="8" t="str">
        <f t="shared" si="20"/>
        <v/>
      </c>
      <c r="Z120" s="123" t="str">
        <f t="shared" si="17"/>
        <v/>
      </c>
      <c r="AA120" s="192">
        <f t="shared" si="21"/>
        <v>0</v>
      </c>
      <c r="AB120" s="192" t="str">
        <f t="shared" si="16"/>
        <v/>
      </c>
      <c r="AC120" s="192" t="str">
        <f t="shared" si="16"/>
        <v/>
      </c>
      <c r="AD120" s="192">
        <f t="shared" si="22"/>
        <v>0</v>
      </c>
      <c r="BA120" s="192" t="str">
        <f t="shared" si="23"/>
        <v/>
      </c>
      <c r="BB120" s="192" t="str">
        <f t="shared" si="23"/>
        <v/>
      </c>
      <c r="BC120" s="192" t="str">
        <f t="shared" si="23"/>
        <v/>
      </c>
      <c r="BD120" s="192" t="str">
        <f t="shared" si="23"/>
        <v/>
      </c>
    </row>
    <row r="121" spans="2:56" x14ac:dyDescent="0.25">
      <c r="B121" s="7" t="str">
        <f t="shared" si="18"/>
        <v/>
      </c>
      <c r="C121" s="4"/>
      <c r="D121" s="4"/>
      <c r="E121" s="4"/>
      <c r="F121" s="230" t="str">
        <f>IF('תנאי סף'!AO121&lt;&gt;1,"",'תנאי סף'!F121)</f>
        <v/>
      </c>
      <c r="G121" s="158"/>
      <c r="H121" s="5"/>
      <c r="I121" s="6"/>
      <c r="J121" s="5"/>
      <c r="K121" s="6"/>
      <c r="L121" s="5"/>
      <c r="M121" s="6"/>
      <c r="N121" s="6"/>
      <c r="O121" s="158"/>
      <c r="P121" s="177"/>
      <c r="Q121" s="8"/>
      <c r="R121" s="8"/>
      <c r="S121" s="8"/>
      <c r="T121" s="8"/>
      <c r="U121" s="159" t="str">
        <f>IF($F121="","",IF($AA121&lt;&gt;1,$AB$1,MAX(INDEX('הוראת שעה'!$F$6:$F$20,MATCH($Z$2,'הוראת שעה'!$A$6:$A$20,1)),INDEX($G$5:$G$8,MATCH(G121,$F$5:$F$8,0)))))</f>
        <v/>
      </c>
      <c r="V121" s="159" t="str">
        <f>סיווג!Z121</f>
        <v/>
      </c>
      <c r="W121" s="8" t="str">
        <f t="shared" si="19"/>
        <v/>
      </c>
      <c r="X121" s="8">
        <v>1</v>
      </c>
      <c r="Y121" s="8" t="str">
        <f t="shared" si="20"/>
        <v/>
      </c>
      <c r="Z121" s="123" t="str">
        <f t="shared" si="17"/>
        <v/>
      </c>
      <c r="AA121" s="192">
        <f t="shared" si="21"/>
        <v>0</v>
      </c>
      <c r="AB121" s="192" t="str">
        <f t="shared" si="16"/>
        <v/>
      </c>
      <c r="AC121" s="192" t="str">
        <f t="shared" si="16"/>
        <v/>
      </c>
      <c r="AD121" s="192">
        <f t="shared" si="22"/>
        <v>0</v>
      </c>
      <c r="BA121" s="192" t="str">
        <f t="shared" si="23"/>
        <v/>
      </c>
      <c r="BB121" s="192" t="str">
        <f t="shared" si="23"/>
        <v/>
      </c>
      <c r="BC121" s="192" t="str">
        <f t="shared" si="23"/>
        <v/>
      </c>
      <c r="BD121" s="192" t="str">
        <f t="shared" si="23"/>
        <v/>
      </c>
    </row>
    <row r="122" spans="2:56" x14ac:dyDescent="0.25">
      <c r="B122" s="7" t="str">
        <f t="shared" si="18"/>
        <v/>
      </c>
      <c r="C122" s="4"/>
      <c r="D122" s="4"/>
      <c r="E122" s="4"/>
      <c r="F122" s="230" t="str">
        <f>IF('תנאי סף'!AO122&lt;&gt;1,"",'תנאי סף'!F122)</f>
        <v/>
      </c>
      <c r="G122" s="158"/>
      <c r="H122" s="5"/>
      <c r="I122" s="6"/>
      <c r="J122" s="5"/>
      <c r="K122" s="6"/>
      <c r="L122" s="5"/>
      <c r="M122" s="6"/>
      <c r="N122" s="6"/>
      <c r="O122" s="158"/>
      <c r="P122" s="177"/>
      <c r="Q122" s="8"/>
      <c r="R122" s="8"/>
      <c r="S122" s="8"/>
      <c r="T122" s="8"/>
      <c r="U122" s="159" t="str">
        <f>IF($F122="","",IF($AA122&lt;&gt;1,$AB$1,MAX(INDEX('הוראת שעה'!$F$6:$F$20,MATCH($Z$2,'הוראת שעה'!$A$6:$A$20,1)),INDEX($G$5:$G$8,MATCH(G122,$F$5:$F$8,0)))))</f>
        <v/>
      </c>
      <c r="V122" s="159" t="str">
        <f>סיווג!Z122</f>
        <v/>
      </c>
      <c r="W122" s="8" t="str">
        <f t="shared" si="19"/>
        <v/>
      </c>
      <c r="X122" s="8">
        <v>1</v>
      </c>
      <c r="Y122" s="8" t="str">
        <f t="shared" si="20"/>
        <v/>
      </c>
      <c r="Z122" s="123" t="str">
        <f t="shared" si="17"/>
        <v/>
      </c>
      <c r="AA122" s="192">
        <f t="shared" si="21"/>
        <v>0</v>
      </c>
      <c r="AB122" s="192" t="str">
        <f t="shared" si="16"/>
        <v/>
      </c>
      <c r="AC122" s="192" t="str">
        <f t="shared" si="16"/>
        <v/>
      </c>
      <c r="AD122" s="192">
        <f t="shared" si="22"/>
        <v>0</v>
      </c>
      <c r="BA122" s="192" t="str">
        <f t="shared" si="23"/>
        <v/>
      </c>
      <c r="BB122" s="192" t="str">
        <f t="shared" si="23"/>
        <v/>
      </c>
      <c r="BC122" s="192" t="str">
        <f t="shared" si="23"/>
        <v/>
      </c>
      <c r="BD122" s="192" t="str">
        <f t="shared" si="23"/>
        <v/>
      </c>
    </row>
    <row r="123" spans="2:56" x14ac:dyDescent="0.25">
      <c r="B123" s="7" t="str">
        <f t="shared" si="18"/>
        <v/>
      </c>
      <c r="C123" s="4"/>
      <c r="D123" s="4"/>
      <c r="E123" s="4"/>
      <c r="F123" s="230" t="str">
        <f>IF('תנאי סף'!AO123&lt;&gt;1,"",'תנאי סף'!F123)</f>
        <v/>
      </c>
      <c r="G123" s="158"/>
      <c r="H123" s="5"/>
      <c r="I123" s="6"/>
      <c r="J123" s="5"/>
      <c r="K123" s="6"/>
      <c r="L123" s="5"/>
      <c r="M123" s="6"/>
      <c r="N123" s="6"/>
      <c r="O123" s="158"/>
      <c r="P123" s="177"/>
      <c r="Q123" s="8"/>
      <c r="R123" s="8"/>
      <c r="S123" s="8"/>
      <c r="T123" s="8"/>
      <c r="U123" s="159" t="str">
        <f>IF($F123="","",IF($AA123&lt;&gt;1,$AB$1,MAX(INDEX('הוראת שעה'!$F$6:$F$20,MATCH($Z$2,'הוראת שעה'!$A$6:$A$20,1)),INDEX($G$5:$G$8,MATCH(G123,$F$5:$F$8,0)))))</f>
        <v/>
      </c>
      <c r="V123" s="159" t="str">
        <f>סיווג!Z123</f>
        <v/>
      </c>
      <c r="W123" s="8" t="str">
        <f t="shared" si="19"/>
        <v/>
      </c>
      <c r="X123" s="8">
        <v>1</v>
      </c>
      <c r="Y123" s="8" t="str">
        <f t="shared" si="20"/>
        <v/>
      </c>
      <c r="Z123" s="123" t="str">
        <f t="shared" si="17"/>
        <v/>
      </c>
      <c r="AA123" s="192">
        <f t="shared" si="21"/>
        <v>0</v>
      </c>
      <c r="AB123" s="192" t="str">
        <f t="shared" si="16"/>
        <v/>
      </c>
      <c r="AC123" s="192" t="str">
        <f t="shared" si="16"/>
        <v/>
      </c>
      <c r="AD123" s="192">
        <f t="shared" si="22"/>
        <v>0</v>
      </c>
      <c r="BA123" s="192" t="str">
        <f t="shared" si="23"/>
        <v/>
      </c>
      <c r="BB123" s="192" t="str">
        <f t="shared" si="23"/>
        <v/>
      </c>
      <c r="BC123" s="192" t="str">
        <f t="shared" si="23"/>
        <v/>
      </c>
      <c r="BD123" s="192" t="str">
        <f t="shared" si="23"/>
        <v/>
      </c>
    </row>
    <row r="124" spans="2:56" x14ac:dyDescent="0.25">
      <c r="B124" s="7" t="str">
        <f t="shared" si="18"/>
        <v/>
      </c>
      <c r="C124" s="4"/>
      <c r="D124" s="4"/>
      <c r="E124" s="4"/>
      <c r="F124" s="230" t="str">
        <f>IF('תנאי סף'!AO124&lt;&gt;1,"",'תנאי סף'!F124)</f>
        <v/>
      </c>
      <c r="G124" s="158"/>
      <c r="H124" s="5"/>
      <c r="I124" s="6"/>
      <c r="J124" s="5"/>
      <c r="K124" s="6"/>
      <c r="L124" s="5"/>
      <c r="M124" s="6"/>
      <c r="N124" s="6"/>
      <c r="O124" s="158"/>
      <c r="P124" s="177"/>
      <c r="Q124" s="8"/>
      <c r="R124" s="8"/>
      <c r="S124" s="8"/>
      <c r="T124" s="8"/>
      <c r="U124" s="159" t="str">
        <f>IF($F124="","",IF($AA124&lt;&gt;1,$AB$1,MAX(INDEX('הוראת שעה'!$F$6:$F$20,MATCH($Z$2,'הוראת שעה'!$A$6:$A$20,1)),INDEX($G$5:$G$8,MATCH(G124,$F$5:$F$8,0)))))</f>
        <v/>
      </c>
      <c r="V124" s="159" t="str">
        <f>סיווג!Z124</f>
        <v/>
      </c>
      <c r="W124" s="8" t="str">
        <f t="shared" si="19"/>
        <v/>
      </c>
      <c r="X124" s="8">
        <v>1</v>
      </c>
      <c r="Y124" s="8" t="str">
        <f t="shared" si="20"/>
        <v/>
      </c>
      <c r="Z124" s="123" t="str">
        <f t="shared" si="17"/>
        <v/>
      </c>
      <c r="AA124" s="192">
        <f t="shared" si="21"/>
        <v>0</v>
      </c>
      <c r="AB124" s="192" t="str">
        <f t="shared" si="16"/>
        <v/>
      </c>
      <c r="AC124" s="192" t="str">
        <f t="shared" si="16"/>
        <v/>
      </c>
      <c r="AD124" s="192">
        <f t="shared" si="22"/>
        <v>0</v>
      </c>
      <c r="BA124" s="192" t="str">
        <f t="shared" si="23"/>
        <v/>
      </c>
      <c r="BB124" s="192" t="str">
        <f t="shared" si="23"/>
        <v/>
      </c>
      <c r="BC124" s="192" t="str">
        <f t="shared" si="23"/>
        <v/>
      </c>
      <c r="BD124" s="192" t="str">
        <f t="shared" si="23"/>
        <v/>
      </c>
    </row>
    <row r="125" spans="2:56" x14ac:dyDescent="0.25">
      <c r="B125" s="7" t="str">
        <f t="shared" si="18"/>
        <v/>
      </c>
      <c r="C125" s="4"/>
      <c r="D125" s="4"/>
      <c r="E125" s="4"/>
      <c r="F125" s="230" t="str">
        <f>IF('תנאי סף'!AO125&lt;&gt;1,"",'תנאי סף'!F125)</f>
        <v/>
      </c>
      <c r="G125" s="158"/>
      <c r="H125" s="5"/>
      <c r="I125" s="6"/>
      <c r="J125" s="5"/>
      <c r="K125" s="6"/>
      <c r="L125" s="5"/>
      <c r="M125" s="6"/>
      <c r="N125" s="6"/>
      <c r="O125" s="158"/>
      <c r="P125" s="177"/>
      <c r="Q125" s="8"/>
      <c r="R125" s="8"/>
      <c r="S125" s="8"/>
      <c r="T125" s="8"/>
      <c r="U125" s="159" t="str">
        <f>IF($F125="","",IF($AA125&lt;&gt;1,$AB$1,MAX(INDEX('הוראת שעה'!$F$6:$F$20,MATCH($Z$2,'הוראת שעה'!$A$6:$A$20,1)),INDEX($G$5:$G$8,MATCH(G125,$F$5:$F$8,0)))))</f>
        <v/>
      </c>
      <c r="V125" s="159" t="str">
        <f>סיווג!Z125</f>
        <v/>
      </c>
      <c r="W125" s="8" t="str">
        <f t="shared" si="19"/>
        <v/>
      </c>
      <c r="X125" s="8">
        <v>1</v>
      </c>
      <c r="Y125" s="8" t="str">
        <f t="shared" si="20"/>
        <v/>
      </c>
      <c r="Z125" s="123" t="str">
        <f t="shared" si="17"/>
        <v/>
      </c>
      <c r="AA125" s="192">
        <f t="shared" si="21"/>
        <v>0</v>
      </c>
      <c r="AB125" s="192" t="str">
        <f t="shared" si="16"/>
        <v/>
      </c>
      <c r="AC125" s="192" t="str">
        <f t="shared" si="16"/>
        <v/>
      </c>
      <c r="AD125" s="192">
        <f t="shared" si="22"/>
        <v>0</v>
      </c>
      <c r="BA125" s="192" t="str">
        <f t="shared" si="23"/>
        <v/>
      </c>
      <c r="BB125" s="192" t="str">
        <f t="shared" si="23"/>
        <v/>
      </c>
      <c r="BC125" s="192" t="str">
        <f t="shared" si="23"/>
        <v/>
      </c>
      <c r="BD125" s="192" t="str">
        <f t="shared" si="23"/>
        <v/>
      </c>
    </row>
    <row r="126" spans="2:56" x14ac:dyDescent="0.25">
      <c r="B126" s="7" t="str">
        <f t="shared" si="18"/>
        <v/>
      </c>
      <c r="C126" s="4"/>
      <c r="D126" s="4"/>
      <c r="E126" s="4"/>
      <c r="F126" s="230" t="str">
        <f>IF('תנאי סף'!AO126&lt;&gt;1,"",'תנאי סף'!F126)</f>
        <v/>
      </c>
      <c r="G126" s="158"/>
      <c r="H126" s="5"/>
      <c r="I126" s="6"/>
      <c r="J126" s="5"/>
      <c r="K126" s="6"/>
      <c r="L126" s="5"/>
      <c r="M126" s="6"/>
      <c r="N126" s="6"/>
      <c r="O126" s="158"/>
      <c r="P126" s="177"/>
      <c r="Q126" s="8"/>
      <c r="R126" s="8"/>
      <c r="S126" s="8"/>
      <c r="T126" s="8"/>
      <c r="U126" s="159" t="str">
        <f>IF($F126="","",IF($AA126&lt;&gt;1,$AB$1,MAX(INDEX('הוראת שעה'!$F$6:$F$20,MATCH($Z$2,'הוראת שעה'!$A$6:$A$20,1)),INDEX($G$5:$G$8,MATCH(G126,$F$5:$F$8,0)))))</f>
        <v/>
      </c>
      <c r="V126" s="159" t="str">
        <f>סיווג!Z126</f>
        <v/>
      </c>
      <c r="W126" s="8" t="str">
        <f t="shared" si="19"/>
        <v/>
      </c>
      <c r="X126" s="8">
        <v>1</v>
      </c>
      <c r="Y126" s="8" t="str">
        <f t="shared" si="20"/>
        <v/>
      </c>
      <c r="Z126" s="123" t="str">
        <f t="shared" si="17"/>
        <v/>
      </c>
      <c r="AA126" s="192">
        <f t="shared" si="21"/>
        <v>0</v>
      </c>
      <c r="AB126" s="192" t="str">
        <f t="shared" si="16"/>
        <v/>
      </c>
      <c r="AC126" s="192" t="str">
        <f t="shared" si="16"/>
        <v/>
      </c>
      <c r="AD126" s="192">
        <f t="shared" si="22"/>
        <v>0</v>
      </c>
      <c r="BA126" s="192" t="str">
        <f t="shared" si="23"/>
        <v/>
      </c>
      <c r="BB126" s="192" t="str">
        <f t="shared" si="23"/>
        <v/>
      </c>
      <c r="BC126" s="192" t="str">
        <f t="shared" si="23"/>
        <v/>
      </c>
      <c r="BD126" s="192" t="str">
        <f t="shared" si="23"/>
        <v/>
      </c>
    </row>
    <row r="127" spans="2:56" x14ac:dyDescent="0.25">
      <c r="B127" s="7" t="str">
        <f t="shared" si="18"/>
        <v/>
      </c>
      <c r="C127" s="4"/>
      <c r="D127" s="4"/>
      <c r="E127" s="4"/>
      <c r="F127" s="230" t="str">
        <f>IF('תנאי סף'!AO127&lt;&gt;1,"",'תנאי סף'!F127)</f>
        <v/>
      </c>
      <c r="G127" s="158"/>
      <c r="H127" s="5"/>
      <c r="I127" s="6"/>
      <c r="J127" s="5"/>
      <c r="K127" s="6"/>
      <c r="L127" s="5"/>
      <c r="M127" s="6"/>
      <c r="N127" s="6"/>
      <c r="O127" s="158"/>
      <c r="P127" s="177"/>
      <c r="Q127" s="8"/>
      <c r="R127" s="8"/>
      <c r="S127" s="8"/>
      <c r="T127" s="8"/>
      <c r="U127" s="159" t="str">
        <f>IF($F127="","",IF($AA127&lt;&gt;1,$AB$1,MAX(INDEX('הוראת שעה'!$F$6:$F$20,MATCH($Z$2,'הוראת שעה'!$A$6:$A$20,1)),INDEX($G$5:$G$8,MATCH(G127,$F$5:$F$8,0)))))</f>
        <v/>
      </c>
      <c r="V127" s="159" t="str">
        <f>סיווג!Z127</f>
        <v/>
      </c>
      <c r="W127" s="8" t="str">
        <f t="shared" si="19"/>
        <v/>
      </c>
      <c r="X127" s="8">
        <v>1</v>
      </c>
      <c r="Y127" s="8" t="str">
        <f t="shared" si="20"/>
        <v/>
      </c>
      <c r="Z127" s="123" t="str">
        <f>IF($F127="","",IF(OR($AA127&lt;&gt;1,Y127=$AB$1),$AB$1,IFERROR(Y127/SUM($Y$31:$Y$130),0)))</f>
        <v/>
      </c>
      <c r="AA127" s="192">
        <f t="shared" si="21"/>
        <v>0</v>
      </c>
      <c r="AB127" s="192" t="str">
        <f t="shared" si="16"/>
        <v/>
      </c>
      <c r="AC127" s="192" t="str">
        <f t="shared" si="16"/>
        <v/>
      </c>
      <c r="AD127" s="192">
        <f t="shared" si="22"/>
        <v>0</v>
      </c>
      <c r="BA127" s="192" t="str">
        <f t="shared" si="23"/>
        <v/>
      </c>
      <c r="BB127" s="192" t="str">
        <f t="shared" si="23"/>
        <v/>
      </c>
      <c r="BC127" s="192" t="str">
        <f t="shared" si="23"/>
        <v/>
      </c>
      <c r="BD127" s="192" t="str">
        <f t="shared" si="23"/>
        <v/>
      </c>
    </row>
    <row r="128" spans="2:56" x14ac:dyDescent="0.25">
      <c r="B128" s="7" t="str">
        <f t="shared" si="18"/>
        <v/>
      </c>
      <c r="C128" s="4"/>
      <c r="D128" s="4"/>
      <c r="E128" s="4"/>
      <c r="F128" s="230" t="str">
        <f>IF('תנאי סף'!AO128&lt;&gt;1,"",'תנאי סף'!F128)</f>
        <v/>
      </c>
      <c r="G128" s="158"/>
      <c r="H128" s="5"/>
      <c r="I128" s="6"/>
      <c r="J128" s="5"/>
      <c r="K128" s="6"/>
      <c r="L128" s="5"/>
      <c r="M128" s="6"/>
      <c r="N128" s="6"/>
      <c r="O128" s="158"/>
      <c r="P128" s="177"/>
      <c r="Q128" s="8"/>
      <c r="R128" s="8"/>
      <c r="S128" s="8"/>
      <c r="T128" s="8"/>
      <c r="U128" s="159" t="str">
        <f>IF($F128="","",IF($AA128&lt;&gt;1,$AB$1,MAX(INDEX('הוראת שעה'!$F$6:$F$20,MATCH($Z$2,'הוראת שעה'!$A$6:$A$20,1)),INDEX($G$5:$G$8,MATCH(G128,$F$5:$F$8,0)))))</f>
        <v/>
      </c>
      <c r="V128" s="159" t="str">
        <f>סיווג!Z128</f>
        <v/>
      </c>
      <c r="W128" s="8" t="str">
        <f t="shared" si="19"/>
        <v/>
      </c>
      <c r="X128" s="8">
        <v>1</v>
      </c>
      <c r="Y128" s="8" t="str">
        <f t="shared" si="20"/>
        <v/>
      </c>
      <c r="Z128" s="123" t="str">
        <f>IF($F128="","",IF(OR($AA128&lt;&gt;1,Y128=$AB$1),$AB$1,IFERROR(Y128/SUM($Y$31:$Y$130),0)))</f>
        <v/>
      </c>
      <c r="AA128" s="192">
        <f t="shared" si="21"/>
        <v>0</v>
      </c>
      <c r="AB128" s="192" t="str">
        <f t="shared" si="16"/>
        <v/>
      </c>
      <c r="AC128" s="192" t="str">
        <f t="shared" si="16"/>
        <v/>
      </c>
      <c r="AD128" s="192">
        <f t="shared" si="22"/>
        <v>0</v>
      </c>
      <c r="BA128" s="192" t="str">
        <f t="shared" si="23"/>
        <v/>
      </c>
      <c r="BB128" s="192" t="str">
        <f t="shared" si="23"/>
        <v/>
      </c>
      <c r="BC128" s="192" t="str">
        <f t="shared" si="23"/>
        <v/>
      </c>
      <c r="BD128" s="192" t="str">
        <f t="shared" si="23"/>
        <v/>
      </c>
    </row>
    <row r="129" spans="2:56" x14ac:dyDescent="0.25">
      <c r="B129" s="7" t="str">
        <f t="shared" si="18"/>
        <v/>
      </c>
      <c r="C129" s="4"/>
      <c r="D129" s="4"/>
      <c r="E129" s="4"/>
      <c r="F129" s="230" t="str">
        <f>IF('תנאי סף'!AO129&lt;&gt;1,"",'תנאי סף'!F129)</f>
        <v/>
      </c>
      <c r="G129" s="158"/>
      <c r="H129" s="5"/>
      <c r="I129" s="6"/>
      <c r="J129" s="5"/>
      <c r="K129" s="6"/>
      <c r="L129" s="5"/>
      <c r="M129" s="6"/>
      <c r="N129" s="6"/>
      <c r="O129" s="158"/>
      <c r="P129" s="177"/>
      <c r="Q129" s="8"/>
      <c r="R129" s="8"/>
      <c r="S129" s="8"/>
      <c r="T129" s="8"/>
      <c r="U129" s="159" t="str">
        <f>IF($F129="","",IF($AA129&lt;&gt;1,$AB$1,MAX(INDEX('הוראת שעה'!$F$6:$F$20,MATCH($Z$2,'הוראת שעה'!$A$6:$A$20,1)),INDEX($G$5:$G$8,MATCH(G129,$F$5:$F$8,0)))))</f>
        <v/>
      </c>
      <c r="V129" s="159" t="str">
        <f>סיווג!Z129</f>
        <v/>
      </c>
      <c r="W129" s="8" t="str">
        <f t="shared" si="19"/>
        <v/>
      </c>
      <c r="X129" s="8">
        <v>1</v>
      </c>
      <c r="Y129" s="8" t="str">
        <f t="shared" si="20"/>
        <v/>
      </c>
      <c r="Z129" s="123" t="str">
        <f>IF($F129="","",IF(OR($AA129&lt;&gt;1,Y129=$AB$1),$AB$1,IFERROR(Y129/SUM($Y$31:$Y$130),0)))</f>
        <v/>
      </c>
      <c r="AA129" s="192">
        <f t="shared" si="21"/>
        <v>0</v>
      </c>
      <c r="AB129" s="192" t="str">
        <f t="shared" si="16"/>
        <v/>
      </c>
      <c r="AC129" s="192" t="str">
        <f t="shared" si="16"/>
        <v/>
      </c>
      <c r="AD129" s="192">
        <f t="shared" si="22"/>
        <v>0</v>
      </c>
      <c r="BA129" s="192" t="str">
        <f t="shared" si="23"/>
        <v/>
      </c>
      <c r="BB129" s="192" t="str">
        <f t="shared" si="23"/>
        <v/>
      </c>
      <c r="BC129" s="192" t="str">
        <f t="shared" si="23"/>
        <v/>
      </c>
      <c r="BD129" s="192" t="str">
        <f t="shared" si="23"/>
        <v/>
      </c>
    </row>
    <row r="130" spans="2:56" ht="16.5" thickBot="1" x14ac:dyDescent="0.3">
      <c r="B130" s="7" t="str">
        <f t="shared" si="18"/>
        <v/>
      </c>
      <c r="C130" s="4"/>
      <c r="D130" s="4"/>
      <c r="E130" s="4"/>
      <c r="F130" s="230" t="str">
        <f>IF('תנאי סף'!AO130&lt;&gt;1,"",'תנאי סף'!F130)</f>
        <v/>
      </c>
      <c r="G130" s="158"/>
      <c r="H130" s="5"/>
      <c r="I130" s="6"/>
      <c r="J130" s="5"/>
      <c r="K130" s="6"/>
      <c r="L130" s="5"/>
      <c r="M130" s="6"/>
      <c r="N130" s="6"/>
      <c r="O130" s="158"/>
      <c r="P130" s="177"/>
      <c r="Q130" s="8"/>
      <c r="R130" s="8"/>
      <c r="S130" s="8"/>
      <c r="T130" s="8"/>
      <c r="U130" s="159" t="str">
        <f>IF($F130="","",IF($AA130&lt;&gt;1,$AB$1,MAX(INDEX('הוראת שעה'!$F$6:$F$20,MATCH($Z$2,'הוראת שעה'!$A$6:$A$20,1)),INDEX($G$5:$G$8,MATCH(G130,$F$5:$F$8,0)))))</f>
        <v/>
      </c>
      <c r="V130" s="159" t="str">
        <f>סיווג!Z130</f>
        <v/>
      </c>
      <c r="W130" s="8" t="str">
        <f t="shared" si="19"/>
        <v/>
      </c>
      <c r="X130" s="8">
        <v>1</v>
      </c>
      <c r="Y130" s="8" t="str">
        <f t="shared" si="20"/>
        <v/>
      </c>
      <c r="Z130" s="123" t="str">
        <f>IF($F130="","",IF(OR($AA130&lt;&gt;1,Y130=$AB$1),$AB$1,IFERROR(Y130/SUM($Y$31:$Y$130),0)))</f>
        <v/>
      </c>
      <c r="AA130" s="192">
        <f t="shared" si="21"/>
        <v>0</v>
      </c>
      <c r="AB130" s="192" t="str">
        <f t="shared" si="16"/>
        <v/>
      </c>
      <c r="AC130" s="192" t="str">
        <f t="shared" si="16"/>
        <v/>
      </c>
      <c r="AD130" s="192">
        <f t="shared" si="22"/>
        <v>0</v>
      </c>
      <c r="BA130" s="192" t="str">
        <f t="shared" si="23"/>
        <v/>
      </c>
      <c r="BB130" s="192" t="str">
        <f t="shared" si="23"/>
        <v/>
      </c>
      <c r="BC130" s="192" t="str">
        <f t="shared" si="23"/>
        <v/>
      </c>
      <c r="BD130" s="192" t="str">
        <f t="shared" si="23"/>
        <v/>
      </c>
    </row>
    <row r="131" spans="2:56" ht="19.5" thickBot="1" x14ac:dyDescent="0.35">
      <c r="B131" s="555" t="s">
        <v>77</v>
      </c>
      <c r="C131" s="556"/>
      <c r="D131" s="556"/>
      <c r="E131" s="556"/>
      <c r="F131" s="557"/>
      <c r="G131" s="9">
        <f t="shared" ref="G131:P131" si="24">SUM(G31:G130)</f>
        <v>0</v>
      </c>
      <c r="H131" s="9">
        <f t="shared" si="24"/>
        <v>0</v>
      </c>
      <c r="I131" s="9">
        <f t="shared" si="24"/>
        <v>0</v>
      </c>
      <c r="J131" s="9">
        <f t="shared" si="24"/>
        <v>0</v>
      </c>
      <c r="K131" s="9">
        <f t="shared" si="24"/>
        <v>0</v>
      </c>
      <c r="L131" s="9">
        <f t="shared" si="24"/>
        <v>0</v>
      </c>
      <c r="M131" s="9">
        <f t="shared" si="24"/>
        <v>0</v>
      </c>
      <c r="N131" s="9">
        <f t="shared" si="24"/>
        <v>0</v>
      </c>
      <c r="O131" s="9">
        <f t="shared" si="24"/>
        <v>0</v>
      </c>
      <c r="P131" s="9">
        <f t="shared" si="24"/>
        <v>0</v>
      </c>
      <c r="Q131" s="9">
        <f t="shared" ref="Q131:Z131" si="25">SUM(Q31:Q130)</f>
        <v>0</v>
      </c>
      <c r="R131" s="9">
        <f t="shared" si="25"/>
        <v>0</v>
      </c>
      <c r="S131" s="9">
        <f t="shared" si="25"/>
        <v>0</v>
      </c>
      <c r="T131" s="9">
        <f t="shared" si="25"/>
        <v>0</v>
      </c>
      <c r="U131" s="9">
        <f t="shared" si="25"/>
        <v>132</v>
      </c>
      <c r="V131" s="9">
        <f t="shared" si="25"/>
        <v>28.5</v>
      </c>
      <c r="W131" s="9">
        <f t="shared" si="25"/>
        <v>107.9</v>
      </c>
      <c r="X131" s="9">
        <f t="shared" si="25"/>
        <v>100</v>
      </c>
      <c r="Y131" s="9">
        <f t="shared" si="25"/>
        <v>107.9</v>
      </c>
      <c r="Z131" s="124">
        <f t="shared" si="25"/>
        <v>0.99999999999999978</v>
      </c>
      <c r="AD131" s="193"/>
    </row>
    <row r="132" spans="2:56" x14ac:dyDescent="0.25">
      <c r="AD132" s="193"/>
    </row>
    <row r="133" spans="2:56" x14ac:dyDescent="0.25">
      <c r="AD133" s="193"/>
    </row>
    <row r="134" spans="2:56" x14ac:dyDescent="0.25">
      <c r="AD134" s="193"/>
    </row>
    <row r="135" spans="2:56" x14ac:dyDescent="0.25">
      <c r="AD135" s="193"/>
    </row>
    <row r="136" spans="2:56" x14ac:dyDescent="0.25">
      <c r="AD136" s="193"/>
    </row>
    <row r="137" spans="2:56" x14ac:dyDescent="0.25">
      <c r="AD137" s="193"/>
    </row>
    <row r="138" spans="2:56" x14ac:dyDescent="0.25">
      <c r="AD138" s="193"/>
    </row>
    <row r="139" spans="2:56" x14ac:dyDescent="0.25">
      <c r="AD139" s="193"/>
    </row>
    <row r="140" spans="2:56" x14ac:dyDescent="0.25">
      <c r="AD140" s="193"/>
    </row>
    <row r="141" spans="2:56" x14ac:dyDescent="0.25">
      <c r="AD141" s="193"/>
    </row>
    <row r="142" spans="2:56" x14ac:dyDescent="0.25">
      <c r="AD142" s="193"/>
    </row>
    <row r="143" spans="2:56" x14ac:dyDescent="0.25">
      <c r="AD143" s="193"/>
    </row>
    <row r="144" spans="2:56"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fZCqZybNC4gAV2paeoukFaoty/kPt19kHnmTQi0CKL5BBY9uej8r/j+oeNWOSCZwAsAyInUHdtRRzOMA2QzT2w==" saltValue="SS1yXdf+IAuFBfK9tlUJew==" spinCount="100000" sheet="1" scenarios="1" formatCells="0" formatColumns="0" formatRows="0" autoFilter="0"/>
  <mergeCells count="17">
    <mergeCell ref="Z29:Z30"/>
    <mergeCell ref="B1:Z1"/>
    <mergeCell ref="B29:B30"/>
    <mergeCell ref="C29:C30"/>
    <mergeCell ref="D29:D30"/>
    <mergeCell ref="E29:E30"/>
    <mergeCell ref="F29:F30"/>
    <mergeCell ref="U29:U30"/>
    <mergeCell ref="V29:V30"/>
    <mergeCell ref="W29:W30"/>
    <mergeCell ref="X29:X30"/>
    <mergeCell ref="T29:T30"/>
    <mergeCell ref="B131:F131"/>
    <mergeCell ref="Q29:Q30"/>
    <mergeCell ref="R29:R30"/>
    <mergeCell ref="S29:S30"/>
    <mergeCell ref="Y29:Y30"/>
  </mergeCells>
  <conditionalFormatting sqref="B31:Z130">
    <cfRule type="expression" dxfId="141" priority="9" stopIfTrue="1">
      <formula>AND($F31="",B31&lt;&gt;"")</formula>
    </cfRule>
    <cfRule type="expression" dxfId="140" priority="10">
      <formula>$F31=""</formula>
    </cfRule>
    <cfRule type="expression" dxfId="139" priority="11">
      <formula>B$30&lt;&gt;""</formula>
    </cfRule>
  </conditionalFormatting>
  <dataValidations count="10">
    <dataValidation type="decimal" operator="notBetween" allowBlank="1" showInputMessage="1" showErrorMessage="1" errorTitle="נתון שגוי." error="ניתן להזין רק מספר" sqref="H31" xr:uid="{00000000-0002-0000-0900-000000000000}">
      <formula1>-999999999</formula1>
      <formula2>-999999998</formula2>
    </dataValidation>
    <dataValidation type="list" allowBlank="1" showInputMessage="1" showErrorMessage="1" sqref="H30:P30" xr:uid="{00000000-0002-0000-0900-000001000000}">
      <formula1>OFFSET($AE$1,0,0,1,COUNTA($AE$1:$AZ$1))</formula1>
    </dataValidation>
    <dataValidation type="list" allowBlank="1" showInputMessage="1" showErrorMessage="1" sqref="G30" xr:uid="{00000000-0002-0000-0900-000002000000}">
      <formula1>$AE$1:$AZ$1</formula1>
    </dataValidation>
    <dataValidation type="whole" operator="notBetween" allowBlank="1" showInputMessage="1" showErrorMessage="1" errorTitle="נתון שגוי." error="ניתן להזין רק מספר שלם" sqref="I31:I130" xr:uid="{00000000-0002-0000-0900-000003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9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0900-000005000000}">
      <formula1>0</formula1>
    </dataValidation>
    <dataValidation type="decimal" operator="greaterThan" allowBlank="1" showInputMessage="1" showErrorMessage="1" errorTitle="נתון שגוי." error="ניתן להזין רק מספר גדול מ-0" sqref="L31:L130" xr:uid="{00000000-0002-0000-0900-000006000000}">
      <formula1>0</formula1>
    </dataValidation>
    <dataValidation type="whole" operator="greaterThan" allowBlank="1" showInputMessage="1" showErrorMessage="1" errorTitle="נתון שגוי." error="ניתן להזין רק מספר שלם גדול מ-0" sqref="M31:M130" xr:uid="{00000000-0002-0000-0900-000007000000}">
      <formula1>0</formula1>
    </dataValidation>
    <dataValidation type="list" allowBlank="1" showInputMessage="1" showErrorMessage="1" errorTitle="נתון שגוי." error="ניתן להזין רק 0 או 1._x000a_0 = לא עומד בתנאי._x000a_1 = עומד בתנאי." sqref="P31:P130" xr:uid="{00000000-0002-0000-0900-000008000000}">
      <formula1>$AB31:$AC31</formula1>
    </dataValidation>
    <dataValidation type="list" allowBlank="1" showInputMessage="1" showErrorMessage="1" errorTitle="נתון לא מרשימה" error="יש לבחור מתוך הרשימה הסגורה בלבד" sqref="G31:G130 O31:O130" xr:uid="{00000000-0002-0000-0900-000009000000}">
      <formula1>OFFSET($BA31,0,0,1,COUNTA($BA31:$BJ31))</formula1>
    </dataValidation>
  </dataValidations>
  <printOptions horizontalCentered="1"/>
  <pageMargins left="0.25" right="0.27" top="0.74803149606299213" bottom="0.38" header="0.31496062992125984" footer="0.17"/>
  <pageSetup paperSize="9" scale="73"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2" operator="containsText" id="{7926160D-E2B9-4B05-9147-E42C95D2E605}">
            <xm:f>NOT(ISERROR(SEARCH($AB$1,B31)))</xm:f>
            <xm:f>$AB$1</xm:f>
            <x14:dxf>
              <fill>
                <patternFill>
                  <bgColor rgb="FFFF0000"/>
                </patternFill>
              </fill>
            </x14:dxf>
          </x14:cfRule>
          <xm:sqref>B31:Z130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Worksheet______28">
    <tabColor theme="4" tint="-0.249977111117893"/>
    <pageSetUpPr fitToPage="1"/>
  </sheetPr>
  <dimension ref="A1:GT180"/>
  <sheetViews>
    <sheetView rightToLeft="1" view="pageBreakPreview" topLeftCell="B1" zoomScale="90" zoomScaleNormal="100" zoomScaleSheetLayoutView="90" workbookViewId="0">
      <selection activeCell="B1" sqref="B1:AB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7.85546875" style="193" bestFit="1" customWidth="1"/>
    <col min="7" max="7" width="4" style="193" hidden="1" customWidth="1"/>
    <col min="8" max="8" width="4.42578125" style="193" hidden="1" customWidth="1"/>
    <col min="9" max="9" width="58.140625" style="193" customWidth="1"/>
    <col min="10" max="10" width="21.28515625" style="193" customWidth="1"/>
    <col min="11" max="21" width="21.42578125" style="193" hidden="1" customWidth="1"/>
    <col min="22" max="22" width="17.5703125" style="193" hidden="1" customWidth="1"/>
    <col min="23" max="23" width="14" style="193" customWidth="1"/>
    <col min="24" max="27" width="21.42578125" style="193" hidden="1" customWidth="1"/>
    <col min="28" max="28" width="18.140625" style="193" customWidth="1"/>
    <col min="29" max="31" width="9.140625" style="192" hidden="1" customWidth="1"/>
    <col min="32" max="32" width="11.85546875" style="192" hidden="1" customWidth="1"/>
    <col min="33" max="34" width="9.140625" style="192" hidden="1" customWidth="1"/>
    <col min="35" max="35" width="10.140625" style="192" hidden="1" customWidth="1"/>
    <col min="36" max="36" width="16.7109375" style="192" hidden="1" customWidth="1"/>
    <col min="37" max="37" width="8.85546875" style="192" hidden="1" customWidth="1"/>
    <col min="38" max="38" width="11.85546875" style="192" hidden="1" customWidth="1"/>
    <col min="39" max="39" width="17.7109375" style="192" hidden="1" customWidth="1"/>
    <col min="40" max="50" width="9.140625" style="192" hidden="1" customWidth="1"/>
    <col min="51" max="51" width="10.7109375" style="192" hidden="1" customWidth="1"/>
    <col min="52" max="64" width="9.140625" style="192" hidden="1" customWidth="1"/>
    <col min="65" max="202" width="9.140625" style="193" hidden="1" customWidth="1"/>
    <col min="203" max="16384" width="9.140625" style="193"/>
  </cols>
  <sheetData>
    <row r="1" spans="2:54" ht="21" customHeight="1" thickBot="1" x14ac:dyDescent="0.3">
      <c r="B1" s="534" t="str">
        <f ca="1">MID(CELL("filename",AE2),FIND("]",CELL("filename",AE2),1)+1,99)</f>
        <v>מיקום גיאוגרפי</v>
      </c>
      <c r="C1" s="536"/>
      <c r="D1" s="536"/>
      <c r="E1" s="536"/>
      <c r="F1" s="536"/>
      <c r="G1" s="536"/>
      <c r="H1" s="536"/>
      <c r="I1" s="536"/>
      <c r="J1" s="536"/>
      <c r="K1" s="536"/>
      <c r="L1" s="536"/>
      <c r="M1" s="536"/>
      <c r="N1" s="536"/>
      <c r="O1" s="536"/>
      <c r="P1" s="536"/>
      <c r="Q1" s="536"/>
      <c r="R1" s="536"/>
      <c r="S1" s="536"/>
      <c r="T1" s="536"/>
      <c r="U1" s="536"/>
      <c r="V1" s="536"/>
      <c r="W1" s="536"/>
      <c r="X1" s="536"/>
      <c r="Y1" s="536"/>
      <c r="Z1" s="536"/>
      <c r="AA1" s="536"/>
      <c r="AB1" s="536"/>
      <c r="AD1" s="192" t="s">
        <v>115</v>
      </c>
      <c r="AF1" s="234" t="s">
        <v>116</v>
      </c>
      <c r="AG1" s="235" t="s">
        <v>117</v>
      </c>
      <c r="AH1" s="235" t="s">
        <v>118</v>
      </c>
      <c r="AI1" s="235" t="s">
        <v>119</v>
      </c>
      <c r="AJ1" s="235" t="s">
        <v>120</v>
      </c>
      <c r="AK1" s="235" t="s">
        <v>121</v>
      </c>
      <c r="AL1" s="235" t="s">
        <v>122</v>
      </c>
      <c r="AM1" s="236" t="s">
        <v>123</v>
      </c>
      <c r="AN1" s="235" t="s">
        <v>124</v>
      </c>
      <c r="AO1" s="236" t="s">
        <v>125</v>
      </c>
      <c r="AP1" s="235"/>
      <c r="AQ1" s="235"/>
      <c r="AR1" s="235"/>
      <c r="AS1" s="235"/>
      <c r="AT1" s="235"/>
      <c r="AU1" s="235"/>
      <c r="AV1" s="235"/>
      <c r="AW1" s="235"/>
      <c r="AX1" s="235"/>
      <c r="AY1" s="235"/>
      <c r="AZ1" s="235"/>
      <c r="BA1" s="235"/>
      <c r="BB1" s="236"/>
    </row>
    <row r="2" spans="2:54" ht="20.25" customHeight="1" x14ac:dyDescent="0.25">
      <c r="W2" s="198" t="str">
        <f>'פרמטרים לקריטריונים'!$B$4</f>
        <v>שנת תקציב</v>
      </c>
      <c r="AA2" s="198" t="str">
        <f>'פרמטרים לקריטריונים'!$B$4</f>
        <v>שנת תקציב</v>
      </c>
      <c r="AB2" s="1">
        <f>'פרמטרים לקריטריונים'!$C$4</f>
        <v>2025</v>
      </c>
      <c r="AG2" s="192">
        <f>IF(ISNA(MATCH(I31,$AD$30:$AE$30,0)),0,1)</f>
        <v>0</v>
      </c>
      <c r="AH2" s="192">
        <f>IF(IFERROR(I31*1,"bad")="bad",0,1)</f>
        <v>0</v>
      </c>
      <c r="AI2" s="192">
        <f>IF(IFERROR(IF(I31=TRUNC(I31),1,"bad"),"bad")="bad",0,1)</f>
        <v>0</v>
      </c>
      <c r="AJ2" s="192">
        <f>IF(AND(IF(IFERROR(I31*1,"bad")="bad",0,1)=1,I31&gt;=0),1,0)</f>
        <v>0</v>
      </c>
      <c r="AK2" s="192">
        <f>IF(AND(IF(IFERROR(IF(I31=TRUNC(I31),1,"bad"),"bad")="bad",0,1)=1,I31&gt;=0),1,0)</f>
        <v>0</v>
      </c>
      <c r="AL2" s="192">
        <f>IF(AND(IF(IFERROR(I31*1,"bad")="bad",0,1)=1,I31&gt;0),1,0)</f>
        <v>0</v>
      </c>
      <c r="AM2" s="192">
        <f>IF(AND(IF(IFERROR(IF(I31=TRUNC(I31),1,"bad"),"bad")="bad",0,1)=1,I31&gt;0),1,0)</f>
        <v>0</v>
      </c>
      <c r="AN2" s="192">
        <v>1</v>
      </c>
      <c r="AO2" s="192">
        <f>IF(IFERROR(HLOOKUP(I31,$BC$30:$BM$30,1,0),"bad")="bad",0,1)</f>
        <v>1</v>
      </c>
    </row>
    <row r="3" spans="2:54" ht="38.25" thickBot="1" x14ac:dyDescent="0.3">
      <c r="W3" s="199" t="str">
        <f>'פרמטרים לקריטריונים'!$B$5</f>
        <v>תקציב התמיכה</v>
      </c>
      <c r="AA3" s="199" t="str">
        <f>'פרמטרים לקריטריונים'!$B$5</f>
        <v>תקציב התמיכה</v>
      </c>
      <c r="AB3" s="2">
        <f>'פרמטרים לקריטריונים'!$C$5</f>
        <v>3076367</v>
      </c>
      <c r="AF3" s="192" t="s">
        <v>126</v>
      </c>
      <c r="AG3" s="192">
        <v>1</v>
      </c>
      <c r="AH3" s="192">
        <v>2</v>
      </c>
      <c r="AI3" s="192">
        <v>3</v>
      </c>
      <c r="AJ3" s="192">
        <v>4</v>
      </c>
      <c r="AK3" s="192">
        <v>5</v>
      </c>
      <c r="AL3" s="192">
        <v>6</v>
      </c>
      <c r="AM3" s="192">
        <v>7</v>
      </c>
      <c r="AN3" s="192">
        <v>8</v>
      </c>
      <c r="AO3" s="192">
        <v>9</v>
      </c>
    </row>
    <row r="4" spans="2:54" ht="24" customHeight="1" thickBot="1" x14ac:dyDescent="0.3">
      <c r="I4" s="406" t="str">
        <f>'פרמטרים לקריטריונים'!B141</f>
        <v>מקום פעילות המרכזי</v>
      </c>
      <c r="J4" s="406" t="str">
        <f>'פרמטרים לקריטריונים'!C141</f>
        <v>ניקוד</v>
      </c>
      <c r="AF4" s="192" t="s">
        <v>128</v>
      </c>
      <c r="AG4" s="234" t="s">
        <v>94</v>
      </c>
      <c r="AH4" s="342" t="s">
        <v>95</v>
      </c>
      <c r="AI4" s="235" t="s">
        <v>96</v>
      </c>
      <c r="AJ4" s="235" t="s">
        <v>97</v>
      </c>
      <c r="AK4" s="235"/>
      <c r="AL4" s="235"/>
      <c r="AM4" s="235"/>
      <c r="AN4" s="235"/>
      <c r="AO4" s="235"/>
      <c r="AP4" s="236"/>
    </row>
    <row r="5" spans="2:54" x14ac:dyDescent="0.25">
      <c r="I5" s="407" t="str">
        <f>'פרמטרים לקריטריונים'!B142</f>
        <v>תל אביב והסביבה (עד 30 קילומטר מתל-אביב)</v>
      </c>
      <c r="J5" s="411">
        <f>'פרמטרים לקריטריונים'!C142</f>
        <v>0</v>
      </c>
    </row>
    <row r="6" spans="2:54" x14ac:dyDescent="0.25">
      <c r="I6" s="407" t="str">
        <f>'פרמטרים לקריטריונים'!B143</f>
        <v>מעל 30 ועד 60 קילומטר מתל-אביב (נתניה חדרה, יבנה, גדרה)</v>
      </c>
      <c r="J6" s="411">
        <f>'פרמטרים לקריטריונים'!C143</f>
        <v>1</v>
      </c>
    </row>
    <row r="7" spans="2:54" x14ac:dyDescent="0.25">
      <c r="I7" s="407" t="str">
        <f>'פרמטרים לקריטריונים'!B144</f>
        <v>מעל 60 ועד 100 קילומטר מתל-אביב (ירושלים, חיפה)</v>
      </c>
      <c r="J7" s="411">
        <f>'פרמטרים לקריטריונים'!C144</f>
        <v>1.5</v>
      </c>
    </row>
    <row r="8" spans="2:54" x14ac:dyDescent="0.25">
      <c r="I8" s="407" t="str">
        <f>'פרמטרים לקריטריונים'!B145</f>
        <v>מעל 100 קילומטר מתל-אביב (עכו, באר שבע, טבריה)</v>
      </c>
      <c r="J8" s="411">
        <f>'פרמטרים לקריטריונים'!C145</f>
        <v>3</v>
      </c>
    </row>
    <row r="9" spans="2:54" x14ac:dyDescent="0.25">
      <c r="I9" s="407" t="str">
        <f>'פרמטרים לקריטריונים'!B146</f>
        <v>בפריפריה</v>
      </c>
      <c r="J9" s="411">
        <f>'פרמטרים לקריטריונים'!C146</f>
        <v>2</v>
      </c>
    </row>
    <row r="10" spans="2:54" hidden="1" x14ac:dyDescent="0.25"/>
    <row r="11" spans="2:54" hidden="1" x14ac:dyDescent="0.25"/>
    <row r="12" spans="2:54" hidden="1" x14ac:dyDescent="0.25"/>
    <row r="13" spans="2:54" hidden="1" x14ac:dyDescent="0.25"/>
    <row r="14" spans="2:54" hidden="1" x14ac:dyDescent="0.25"/>
    <row r="15" spans="2:54" hidden="1" x14ac:dyDescent="0.25"/>
    <row r="16" spans="2:54" hidden="1" x14ac:dyDescent="0.25"/>
    <row r="17" spans="1:58" hidden="1" x14ac:dyDescent="0.25"/>
    <row r="18" spans="1:58" hidden="1" x14ac:dyDescent="0.25"/>
    <row r="19" spans="1:58" hidden="1" x14ac:dyDescent="0.25"/>
    <row r="20" spans="1:58" hidden="1" x14ac:dyDescent="0.25"/>
    <row r="21" spans="1:58" ht="9.75" hidden="1" customHeight="1" x14ac:dyDescent="0.25"/>
    <row r="22" spans="1:58" hidden="1" x14ac:dyDescent="0.25"/>
    <row r="23" spans="1:58" hidden="1" x14ac:dyDescent="0.25">
      <c r="F23" s="410" t="str">
        <f>'פרמטרים לקריטריונים'!$D$31</f>
        <v>החלת מקדם תלוי משתנה</v>
      </c>
      <c r="G23" s="410"/>
      <c r="H23" s="410"/>
      <c r="I23" s="411">
        <f ca="1">VLOOKUP(B1,'פרמטרים לקריטריונים'!$B$32:$D$46,3,0)</f>
        <v>0</v>
      </c>
    </row>
    <row r="24" spans="1:58" hidden="1" x14ac:dyDescent="0.25"/>
    <row r="25" spans="1:58" hidden="1" x14ac:dyDescent="0.25"/>
    <row r="26" spans="1:58" hidden="1" x14ac:dyDescent="0.25">
      <c r="F26" s="3"/>
      <c r="G26" s="3"/>
      <c r="H26" s="3"/>
      <c r="I26" s="3"/>
      <c r="J26" s="3"/>
      <c r="K26" s="3"/>
      <c r="L26" s="3"/>
      <c r="M26" s="3"/>
      <c r="N26" s="3"/>
      <c r="O26" s="3"/>
      <c r="P26" s="3"/>
      <c r="Q26" s="3"/>
      <c r="R26" s="3"/>
      <c r="S26" s="3"/>
      <c r="T26" s="3"/>
      <c r="U26" s="3"/>
      <c r="V26" s="3"/>
      <c r="W26" s="3"/>
      <c r="X26" s="3"/>
      <c r="Y26" s="3"/>
      <c r="Z26" s="3"/>
      <c r="AA26" s="3"/>
    </row>
    <row r="27" spans="1:58" hidden="1" x14ac:dyDescent="0.25">
      <c r="B27" s="214"/>
      <c r="C27" s="214"/>
      <c r="D27" s="214"/>
      <c r="E27" s="214"/>
      <c r="F27" s="214"/>
      <c r="G27" s="214"/>
      <c r="H27" s="214"/>
      <c r="I27" s="3"/>
      <c r="J27" s="3"/>
      <c r="K27" s="3"/>
      <c r="L27" s="3"/>
      <c r="M27" s="3"/>
      <c r="N27" s="3"/>
      <c r="O27" s="3"/>
      <c r="P27" s="3"/>
      <c r="Q27" s="3"/>
      <c r="R27" s="3"/>
      <c r="S27" s="3"/>
      <c r="T27" s="3"/>
      <c r="U27" s="3"/>
      <c r="V27" s="3"/>
      <c r="W27" s="3"/>
      <c r="X27" s="3"/>
      <c r="Y27" s="3"/>
      <c r="Z27" s="3"/>
      <c r="AA27" s="3"/>
      <c r="AB27" s="3"/>
    </row>
    <row r="28" spans="1:58" ht="16.5" thickBot="1" x14ac:dyDescent="0.3">
      <c r="B28" s="214"/>
      <c r="C28" s="214"/>
      <c r="D28" s="214"/>
      <c r="E28" s="214"/>
      <c r="F28" s="214"/>
      <c r="G28" s="214"/>
      <c r="H28" s="214"/>
      <c r="I28" s="3"/>
      <c r="J28" s="3"/>
      <c r="K28" s="3"/>
      <c r="L28" s="3"/>
      <c r="M28" s="3"/>
      <c r="N28" s="3"/>
      <c r="O28" s="3"/>
      <c r="P28" s="3"/>
      <c r="Q28" s="3"/>
      <c r="R28" s="3"/>
      <c r="S28" s="3"/>
      <c r="T28" s="3"/>
      <c r="U28" s="3"/>
      <c r="V28" s="3"/>
      <c r="W28" s="3"/>
      <c r="X28" s="3"/>
      <c r="Y28" s="3"/>
      <c r="Z28" s="3"/>
      <c r="AA28" s="3"/>
      <c r="AC28" s="167"/>
      <c r="AF28" s="192">
        <f>MATCH(I$30,$AG$1:$AO$1,0)</f>
        <v>9</v>
      </c>
      <c r="AG28" s="192">
        <f t="shared" ref="AG28:AX28" si="0">MATCH(J$30,$AG$1:$AO$1,0)</f>
        <v>1</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c r="AW28" s="192" t="e">
        <f t="shared" si="0"/>
        <v>#N/A</v>
      </c>
      <c r="AX28" s="192" t="e">
        <f t="shared" si="0"/>
        <v>#N/A</v>
      </c>
    </row>
    <row r="29" spans="1:58" ht="30" customHeight="1" thickBot="1" x14ac:dyDescent="0.3">
      <c r="A29" s="221">
        <v>100</v>
      </c>
      <c r="B29" s="544" t="s">
        <v>132</v>
      </c>
      <c r="C29" s="546">
        <f>COLUMN()</f>
        <v>3</v>
      </c>
      <c r="D29" s="546">
        <f>COLUMN()</f>
        <v>4</v>
      </c>
      <c r="E29" s="546">
        <f>COLUMN()</f>
        <v>5</v>
      </c>
      <c r="F29" s="542" t="s">
        <v>133</v>
      </c>
      <c r="G29" s="565" t="s">
        <v>949</v>
      </c>
      <c r="H29" s="565" t="s">
        <v>950</v>
      </c>
      <c r="I29" s="239" t="s">
        <v>212</v>
      </c>
      <c r="J29" s="239" t="s">
        <v>213</v>
      </c>
      <c r="K29" s="232" t="s">
        <v>201</v>
      </c>
      <c r="L29" s="232" t="s">
        <v>202</v>
      </c>
      <c r="M29" s="232" t="s">
        <v>203</v>
      </c>
      <c r="N29" s="232" t="s">
        <v>204</v>
      </c>
      <c r="O29" s="232" t="s">
        <v>205</v>
      </c>
      <c r="P29" s="232" t="s">
        <v>206</v>
      </c>
      <c r="Q29" s="232" t="s">
        <v>207</v>
      </c>
      <c r="R29" s="232" t="s">
        <v>117</v>
      </c>
      <c r="S29" s="546">
        <f>COLUMN()</f>
        <v>19</v>
      </c>
      <c r="T29" s="546">
        <f>COLUMN()</f>
        <v>20</v>
      </c>
      <c r="U29" s="546">
        <f>COLUMN()</f>
        <v>21</v>
      </c>
      <c r="V29" s="546">
        <f>COLUMN()</f>
        <v>22</v>
      </c>
      <c r="W29" s="542" t="s">
        <v>197</v>
      </c>
      <c r="X29" s="546" t="s">
        <v>190</v>
      </c>
      <c r="Y29" s="546" t="s">
        <v>191</v>
      </c>
      <c r="Z29" s="546" t="s">
        <v>190</v>
      </c>
      <c r="AA29" s="546" t="s">
        <v>192</v>
      </c>
      <c r="AB29" s="553" t="s">
        <v>199</v>
      </c>
      <c r="AC29" s="224" t="s">
        <v>159</v>
      </c>
      <c r="AF29" s="192" t="str">
        <f>"בקרת "&amp;I29</f>
        <v>בקרת מרחק מקום הפעילות המרכזי מתל אביב</v>
      </c>
      <c r="AG29" s="192" t="str">
        <f t="shared" ref="AG29:AX29" si="1">"בקרת "&amp;J29</f>
        <v>בקרת מקום הפעילות המרכזי בפריפריה</v>
      </c>
      <c r="AH29" s="192" t="str">
        <f t="shared" si="1"/>
        <v>בקרת טור הזנת מספר שלם</v>
      </c>
      <c r="AI29" s="192" t="str">
        <f t="shared" si="1"/>
        <v>בקרת טור הזנת מספר שאינו שלילי</v>
      </c>
      <c r="AJ29" s="192" t="str">
        <f t="shared" si="1"/>
        <v>בקרת טור הזנת  מספר שלם שאינו שלילי</v>
      </c>
      <c r="AK29" s="192" t="str">
        <f t="shared" si="1"/>
        <v>בקרת טור הזנת מספר חיובי</v>
      </c>
      <c r="AL29" s="192" t="str">
        <f t="shared" si="1"/>
        <v>בקרת טור הזנת מספר שלם חיובי</v>
      </c>
      <c r="AM29" s="192" t="str">
        <f t="shared" si="1"/>
        <v>בקרת טור הזנת טקסט</v>
      </c>
      <c r="AN29" s="192" t="str">
        <f t="shared" si="1"/>
        <v>בקרת טור הזנת טקסט מרשימה סגורה</v>
      </c>
      <c r="AO29" s="192" t="str">
        <f t="shared" si="1"/>
        <v>בקרת 0/1</v>
      </c>
      <c r="AP29" s="192" t="str">
        <f t="shared" si="1"/>
        <v>בקרת 19</v>
      </c>
      <c r="AQ29" s="192" t="str">
        <f t="shared" si="1"/>
        <v>בקרת 20</v>
      </c>
      <c r="AR29" s="192" t="str">
        <f t="shared" si="1"/>
        <v>בקרת 21</v>
      </c>
      <c r="AS29" s="192" t="str">
        <f t="shared" si="1"/>
        <v>בקרת 22</v>
      </c>
      <c r="AT29" s="192" t="str">
        <f t="shared" si="1"/>
        <v>בקרת סה"כ ניקוד</v>
      </c>
      <c r="AU29" s="192" t="str">
        <f t="shared" si="1"/>
        <v>בקרת נתון למכפיל1</v>
      </c>
      <c r="AV29" s="192" t="str">
        <f t="shared" si="1"/>
        <v>בקרת ניקוד לאחר מכפיל1</v>
      </c>
      <c r="AW29" s="192" t="str">
        <f t="shared" si="1"/>
        <v>בקרת נתון למכפיל1</v>
      </c>
      <c r="AX29" s="192" t="str">
        <f t="shared" si="1"/>
        <v>בקרת ניקוד לאחר מכפיל2</v>
      </c>
      <c r="BC29" s="192" t="s">
        <v>128</v>
      </c>
    </row>
    <row r="30" spans="1:58" ht="23.25" customHeight="1" thickBot="1" x14ac:dyDescent="0.3">
      <c r="A30" s="225"/>
      <c r="B30" s="545"/>
      <c r="C30" s="547"/>
      <c r="D30" s="547"/>
      <c r="E30" s="547"/>
      <c r="F30" s="543"/>
      <c r="G30" s="566"/>
      <c r="H30" s="566"/>
      <c r="I30" s="240" t="s">
        <v>125</v>
      </c>
      <c r="J30" s="240" t="s">
        <v>117</v>
      </c>
      <c r="K30" s="233"/>
      <c r="L30" s="233"/>
      <c r="M30" s="233"/>
      <c r="N30" s="233"/>
      <c r="O30" s="233"/>
      <c r="P30" s="233"/>
      <c r="Q30" s="233"/>
      <c r="R30" s="233"/>
      <c r="S30" s="547"/>
      <c r="T30" s="547"/>
      <c r="U30" s="547"/>
      <c r="V30" s="547"/>
      <c r="W30" s="543"/>
      <c r="X30" s="547"/>
      <c r="Y30" s="547"/>
      <c r="Z30" s="547"/>
      <c r="AA30" s="547"/>
      <c r="AB30" s="554"/>
      <c r="AD30" s="192">
        <v>0</v>
      </c>
      <c r="AE30" s="192">
        <v>1</v>
      </c>
      <c r="AF30" s="192" t="str">
        <f>I30</f>
        <v>טקסט מרשימה סגורה</v>
      </c>
      <c r="AG30" s="192" t="str">
        <f t="shared" ref="AG30:AX30" si="2">J30</f>
        <v>0/1</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AW30" s="192">
        <f t="shared" si="2"/>
        <v>0</v>
      </c>
      <c r="AX30" s="192">
        <f t="shared" si="2"/>
        <v>0</v>
      </c>
      <c r="BC30" s="192" t="str">
        <f>AG$4</f>
        <v>תל אביב והסביבה (עד 30 קילומטר מתל-אביב)</v>
      </c>
      <c r="BD30" s="192" t="str">
        <f>AH$4</f>
        <v>מעל 30 ועד 60 קילומטר מתל-אביב (נתניה חדרה, יבנה, גדרה)</v>
      </c>
      <c r="BE30" s="192" t="str">
        <f>AI$4</f>
        <v>מעל 60 ועד 100 קילומטר מתל-אביב (ירושלים, חיפה)</v>
      </c>
      <c r="BF30" s="192" t="str">
        <f>AJ$4</f>
        <v>מעל 100 קילומטר מתל-אביב (עכו, באר שבע, טבריה)</v>
      </c>
    </row>
    <row r="31" spans="1:58" ht="23.25" customHeight="1" x14ac:dyDescent="0.25">
      <c r="B31" s="160">
        <f>IF(F31="","",ROW()-30)</f>
        <v>1</v>
      </c>
      <c r="C31" s="157"/>
      <c r="D31" s="157"/>
      <c r="E31" s="157"/>
      <c r="F31" s="241" t="str">
        <f>IF('תנאי סף'!AO31&lt;&gt;1,"",'תנאי סף'!F31)</f>
        <v>אנסמבל פרץ אליהו</v>
      </c>
      <c r="G31" s="491"/>
      <c r="H31" s="159" t="str">
        <f>IF($F31="","",IFERROR(VLOOKUP(G31,הלמס!A:G,4,0),""))</f>
        <v/>
      </c>
      <c r="I31" s="158" t="s">
        <v>97</v>
      </c>
      <c r="J31" s="177">
        <v>1</v>
      </c>
      <c r="K31" s="158"/>
      <c r="L31" s="176"/>
      <c r="M31" s="158"/>
      <c r="N31" s="176"/>
      <c r="O31" s="158"/>
      <c r="P31" s="158"/>
      <c r="Q31" s="158"/>
      <c r="R31" s="177"/>
      <c r="S31" s="159"/>
      <c r="T31" s="159"/>
      <c r="U31" s="159"/>
      <c r="V31" s="159"/>
      <c r="W31" s="159">
        <f t="shared" ref="W31:W62" si="3">IF($F31="","",IF($AC31&lt;&gt;1,$AD$1,MAX($J$9*J31,INDEX($J$5:$J$8,MATCH(I31,$I$5:$I$8,0)))))</f>
        <v>3</v>
      </c>
      <c r="X31" s="159">
        <v>1</v>
      </c>
      <c r="Y31" s="159">
        <f>IF($F31="","",IF($AC31&lt;&gt;1,$AD$1,IFERROR(W31*X31,$AD$1)))</f>
        <v>3</v>
      </c>
      <c r="Z31" s="159">
        <v>1</v>
      </c>
      <c r="AA31" s="159">
        <f>IF($F31="","",IF($AC31&lt;&gt;1,$AD$1,IFERROR(Y31*Z31,$AD$1)))</f>
        <v>3</v>
      </c>
      <c r="AB31" s="343">
        <f>IF($F31="","",IF(OR($AC31&lt;&gt;1,AA31=$AD$1),$AD$1,IFERROR(AA31/SUM($AA$31:$AA$130),0)))</f>
        <v>0.10344827586206896</v>
      </c>
      <c r="AC31" s="192">
        <f>IF(SUM(AF31:AX31)=COUNT(AF31:AX31),1,0)</f>
        <v>1</v>
      </c>
      <c r="AD31" s="192">
        <f>IF($F31="","",AD$30)</f>
        <v>0</v>
      </c>
      <c r="AE31" s="192">
        <f>IF($F31="","",AE$30)</f>
        <v>1</v>
      </c>
      <c r="AF31" s="192">
        <f>IF(I$30="",1,IF(I31="",0,IFERROR(CHOOSE(AF$28,IF(ISNA(MATCH(I31,$AD$30:$AE$30,0)),0,1),IF(ISNUMBER(I31),1,0),IF(I31=TRUNC(I31),1,0),IF(AND(I31*1=I31,I31&gt;=0),1,0),IF(AND(I31=TRUNC(I31),I31&gt;=0),1,0),IF(AND(I31*1=I31,I31&gt;0),1,0),IF(AND(I31=TRUNC(I31),I31&gt;0),1,0),1,IF(ISNA(HLOOKUP(I31,$AG$4:$AP$4,1,0)),0,1)),0)))</f>
        <v>1</v>
      </c>
      <c r="AG31" s="192">
        <f t="shared" ref="AG31:AG45" si="4">IF(J$30="",1,IF(J31="",0,IFERROR(CHOOSE(AG$28,IF(ISNA(MATCH(J31,$AD$30:$AE$30,0)),0,1),IF(ISNUMBER(J31),1,0),IF(J31=TRUNC(J31),1,0),IF(AND(J31*1=J31,J31&gt;=0),1,0),IF(AND(J31=TRUNC(J31),J31&gt;=0),1,0),IF(AND(J31*1=J31,J31&gt;0),1,0),IF(AND(J31=TRUNC(J31),J31&gt;0),1,0),1,IF(ISNA(HLOOKUP(J31,$AG$4:$AP$4,1,0)),0,1)),0)))</f>
        <v>1</v>
      </c>
      <c r="BC31" s="192" t="str">
        <f t="shared" ref="BC31:BF50" si="5">IF($F31="","",BC$30)</f>
        <v>תל אביב והסביבה (עד 30 קילומטר מתל-אביב)</v>
      </c>
      <c r="BD31" s="192" t="str">
        <f t="shared" si="5"/>
        <v>מעל 30 ועד 60 קילומטר מתל-אביב (נתניה חדרה, יבנה, גדרה)</v>
      </c>
      <c r="BE31" s="192" t="str">
        <f t="shared" si="5"/>
        <v>מעל 60 ועד 100 קילומטר מתל-אביב (ירושלים, חיפה)</v>
      </c>
      <c r="BF31" s="192" t="str">
        <f t="shared" si="5"/>
        <v>מעל 100 קילומטר מתל-אביב (עכו, באר שבע, טבריה)</v>
      </c>
    </row>
    <row r="32" spans="1:58" ht="23.25" customHeight="1" x14ac:dyDescent="0.25">
      <c r="B32" s="242" t="str">
        <f t="shared" ref="B32:B95" si="6">IF(F32="","",ROW()-30)</f>
        <v/>
      </c>
      <c r="C32" s="4"/>
      <c r="D32" s="4"/>
      <c r="E32" s="4"/>
      <c r="F32" s="230" t="str">
        <f>IF('תנאי סף'!AO32&lt;&gt;1,"",'תנאי סף'!F32)</f>
        <v/>
      </c>
      <c r="G32" s="491"/>
      <c r="H32" s="159" t="str">
        <f>IF($F32="","",IFERROR(VLOOKUP(G32,הלמס!A:G,4,0),""))</f>
        <v/>
      </c>
      <c r="I32" s="158"/>
      <c r="J32" s="177"/>
      <c r="K32" s="6"/>
      <c r="L32" s="5"/>
      <c r="M32" s="6"/>
      <c r="N32" s="5"/>
      <c r="O32" s="6"/>
      <c r="P32" s="6"/>
      <c r="Q32" s="158"/>
      <c r="R32" s="177"/>
      <c r="S32" s="8"/>
      <c r="T32" s="8"/>
      <c r="U32" s="8"/>
      <c r="V32" s="8"/>
      <c r="W32" s="159" t="str">
        <f t="shared" si="3"/>
        <v/>
      </c>
      <c r="X32" s="8">
        <v>1</v>
      </c>
      <c r="Y32" s="8" t="str">
        <f t="shared" ref="Y32:Y95" si="7">IF($F32="","",IF($AC32&lt;&gt;1,$AD$1,IFERROR(W32*X32,$AD$1)))</f>
        <v/>
      </c>
      <c r="Z32" s="8">
        <v>1</v>
      </c>
      <c r="AA32" s="8" t="str">
        <f t="shared" ref="AA32:AA95" si="8">IF($F32="","",IF($AC32&lt;&gt;1,$AD$1,IFERROR(Y32*Z32,$AD$1)))</f>
        <v/>
      </c>
      <c r="AB32" s="351" t="str">
        <f t="shared" ref="AB32:AB95" si="9">IF($F32="","",IF(OR($AC32&lt;&gt;1,AA32=$AD$1),$AD$1,IFERROR(AA32/SUM($AA$31:$AA$130),0)))</f>
        <v/>
      </c>
      <c r="AC32" s="192">
        <f t="shared" ref="AC32:AC95" si="10">IF(SUM(AF32:AX32)=COUNT(AF32:AX32),1,0)</f>
        <v>0</v>
      </c>
      <c r="AD32" s="192" t="str">
        <f t="shared" ref="AD32:AE63" si="11">IF($F32="","",AD$30)</f>
        <v/>
      </c>
      <c r="AE32" s="192" t="str">
        <f t="shared" si="11"/>
        <v/>
      </c>
      <c r="AF32" s="192">
        <f t="shared" ref="AF32:AF95" si="12">IF(I$30="",1,IF(I32="",0,IFERROR(CHOOSE(AF$28,IF(ISNA(MATCH(I32,$AD$30:$AE$30,0)),0,1),IF(ISNUMBER(I32),1,0),IF(I32=TRUNC(I32),1,0),IF(AND(I32*1=I32,I32&gt;=0),1,0),IF(AND(I32=TRUNC(I32),I32&gt;=0),1,0),IF(AND(I32*1=I32,I32&gt;0),1,0),IF(AND(I32=TRUNC(I32),I32&gt;0),1,0),1,IF(ISNA(HLOOKUP(I32,$AG$4:$AP$4,1,0)),0,1)),0)))</f>
        <v>0</v>
      </c>
      <c r="AG32" s="192">
        <f t="shared" si="4"/>
        <v>0</v>
      </c>
      <c r="BC32" s="192" t="str">
        <f t="shared" si="5"/>
        <v/>
      </c>
      <c r="BD32" s="192" t="str">
        <f t="shared" si="5"/>
        <v/>
      </c>
      <c r="BE32" s="192" t="str">
        <f t="shared" si="5"/>
        <v/>
      </c>
      <c r="BF32" s="192" t="str">
        <f t="shared" si="5"/>
        <v/>
      </c>
    </row>
    <row r="33" spans="2:58" ht="23.25" customHeight="1" x14ac:dyDescent="0.25">
      <c r="B33" s="242" t="str">
        <f t="shared" si="6"/>
        <v/>
      </c>
      <c r="C33" s="4"/>
      <c r="D33" s="4"/>
      <c r="E33" s="4"/>
      <c r="F33" s="230" t="str">
        <f>IF('תנאי סף'!AO33&lt;&gt;1,"",'תנאי סף'!F33)</f>
        <v/>
      </c>
      <c r="G33" s="491"/>
      <c r="H33" s="159" t="str">
        <f>IF($F33="","",IFERROR(VLOOKUP(G33,הלמס!A:G,4,0),""))</f>
        <v/>
      </c>
      <c r="I33" s="158"/>
      <c r="J33" s="177"/>
      <c r="K33" s="6"/>
      <c r="L33" s="5"/>
      <c r="M33" s="6"/>
      <c r="N33" s="5"/>
      <c r="O33" s="6"/>
      <c r="P33" s="6"/>
      <c r="Q33" s="158"/>
      <c r="R33" s="177"/>
      <c r="S33" s="8"/>
      <c r="T33" s="8"/>
      <c r="U33" s="8"/>
      <c r="V33" s="8"/>
      <c r="W33" s="159" t="str">
        <f t="shared" si="3"/>
        <v/>
      </c>
      <c r="X33" s="8">
        <v>1</v>
      </c>
      <c r="Y33" s="8" t="str">
        <f t="shared" si="7"/>
        <v/>
      </c>
      <c r="Z33" s="8">
        <v>1</v>
      </c>
      <c r="AA33" s="8" t="str">
        <f t="shared" si="8"/>
        <v/>
      </c>
      <c r="AB33" s="351" t="str">
        <f t="shared" si="9"/>
        <v/>
      </c>
      <c r="AC33" s="192">
        <f t="shared" si="10"/>
        <v>0</v>
      </c>
      <c r="AD33" s="192" t="str">
        <f t="shared" si="11"/>
        <v/>
      </c>
      <c r="AE33" s="192" t="str">
        <f t="shared" si="11"/>
        <v/>
      </c>
      <c r="AF33" s="192">
        <f t="shared" si="12"/>
        <v>0</v>
      </c>
      <c r="AG33" s="192">
        <f t="shared" si="4"/>
        <v>0</v>
      </c>
      <c r="BC33" s="192" t="str">
        <f t="shared" si="5"/>
        <v/>
      </c>
      <c r="BD33" s="192" t="str">
        <f t="shared" si="5"/>
        <v/>
      </c>
      <c r="BE33" s="192" t="str">
        <f t="shared" si="5"/>
        <v/>
      </c>
      <c r="BF33" s="192" t="str">
        <f t="shared" si="5"/>
        <v/>
      </c>
    </row>
    <row r="34" spans="2:58" ht="23.25" customHeight="1" x14ac:dyDescent="0.25">
      <c r="B34" s="242">
        <f t="shared" si="6"/>
        <v>4</v>
      </c>
      <c r="C34" s="4"/>
      <c r="D34" s="4"/>
      <c r="E34" s="4"/>
      <c r="F34" s="230" t="str">
        <f>IF('תנאי סף'!AO34&lt;&gt;1,"",'תנאי סף'!F34)</f>
        <v>יניב ד'אור - אנסמבל נאיה</v>
      </c>
      <c r="G34" s="491"/>
      <c r="H34" s="159" t="str">
        <f>IF($F34="","",IFERROR(VLOOKUP(G34,הלמס!A:G,4,0),""))</f>
        <v/>
      </c>
      <c r="I34" s="158" t="s">
        <v>95</v>
      </c>
      <c r="J34" s="177">
        <v>0</v>
      </c>
      <c r="K34" s="6"/>
      <c r="L34" s="5"/>
      <c r="M34" s="6"/>
      <c r="N34" s="5"/>
      <c r="O34" s="6"/>
      <c r="P34" s="6"/>
      <c r="Q34" s="158"/>
      <c r="R34" s="177"/>
      <c r="S34" s="8"/>
      <c r="T34" s="8"/>
      <c r="U34" s="8"/>
      <c r="V34" s="8"/>
      <c r="W34" s="159">
        <f t="shared" si="3"/>
        <v>1</v>
      </c>
      <c r="X34" s="8">
        <v>1</v>
      </c>
      <c r="Y34" s="8">
        <f t="shared" si="7"/>
        <v>1</v>
      </c>
      <c r="Z34" s="8">
        <v>1</v>
      </c>
      <c r="AA34" s="8">
        <f t="shared" si="8"/>
        <v>1</v>
      </c>
      <c r="AB34" s="351">
        <f t="shared" si="9"/>
        <v>3.4482758620689655E-2</v>
      </c>
      <c r="AC34" s="192">
        <f t="shared" si="10"/>
        <v>1</v>
      </c>
      <c r="AD34" s="192">
        <f t="shared" si="11"/>
        <v>0</v>
      </c>
      <c r="AE34" s="192">
        <f t="shared" si="11"/>
        <v>1</v>
      </c>
      <c r="AF34" s="192">
        <f t="shared" si="12"/>
        <v>1</v>
      </c>
      <c r="AG34" s="192">
        <f t="shared" si="4"/>
        <v>1</v>
      </c>
      <c r="BC34" s="192" t="str">
        <f t="shared" si="5"/>
        <v>תל אביב והסביבה (עד 30 קילומטר מתל-אביב)</v>
      </c>
      <c r="BD34" s="192" t="str">
        <f t="shared" si="5"/>
        <v>מעל 30 ועד 60 קילומטר מתל-אביב (נתניה חדרה, יבנה, גדרה)</v>
      </c>
      <c r="BE34" s="192" t="str">
        <f t="shared" si="5"/>
        <v>מעל 60 ועד 100 קילומטר מתל-אביב (ירושלים, חיפה)</v>
      </c>
      <c r="BF34" s="192" t="str">
        <f t="shared" si="5"/>
        <v>מעל 100 קילומטר מתל-אביב (עכו, באר שבע, טבריה)</v>
      </c>
    </row>
    <row r="35" spans="2:58" ht="23.25" customHeight="1" x14ac:dyDescent="0.25">
      <c r="B35" s="242" t="str">
        <f t="shared" si="6"/>
        <v/>
      </c>
      <c r="C35" s="4"/>
      <c r="D35" s="4"/>
      <c r="E35" s="4"/>
      <c r="F35" s="230" t="str">
        <f>IF('תנאי סף'!AO35&lt;&gt;1,"",'תנאי סף'!F35)</f>
        <v/>
      </c>
      <c r="G35" s="491"/>
      <c r="H35" s="159" t="str">
        <f>IF($F35="","",IFERROR(VLOOKUP(G35,הלמס!A:G,4,0),""))</f>
        <v/>
      </c>
      <c r="I35" s="158"/>
      <c r="J35" s="177"/>
      <c r="K35" s="6"/>
      <c r="L35" s="5"/>
      <c r="M35" s="6"/>
      <c r="N35" s="5"/>
      <c r="O35" s="6"/>
      <c r="P35" s="6"/>
      <c r="Q35" s="158"/>
      <c r="R35" s="177"/>
      <c r="S35" s="8"/>
      <c r="T35" s="8"/>
      <c r="U35" s="8"/>
      <c r="V35" s="8"/>
      <c r="W35" s="159" t="str">
        <f t="shared" si="3"/>
        <v/>
      </c>
      <c r="X35" s="8">
        <v>1</v>
      </c>
      <c r="Y35" s="8" t="str">
        <f t="shared" si="7"/>
        <v/>
      </c>
      <c r="Z35" s="8">
        <v>1</v>
      </c>
      <c r="AA35" s="8" t="str">
        <f t="shared" si="8"/>
        <v/>
      </c>
      <c r="AB35" s="351" t="str">
        <f t="shared" si="9"/>
        <v/>
      </c>
      <c r="AC35" s="192">
        <f t="shared" si="10"/>
        <v>0</v>
      </c>
      <c r="AD35" s="192" t="str">
        <f t="shared" si="11"/>
        <v/>
      </c>
      <c r="AE35" s="192" t="str">
        <f t="shared" si="11"/>
        <v/>
      </c>
      <c r="AF35" s="192">
        <f t="shared" si="12"/>
        <v>0</v>
      </c>
      <c r="AG35" s="192">
        <f t="shared" si="4"/>
        <v>0</v>
      </c>
      <c r="BC35" s="192" t="str">
        <f t="shared" si="5"/>
        <v/>
      </c>
      <c r="BD35" s="192" t="str">
        <f t="shared" si="5"/>
        <v/>
      </c>
      <c r="BE35" s="192" t="str">
        <f t="shared" si="5"/>
        <v/>
      </c>
      <c r="BF35" s="192" t="str">
        <f t="shared" si="5"/>
        <v/>
      </c>
    </row>
    <row r="36" spans="2:58" ht="23.25" customHeight="1" x14ac:dyDescent="0.25">
      <c r="B36" s="242">
        <f t="shared" si="6"/>
        <v>6</v>
      </c>
      <c r="C36" s="4"/>
      <c r="D36" s="4"/>
      <c r="E36" s="4"/>
      <c r="F36" s="230" t="str">
        <f>IF('תנאי סף'!AO36&lt;&gt;1,"",'תנאי סף'!F36)</f>
        <v>הפרויקט הקאמרי הישראלי</v>
      </c>
      <c r="G36" s="491"/>
      <c r="H36" s="159" t="str">
        <f>IF($F36="","",IFERROR(VLOOKUP(G36,הלמס!A:G,4,0),""))</f>
        <v/>
      </c>
      <c r="I36" s="158" t="s">
        <v>94</v>
      </c>
      <c r="J36" s="177">
        <v>0</v>
      </c>
      <c r="K36" s="6"/>
      <c r="L36" s="5"/>
      <c r="M36" s="6"/>
      <c r="N36" s="5"/>
      <c r="O36" s="6"/>
      <c r="P36" s="6"/>
      <c r="Q36" s="158"/>
      <c r="R36" s="177"/>
      <c r="S36" s="8"/>
      <c r="T36" s="8"/>
      <c r="U36" s="8"/>
      <c r="V36" s="8"/>
      <c r="W36" s="159">
        <f t="shared" si="3"/>
        <v>0</v>
      </c>
      <c r="X36" s="8">
        <v>1</v>
      </c>
      <c r="Y36" s="8">
        <f t="shared" si="7"/>
        <v>0</v>
      </c>
      <c r="Z36" s="8">
        <v>1</v>
      </c>
      <c r="AA36" s="8">
        <f t="shared" si="8"/>
        <v>0</v>
      </c>
      <c r="AB36" s="351">
        <f t="shared" si="9"/>
        <v>0</v>
      </c>
      <c r="AC36" s="192">
        <f t="shared" si="10"/>
        <v>1</v>
      </c>
      <c r="AD36" s="192">
        <f t="shared" si="11"/>
        <v>0</v>
      </c>
      <c r="AE36" s="192">
        <f t="shared" si="11"/>
        <v>1</v>
      </c>
      <c r="AF36" s="192">
        <f t="shared" si="12"/>
        <v>1</v>
      </c>
      <c r="AG36" s="192">
        <f t="shared" si="4"/>
        <v>1</v>
      </c>
      <c r="BC36" s="192" t="str">
        <f t="shared" si="5"/>
        <v>תל אביב והסביבה (עד 30 קילומטר מתל-אביב)</v>
      </c>
      <c r="BD36" s="192" t="str">
        <f t="shared" si="5"/>
        <v>מעל 30 ועד 60 קילומטר מתל-אביב (נתניה חדרה, יבנה, גדרה)</v>
      </c>
      <c r="BE36" s="192" t="str">
        <f t="shared" si="5"/>
        <v>מעל 60 ועד 100 קילומטר מתל-אביב (ירושלים, חיפה)</v>
      </c>
      <c r="BF36" s="192" t="str">
        <f t="shared" si="5"/>
        <v>מעל 100 קילומטר מתל-אביב (עכו, באר שבע, טבריה)</v>
      </c>
    </row>
    <row r="37" spans="2:58" ht="23.25" customHeight="1" x14ac:dyDescent="0.25">
      <c r="B37" s="242">
        <f t="shared" si="6"/>
        <v>7</v>
      </c>
      <c r="C37" s="4"/>
      <c r="D37" s="4"/>
      <c r="E37" s="4"/>
      <c r="F37" s="230" t="str">
        <f>IF('תנאי סף'!AO37&lt;&gt;1,"",'תנאי סף'!F37)</f>
        <v>מארש דונדורמה</v>
      </c>
      <c r="G37" s="491"/>
      <c r="H37" s="159" t="str">
        <f>IF($F37="","",IFERROR(VLOOKUP(G37,הלמס!A:G,4,0),""))</f>
        <v/>
      </c>
      <c r="I37" s="158" t="s">
        <v>94</v>
      </c>
      <c r="J37" s="177">
        <v>0</v>
      </c>
      <c r="K37" s="6"/>
      <c r="L37" s="5"/>
      <c r="M37" s="6"/>
      <c r="N37" s="5"/>
      <c r="O37" s="6"/>
      <c r="P37" s="6"/>
      <c r="Q37" s="158"/>
      <c r="R37" s="177"/>
      <c r="S37" s="8"/>
      <c r="T37" s="8"/>
      <c r="U37" s="8"/>
      <c r="V37" s="8"/>
      <c r="W37" s="159">
        <f t="shared" si="3"/>
        <v>0</v>
      </c>
      <c r="X37" s="8">
        <v>1</v>
      </c>
      <c r="Y37" s="8">
        <f t="shared" si="7"/>
        <v>0</v>
      </c>
      <c r="Z37" s="8">
        <v>1</v>
      </c>
      <c r="AA37" s="8">
        <f t="shared" si="8"/>
        <v>0</v>
      </c>
      <c r="AB37" s="351">
        <f t="shared" si="9"/>
        <v>0</v>
      </c>
      <c r="AC37" s="192">
        <f t="shared" si="10"/>
        <v>1</v>
      </c>
      <c r="AD37" s="192">
        <f t="shared" si="11"/>
        <v>0</v>
      </c>
      <c r="AE37" s="192">
        <f t="shared" si="11"/>
        <v>1</v>
      </c>
      <c r="AF37" s="192">
        <f t="shared" si="12"/>
        <v>1</v>
      </c>
      <c r="AG37" s="192">
        <f t="shared" si="4"/>
        <v>1</v>
      </c>
      <c r="BC37" s="192" t="str">
        <f t="shared" si="5"/>
        <v>תל אביב והסביבה (עד 30 קילומטר מתל-אביב)</v>
      </c>
      <c r="BD37" s="192" t="str">
        <f t="shared" si="5"/>
        <v>מעל 30 ועד 60 קילומטר מתל-אביב (נתניה חדרה, יבנה, גדרה)</v>
      </c>
      <c r="BE37" s="192" t="str">
        <f t="shared" si="5"/>
        <v>מעל 60 ועד 100 קילומטר מתל-אביב (ירושלים, חיפה)</v>
      </c>
      <c r="BF37" s="192" t="str">
        <f t="shared" si="5"/>
        <v>מעל 100 קילומטר מתל-אביב (עכו, באר שבע, טבריה)</v>
      </c>
    </row>
    <row r="38" spans="2:58" ht="23.25" customHeight="1" x14ac:dyDescent="0.25">
      <c r="B38" s="242">
        <f t="shared" si="6"/>
        <v>8</v>
      </c>
      <c r="C38" s="4"/>
      <c r="D38" s="4"/>
      <c r="E38" s="4"/>
      <c r="F38" s="230" t="str">
        <f>IF('תנאי סף'!AO38&lt;&gt;1,"",'תנאי סף'!F38)</f>
        <v>להקת מורין נהדר</v>
      </c>
      <c r="G38" s="491"/>
      <c r="H38" s="159" t="str">
        <f>IF($F38="","",IFERROR(VLOOKUP(G38,הלמס!A:G,4,0),""))</f>
        <v/>
      </c>
      <c r="I38" s="158" t="s">
        <v>94</v>
      </c>
      <c r="J38" s="177">
        <v>0</v>
      </c>
      <c r="K38" s="6"/>
      <c r="L38" s="5"/>
      <c r="M38" s="6"/>
      <c r="N38" s="5"/>
      <c r="O38" s="6"/>
      <c r="P38" s="6"/>
      <c r="Q38" s="158"/>
      <c r="R38" s="177"/>
      <c r="S38" s="8"/>
      <c r="T38" s="8"/>
      <c r="U38" s="8"/>
      <c r="V38" s="8"/>
      <c r="W38" s="159">
        <f t="shared" si="3"/>
        <v>0</v>
      </c>
      <c r="X38" s="8">
        <v>1</v>
      </c>
      <c r="Y38" s="8">
        <f t="shared" si="7"/>
        <v>0</v>
      </c>
      <c r="Z38" s="8">
        <v>1</v>
      </c>
      <c r="AA38" s="8">
        <f t="shared" si="8"/>
        <v>0</v>
      </c>
      <c r="AB38" s="351">
        <f t="shared" si="9"/>
        <v>0</v>
      </c>
      <c r="AC38" s="192">
        <f t="shared" si="10"/>
        <v>1</v>
      </c>
      <c r="AD38" s="192">
        <f t="shared" si="11"/>
        <v>0</v>
      </c>
      <c r="AE38" s="192">
        <f t="shared" si="11"/>
        <v>1</v>
      </c>
      <c r="AF38" s="192">
        <f t="shared" si="12"/>
        <v>1</v>
      </c>
      <c r="AG38" s="192">
        <f t="shared" si="4"/>
        <v>1</v>
      </c>
      <c r="BC38" s="192" t="str">
        <f t="shared" si="5"/>
        <v>תל אביב והסביבה (עד 30 קילומטר מתל-אביב)</v>
      </c>
      <c r="BD38" s="192" t="str">
        <f t="shared" si="5"/>
        <v>מעל 30 ועד 60 קילומטר מתל-אביב (נתניה חדרה, יבנה, גדרה)</v>
      </c>
      <c r="BE38" s="192" t="str">
        <f t="shared" si="5"/>
        <v>מעל 60 ועד 100 קילומטר מתל-אביב (ירושלים, חיפה)</v>
      </c>
      <c r="BF38" s="192" t="str">
        <f t="shared" si="5"/>
        <v>מעל 100 קילומטר מתל-אביב (עכו, באר שבע, טבריה)</v>
      </c>
    </row>
    <row r="39" spans="2:58" ht="23.25" customHeight="1" x14ac:dyDescent="0.25">
      <c r="B39" s="242" t="str">
        <f t="shared" si="6"/>
        <v/>
      </c>
      <c r="C39" s="4"/>
      <c r="D39" s="4"/>
      <c r="E39" s="4"/>
      <c r="F39" s="230" t="str">
        <f>IF('תנאי סף'!AO39&lt;&gt;1,"",'תנאי סף'!F39)</f>
        <v/>
      </c>
      <c r="G39" s="491"/>
      <c r="H39" s="159" t="str">
        <f>IF($F39="","",IFERROR(VLOOKUP(G39,הלמס!A:G,4,0),""))</f>
        <v/>
      </c>
      <c r="I39" s="158"/>
      <c r="J39" s="177"/>
      <c r="K39" s="6"/>
      <c r="L39" s="5"/>
      <c r="M39" s="6"/>
      <c r="N39" s="5"/>
      <c r="O39" s="6"/>
      <c r="P39" s="6"/>
      <c r="Q39" s="158"/>
      <c r="R39" s="177"/>
      <c r="S39" s="8"/>
      <c r="T39" s="8"/>
      <c r="U39" s="8"/>
      <c r="V39" s="8"/>
      <c r="W39" s="159" t="str">
        <f t="shared" si="3"/>
        <v/>
      </c>
      <c r="X39" s="8">
        <v>1</v>
      </c>
      <c r="Y39" s="8" t="str">
        <f t="shared" si="7"/>
        <v/>
      </c>
      <c r="Z39" s="8">
        <v>1</v>
      </c>
      <c r="AA39" s="8" t="str">
        <f t="shared" si="8"/>
        <v/>
      </c>
      <c r="AB39" s="351" t="str">
        <f t="shared" si="9"/>
        <v/>
      </c>
      <c r="AC39" s="192">
        <f t="shared" si="10"/>
        <v>0</v>
      </c>
      <c r="AD39" s="192" t="str">
        <f t="shared" si="11"/>
        <v/>
      </c>
      <c r="AE39" s="192" t="str">
        <f t="shared" si="11"/>
        <v/>
      </c>
      <c r="AF39" s="192">
        <f t="shared" si="12"/>
        <v>0</v>
      </c>
      <c r="AG39" s="192">
        <f t="shared" si="4"/>
        <v>0</v>
      </c>
      <c r="BC39" s="192" t="str">
        <f t="shared" si="5"/>
        <v/>
      </c>
      <c r="BD39" s="192" t="str">
        <f t="shared" si="5"/>
        <v/>
      </c>
      <c r="BE39" s="192" t="str">
        <f t="shared" si="5"/>
        <v/>
      </c>
      <c r="BF39" s="192" t="str">
        <f t="shared" si="5"/>
        <v/>
      </c>
    </row>
    <row r="40" spans="2:58" ht="23.25" customHeight="1" x14ac:dyDescent="0.25">
      <c r="B40" s="243">
        <f t="shared" si="6"/>
        <v>10</v>
      </c>
      <c r="C40" s="365"/>
      <c r="D40" s="365"/>
      <c r="E40" s="365"/>
      <c r="F40" s="371" t="str">
        <f>IF('תנאי סף'!AO40&lt;&gt;1,"",'תנאי סף'!F40)</f>
        <v>אנסמבל גלעד אפרת</v>
      </c>
      <c r="G40" s="491"/>
      <c r="H40" s="159" t="str">
        <f>IF($F40="","",IFERROR(VLOOKUP(G40,הלמס!A:G,4,0),""))</f>
        <v/>
      </c>
      <c r="I40" s="412" t="s">
        <v>95</v>
      </c>
      <c r="J40" s="413">
        <v>0</v>
      </c>
      <c r="K40" s="367"/>
      <c r="L40" s="368"/>
      <c r="M40" s="367"/>
      <c r="N40" s="368"/>
      <c r="O40" s="367"/>
      <c r="P40" s="367"/>
      <c r="Q40" s="412"/>
      <c r="R40" s="413"/>
      <c r="S40" s="369"/>
      <c r="T40" s="369"/>
      <c r="U40" s="369"/>
      <c r="V40" s="369"/>
      <c r="W40" s="159">
        <f t="shared" si="3"/>
        <v>1</v>
      </c>
      <c r="X40" s="369">
        <v>1</v>
      </c>
      <c r="Y40" s="369">
        <f t="shared" si="7"/>
        <v>1</v>
      </c>
      <c r="Z40" s="369">
        <v>1</v>
      </c>
      <c r="AA40" s="369">
        <f t="shared" si="8"/>
        <v>1</v>
      </c>
      <c r="AB40" s="370">
        <f t="shared" si="9"/>
        <v>3.4482758620689655E-2</v>
      </c>
      <c r="AC40" s="192">
        <f t="shared" si="10"/>
        <v>1</v>
      </c>
      <c r="AD40" s="192">
        <f t="shared" si="11"/>
        <v>0</v>
      </c>
      <c r="AE40" s="192">
        <f t="shared" si="11"/>
        <v>1</v>
      </c>
      <c r="AF40" s="192">
        <f t="shared" si="12"/>
        <v>1</v>
      </c>
      <c r="AG40" s="192">
        <f t="shared" si="4"/>
        <v>1</v>
      </c>
      <c r="BC40" s="192" t="str">
        <f t="shared" si="5"/>
        <v>תל אביב והסביבה (עד 30 קילומטר מתל-אביב)</v>
      </c>
      <c r="BD40" s="192" t="str">
        <f t="shared" si="5"/>
        <v>מעל 30 ועד 60 קילומטר מתל-אביב (נתניה חדרה, יבנה, גדרה)</v>
      </c>
      <c r="BE40" s="192" t="str">
        <f t="shared" si="5"/>
        <v>מעל 60 ועד 100 קילומטר מתל-אביב (ירושלים, חיפה)</v>
      </c>
      <c r="BF40" s="192" t="str">
        <f t="shared" si="5"/>
        <v>מעל 100 קילומטר מתל-אביב (עכו, באר שבע, טבריה)</v>
      </c>
    </row>
    <row r="41" spans="2:58" ht="23.25" customHeight="1" x14ac:dyDescent="0.25">
      <c r="B41" s="7">
        <f t="shared" si="6"/>
        <v>11</v>
      </c>
      <c r="C41" s="4"/>
      <c r="D41" s="4"/>
      <c r="E41" s="4"/>
      <c r="F41" s="230" t="str">
        <f>IF('תנאי סף'!AO41&lt;&gt;1,"",'תנאי סף'!F41)</f>
        <v>רביעיית כרמל</v>
      </c>
      <c r="G41" s="491"/>
      <c r="H41" s="159" t="str">
        <f>IF($F41="","",IFERROR(VLOOKUP(G41,הלמס!A:G,4,0),""))</f>
        <v/>
      </c>
      <c r="I41" s="158" t="s">
        <v>94</v>
      </c>
      <c r="J41" s="177">
        <v>0</v>
      </c>
      <c r="K41" s="6"/>
      <c r="L41" s="5"/>
      <c r="M41" s="6"/>
      <c r="N41" s="5"/>
      <c r="O41" s="6"/>
      <c r="P41" s="6"/>
      <c r="Q41" s="158"/>
      <c r="R41" s="177"/>
      <c r="S41" s="8"/>
      <c r="T41" s="8"/>
      <c r="U41" s="8"/>
      <c r="V41" s="8"/>
      <c r="W41" s="159">
        <f t="shared" si="3"/>
        <v>0</v>
      </c>
      <c r="X41" s="8">
        <v>1</v>
      </c>
      <c r="Y41" s="8">
        <f t="shared" si="7"/>
        <v>0</v>
      </c>
      <c r="Z41" s="8">
        <v>1</v>
      </c>
      <c r="AA41" s="8">
        <f t="shared" si="8"/>
        <v>0</v>
      </c>
      <c r="AB41" s="352">
        <f t="shared" si="9"/>
        <v>0</v>
      </c>
      <c r="AC41" s="192">
        <f t="shared" si="10"/>
        <v>1</v>
      </c>
      <c r="AD41" s="192">
        <f t="shared" si="11"/>
        <v>0</v>
      </c>
      <c r="AE41" s="192">
        <f t="shared" si="11"/>
        <v>1</v>
      </c>
      <c r="AF41" s="192">
        <f t="shared" si="12"/>
        <v>1</v>
      </c>
      <c r="AG41" s="192">
        <f t="shared" si="4"/>
        <v>1</v>
      </c>
      <c r="BC41" s="192" t="str">
        <f t="shared" si="5"/>
        <v>תל אביב והסביבה (עד 30 קילומטר מתל-אביב)</v>
      </c>
      <c r="BD41" s="192" t="str">
        <f t="shared" si="5"/>
        <v>מעל 30 ועד 60 קילומטר מתל-אביב (נתניה חדרה, יבנה, גדרה)</v>
      </c>
      <c r="BE41" s="192" t="str">
        <f t="shared" si="5"/>
        <v>מעל 60 ועד 100 קילומטר מתל-אביב (ירושלים, חיפה)</v>
      </c>
      <c r="BF41" s="192" t="str">
        <f t="shared" si="5"/>
        <v>מעל 100 קילומטר מתל-אביב (עכו, באר שבע, טבריה)</v>
      </c>
    </row>
    <row r="42" spans="2:58" ht="23.25" customHeight="1" x14ac:dyDescent="0.25">
      <c r="B42" s="7">
        <f t="shared" si="6"/>
        <v>12</v>
      </c>
      <c r="C42" s="4"/>
      <c r="D42" s="4"/>
      <c r="E42" s="4"/>
      <c r="F42" s="230" t="str">
        <f>IF('תנאי סף'!AO42&lt;&gt;1,"",'תנאי סף'!F42)</f>
        <v>שורולה</v>
      </c>
      <c r="G42" s="491"/>
      <c r="H42" s="159" t="str">
        <f>IF($F42="","",IFERROR(VLOOKUP(G42,הלמס!A:G,4,0),""))</f>
        <v/>
      </c>
      <c r="I42" s="158" t="s">
        <v>94</v>
      </c>
      <c r="J42" s="177">
        <v>0</v>
      </c>
      <c r="K42" s="6"/>
      <c r="L42" s="5"/>
      <c r="M42" s="6"/>
      <c r="N42" s="5"/>
      <c r="O42" s="6"/>
      <c r="P42" s="6"/>
      <c r="Q42" s="158"/>
      <c r="R42" s="177"/>
      <c r="S42" s="8"/>
      <c r="T42" s="8"/>
      <c r="U42" s="8"/>
      <c r="V42" s="8"/>
      <c r="W42" s="159">
        <f t="shared" si="3"/>
        <v>0</v>
      </c>
      <c r="X42" s="8">
        <v>1</v>
      </c>
      <c r="Y42" s="8">
        <f t="shared" si="7"/>
        <v>0</v>
      </c>
      <c r="Z42" s="8">
        <v>1</v>
      </c>
      <c r="AA42" s="8">
        <f t="shared" si="8"/>
        <v>0</v>
      </c>
      <c r="AB42" s="352">
        <f t="shared" si="9"/>
        <v>0</v>
      </c>
      <c r="AC42" s="192">
        <f t="shared" si="10"/>
        <v>1</v>
      </c>
      <c r="AD42" s="192">
        <f t="shared" si="11"/>
        <v>0</v>
      </c>
      <c r="AE42" s="192">
        <f t="shared" si="11"/>
        <v>1</v>
      </c>
      <c r="AF42" s="192">
        <f t="shared" si="12"/>
        <v>1</v>
      </c>
      <c r="AG42" s="192">
        <f t="shared" si="4"/>
        <v>1</v>
      </c>
      <c r="BC42" s="192" t="str">
        <f t="shared" si="5"/>
        <v>תל אביב והסביבה (עד 30 קילומטר מתל-אביב)</v>
      </c>
      <c r="BD42" s="192" t="str">
        <f t="shared" si="5"/>
        <v>מעל 30 ועד 60 קילומטר מתל-אביב (נתניה חדרה, יבנה, גדרה)</v>
      </c>
      <c r="BE42" s="192" t="str">
        <f t="shared" si="5"/>
        <v>מעל 60 ועד 100 קילומטר מתל-אביב (ירושלים, חיפה)</v>
      </c>
      <c r="BF42" s="192" t="str">
        <f t="shared" si="5"/>
        <v>מעל 100 קילומטר מתל-אביב (עכו, באר שבע, טבריה)</v>
      </c>
    </row>
    <row r="43" spans="2:58" ht="23.25" customHeight="1" x14ac:dyDescent="0.25">
      <c r="B43" s="7" t="str">
        <f t="shared" si="6"/>
        <v/>
      </c>
      <c r="C43" s="4"/>
      <c r="D43" s="4"/>
      <c r="E43" s="4"/>
      <c r="F43" s="230" t="str">
        <f>IF('תנאי סף'!AO43&lt;&gt;1,"",'תנאי סף'!F43)</f>
        <v/>
      </c>
      <c r="G43" s="491"/>
      <c r="H43" s="159" t="str">
        <f>IF($F43="","",IFERROR(VLOOKUP(G43,הלמס!A:G,4,0),""))</f>
        <v/>
      </c>
      <c r="I43" s="158"/>
      <c r="J43" s="177"/>
      <c r="K43" s="6"/>
      <c r="L43" s="5"/>
      <c r="M43" s="6"/>
      <c r="N43" s="5"/>
      <c r="O43" s="6"/>
      <c r="P43" s="6"/>
      <c r="Q43" s="158"/>
      <c r="R43" s="177"/>
      <c r="S43" s="8"/>
      <c r="T43" s="8"/>
      <c r="U43" s="8"/>
      <c r="V43" s="8"/>
      <c r="W43" s="159" t="str">
        <f t="shared" si="3"/>
        <v/>
      </c>
      <c r="X43" s="8">
        <v>1</v>
      </c>
      <c r="Y43" s="8" t="str">
        <f t="shared" si="7"/>
        <v/>
      </c>
      <c r="Z43" s="8">
        <v>1</v>
      </c>
      <c r="AA43" s="8" t="str">
        <f t="shared" si="8"/>
        <v/>
      </c>
      <c r="AB43" s="352" t="str">
        <f t="shared" si="9"/>
        <v/>
      </c>
      <c r="AC43" s="192">
        <f t="shared" si="10"/>
        <v>0</v>
      </c>
      <c r="AD43" s="192" t="str">
        <f t="shared" si="11"/>
        <v/>
      </c>
      <c r="AE43" s="192" t="str">
        <f t="shared" si="11"/>
        <v/>
      </c>
      <c r="AF43" s="192">
        <f t="shared" si="12"/>
        <v>0</v>
      </c>
      <c r="AG43" s="192">
        <f t="shared" si="4"/>
        <v>0</v>
      </c>
      <c r="BC43" s="192" t="str">
        <f t="shared" si="5"/>
        <v/>
      </c>
      <c r="BD43" s="192" t="str">
        <f t="shared" si="5"/>
        <v/>
      </c>
      <c r="BE43" s="192" t="str">
        <f t="shared" si="5"/>
        <v/>
      </c>
      <c r="BF43" s="192" t="str">
        <f t="shared" si="5"/>
        <v/>
      </c>
    </row>
    <row r="44" spans="2:58" ht="23.25" customHeight="1" x14ac:dyDescent="0.25">
      <c r="B44" s="7" t="str">
        <f t="shared" si="6"/>
        <v/>
      </c>
      <c r="C44" s="4"/>
      <c r="D44" s="4"/>
      <c r="E44" s="4"/>
      <c r="F44" s="230" t="str">
        <f>IF('תנאי סף'!AO44&lt;&gt;1,"",'תנאי סף'!F44)</f>
        <v/>
      </c>
      <c r="G44" s="491"/>
      <c r="H44" s="159" t="str">
        <f>IF($F44="","",IFERROR(VLOOKUP(G44,הלמס!A:G,4,0),""))</f>
        <v/>
      </c>
      <c r="I44" s="158"/>
      <c r="J44" s="177"/>
      <c r="K44" s="6"/>
      <c r="L44" s="5"/>
      <c r="M44" s="6"/>
      <c r="N44" s="5"/>
      <c r="O44" s="6"/>
      <c r="P44" s="6"/>
      <c r="Q44" s="158"/>
      <c r="R44" s="177"/>
      <c r="S44" s="8"/>
      <c r="T44" s="8"/>
      <c r="U44" s="8"/>
      <c r="V44" s="8"/>
      <c r="W44" s="159" t="str">
        <f t="shared" si="3"/>
        <v/>
      </c>
      <c r="X44" s="8">
        <v>1</v>
      </c>
      <c r="Y44" s="8" t="str">
        <f t="shared" si="7"/>
        <v/>
      </c>
      <c r="Z44" s="8">
        <v>1</v>
      </c>
      <c r="AA44" s="8" t="str">
        <f t="shared" si="8"/>
        <v/>
      </c>
      <c r="AB44" s="352" t="str">
        <f t="shared" si="9"/>
        <v/>
      </c>
      <c r="AC44" s="192">
        <f t="shared" si="10"/>
        <v>0</v>
      </c>
      <c r="AD44" s="192" t="str">
        <f t="shared" si="11"/>
        <v/>
      </c>
      <c r="AE44" s="192" t="str">
        <f t="shared" si="11"/>
        <v/>
      </c>
      <c r="AF44" s="192">
        <f t="shared" si="12"/>
        <v>0</v>
      </c>
      <c r="AG44" s="192">
        <f t="shared" si="4"/>
        <v>0</v>
      </c>
      <c r="BC44" s="192" t="str">
        <f t="shared" si="5"/>
        <v/>
      </c>
      <c r="BD44" s="192" t="str">
        <f t="shared" si="5"/>
        <v/>
      </c>
      <c r="BE44" s="192" t="str">
        <f t="shared" si="5"/>
        <v/>
      </c>
      <c r="BF44" s="192" t="str">
        <f t="shared" si="5"/>
        <v/>
      </c>
    </row>
    <row r="45" spans="2:58" ht="23.25" customHeight="1" x14ac:dyDescent="0.25">
      <c r="B45" s="7" t="str">
        <f t="shared" si="6"/>
        <v/>
      </c>
      <c r="C45" s="4"/>
      <c r="D45" s="4"/>
      <c r="E45" s="4"/>
      <c r="F45" s="230" t="str">
        <f>IF('תנאי סף'!AO45&lt;&gt;1,"",'תנאי סף'!F45)</f>
        <v/>
      </c>
      <c r="G45" s="491"/>
      <c r="H45" s="159" t="str">
        <f>IF($F45="","",IFERROR(VLOOKUP(G45,הלמס!A:G,4,0),""))</f>
        <v/>
      </c>
      <c r="I45" s="158"/>
      <c r="J45" s="177"/>
      <c r="K45" s="6"/>
      <c r="L45" s="5"/>
      <c r="M45" s="6"/>
      <c r="N45" s="5"/>
      <c r="O45" s="6"/>
      <c r="P45" s="6"/>
      <c r="Q45" s="158"/>
      <c r="R45" s="177"/>
      <c r="S45" s="8"/>
      <c r="T45" s="8"/>
      <c r="U45" s="8"/>
      <c r="V45" s="8"/>
      <c r="W45" s="159" t="str">
        <f t="shared" si="3"/>
        <v/>
      </c>
      <c r="X45" s="8">
        <v>1</v>
      </c>
      <c r="Y45" s="8" t="str">
        <f t="shared" si="7"/>
        <v/>
      </c>
      <c r="Z45" s="8">
        <v>1</v>
      </c>
      <c r="AA45" s="8" t="str">
        <f t="shared" si="8"/>
        <v/>
      </c>
      <c r="AB45" s="352" t="str">
        <f t="shared" si="9"/>
        <v/>
      </c>
      <c r="AC45" s="192">
        <f t="shared" si="10"/>
        <v>0</v>
      </c>
      <c r="AD45" s="192" t="str">
        <f t="shared" si="11"/>
        <v/>
      </c>
      <c r="AE45" s="192" t="str">
        <f t="shared" si="11"/>
        <v/>
      </c>
      <c r="AF45" s="192">
        <f t="shared" si="12"/>
        <v>0</v>
      </c>
      <c r="AG45" s="192">
        <f t="shared" si="4"/>
        <v>0</v>
      </c>
      <c r="BC45" s="192" t="str">
        <f t="shared" si="5"/>
        <v/>
      </c>
      <c r="BD45" s="192" t="str">
        <f t="shared" si="5"/>
        <v/>
      </c>
      <c r="BE45" s="192" t="str">
        <f t="shared" si="5"/>
        <v/>
      </c>
      <c r="BF45" s="192" t="str">
        <f t="shared" si="5"/>
        <v/>
      </c>
    </row>
    <row r="46" spans="2:58" ht="23.25" customHeight="1" x14ac:dyDescent="0.25">
      <c r="B46" s="7" t="str">
        <f t="shared" si="6"/>
        <v/>
      </c>
      <c r="C46" s="4"/>
      <c r="D46" s="4"/>
      <c r="E46" s="4"/>
      <c r="F46" s="230" t="str">
        <f>IF('תנאי סף'!AO46&lt;&gt;1,"",'תנאי סף'!F46)</f>
        <v/>
      </c>
      <c r="G46" s="491"/>
      <c r="H46" s="159" t="str">
        <f>IF($F46="","",IFERROR(VLOOKUP(G46,הלמס!A:G,4,0),""))</f>
        <v/>
      </c>
      <c r="I46" s="158"/>
      <c r="J46" s="177"/>
      <c r="K46" s="6"/>
      <c r="L46" s="5"/>
      <c r="M46" s="6"/>
      <c r="N46" s="5"/>
      <c r="O46" s="6"/>
      <c r="P46" s="6"/>
      <c r="Q46" s="158"/>
      <c r="R46" s="177"/>
      <c r="S46" s="8"/>
      <c r="T46" s="8"/>
      <c r="U46" s="8"/>
      <c r="V46" s="8"/>
      <c r="W46" s="159" t="str">
        <f t="shared" si="3"/>
        <v/>
      </c>
      <c r="X46" s="8">
        <v>1</v>
      </c>
      <c r="Y46" s="8" t="str">
        <f t="shared" si="7"/>
        <v/>
      </c>
      <c r="Z46" s="8">
        <v>1</v>
      </c>
      <c r="AA46" s="8" t="str">
        <f t="shared" si="8"/>
        <v/>
      </c>
      <c r="AB46" s="352" t="str">
        <f t="shared" si="9"/>
        <v/>
      </c>
      <c r="AC46" s="192">
        <f t="shared" si="10"/>
        <v>0</v>
      </c>
      <c r="AD46" s="192" t="str">
        <f t="shared" si="11"/>
        <v/>
      </c>
      <c r="AE46" s="192" t="str">
        <f t="shared" si="11"/>
        <v/>
      </c>
      <c r="AF46" s="192">
        <f t="shared" si="12"/>
        <v>0</v>
      </c>
      <c r="AG46" s="192">
        <f t="shared" ref="AG46:AG109" si="13">IF(J$30="",1,IF(J46="",0,IFERROR(CHOOSE(AG$28,IF(ISNA(MATCH(J46,$AD$30:$AE$30,0)),0,1),IF(ISNUMBER(J46),1,0),IF(J46=TRUNC(J46),1,0),IF(AND(J46*1=J46,J46&gt;=0),1,0),IF(AND(J46=TRUNC(J46),J46&gt;=0),1,0),IF(AND(J46*1=J46,J46&gt;0),1,0),IF(AND(J46=TRUNC(J46),J46&gt;0),1,0),1,IF(ISNA(HLOOKUP(J46,$AG$4:$AP$4,1,0)),0,1)),0)))</f>
        <v>0</v>
      </c>
      <c r="BC46" s="192" t="str">
        <f t="shared" si="5"/>
        <v/>
      </c>
      <c r="BD46" s="192" t="str">
        <f t="shared" si="5"/>
        <v/>
      </c>
      <c r="BE46" s="192" t="str">
        <f t="shared" si="5"/>
        <v/>
      </c>
      <c r="BF46" s="192" t="str">
        <f t="shared" si="5"/>
        <v/>
      </c>
    </row>
    <row r="47" spans="2:58" ht="23.25" customHeight="1" x14ac:dyDescent="0.25">
      <c r="B47" s="7">
        <f t="shared" si="6"/>
        <v>17</v>
      </c>
      <c r="C47" s="4"/>
      <c r="D47" s="4"/>
      <c r="E47" s="4"/>
      <c r="F47" s="230" t="str">
        <f>IF('תנאי סף'!AO47&lt;&gt;1,"",'תנאי סף'!F47)</f>
        <v>הרכב עמית פרידמן</v>
      </c>
      <c r="G47" s="491"/>
      <c r="H47" s="159" t="str">
        <f>IF($F47="","",IFERROR(VLOOKUP(G47,הלמס!A:G,4,0),""))</f>
        <v/>
      </c>
      <c r="I47" s="158" t="s">
        <v>94</v>
      </c>
      <c r="J47" s="177">
        <v>0</v>
      </c>
      <c r="K47" s="6"/>
      <c r="L47" s="5"/>
      <c r="M47" s="6"/>
      <c r="N47" s="5"/>
      <c r="O47" s="6"/>
      <c r="P47" s="6"/>
      <c r="Q47" s="158"/>
      <c r="R47" s="177"/>
      <c r="S47" s="8"/>
      <c r="T47" s="8"/>
      <c r="U47" s="8"/>
      <c r="V47" s="8"/>
      <c r="W47" s="159">
        <f t="shared" si="3"/>
        <v>0</v>
      </c>
      <c r="X47" s="8">
        <v>1</v>
      </c>
      <c r="Y47" s="8">
        <f t="shared" si="7"/>
        <v>0</v>
      </c>
      <c r="Z47" s="8">
        <v>1</v>
      </c>
      <c r="AA47" s="8">
        <f t="shared" si="8"/>
        <v>0</v>
      </c>
      <c r="AB47" s="352">
        <f t="shared" si="9"/>
        <v>0</v>
      </c>
      <c r="AC47" s="192">
        <f t="shared" si="10"/>
        <v>1</v>
      </c>
      <c r="AD47" s="192">
        <f t="shared" si="11"/>
        <v>0</v>
      </c>
      <c r="AE47" s="192">
        <f t="shared" si="11"/>
        <v>1</v>
      </c>
      <c r="AF47" s="192">
        <f t="shared" si="12"/>
        <v>1</v>
      </c>
      <c r="AG47" s="192">
        <f t="shared" si="13"/>
        <v>1</v>
      </c>
      <c r="BC47" s="192" t="str">
        <f t="shared" si="5"/>
        <v>תל אביב והסביבה (עד 30 קילומטר מתל-אביב)</v>
      </c>
      <c r="BD47" s="192" t="str">
        <f t="shared" si="5"/>
        <v>מעל 30 ועד 60 קילומטר מתל-אביב (נתניה חדרה, יבנה, גדרה)</v>
      </c>
      <c r="BE47" s="192" t="str">
        <f t="shared" si="5"/>
        <v>מעל 60 ועד 100 קילומטר מתל-אביב (ירושלים, חיפה)</v>
      </c>
      <c r="BF47" s="192" t="str">
        <f t="shared" si="5"/>
        <v>מעל 100 קילומטר מתל-אביב (עכו, באר שבע, טבריה)</v>
      </c>
    </row>
    <row r="48" spans="2:58" ht="23.25" customHeight="1" x14ac:dyDescent="0.25">
      <c r="B48" s="7" t="str">
        <f t="shared" si="6"/>
        <v/>
      </c>
      <c r="C48" s="4"/>
      <c r="D48" s="4"/>
      <c r="E48" s="4"/>
      <c r="F48" s="230" t="str">
        <f>IF('תנאי סף'!AO48&lt;&gt;1,"",'תנאי סף'!F48)</f>
        <v/>
      </c>
      <c r="G48" s="491"/>
      <c r="H48" s="159" t="str">
        <f>IF($F48="","",IFERROR(VLOOKUP(G48,הלמס!A:G,4,0),""))</f>
        <v/>
      </c>
      <c r="I48" s="158"/>
      <c r="J48" s="177"/>
      <c r="K48" s="6"/>
      <c r="L48" s="5"/>
      <c r="M48" s="6"/>
      <c r="N48" s="5"/>
      <c r="O48" s="6"/>
      <c r="P48" s="6"/>
      <c r="Q48" s="158"/>
      <c r="R48" s="177"/>
      <c r="S48" s="8"/>
      <c r="T48" s="8"/>
      <c r="U48" s="8"/>
      <c r="V48" s="8"/>
      <c r="W48" s="159" t="str">
        <f t="shared" si="3"/>
        <v/>
      </c>
      <c r="X48" s="8">
        <v>1</v>
      </c>
      <c r="Y48" s="8" t="str">
        <f t="shared" si="7"/>
        <v/>
      </c>
      <c r="Z48" s="8">
        <v>1</v>
      </c>
      <c r="AA48" s="8" t="str">
        <f t="shared" si="8"/>
        <v/>
      </c>
      <c r="AB48" s="352" t="str">
        <f t="shared" si="9"/>
        <v/>
      </c>
      <c r="AC48" s="192">
        <f t="shared" si="10"/>
        <v>0</v>
      </c>
      <c r="AD48" s="192" t="str">
        <f t="shared" si="11"/>
        <v/>
      </c>
      <c r="AE48" s="192" t="str">
        <f t="shared" si="11"/>
        <v/>
      </c>
      <c r="AF48" s="192">
        <f t="shared" si="12"/>
        <v>0</v>
      </c>
      <c r="AG48" s="192">
        <f t="shared" si="13"/>
        <v>0</v>
      </c>
      <c r="BC48" s="192" t="str">
        <f t="shared" si="5"/>
        <v/>
      </c>
      <c r="BD48" s="192" t="str">
        <f t="shared" si="5"/>
        <v/>
      </c>
      <c r="BE48" s="192" t="str">
        <f t="shared" si="5"/>
        <v/>
      </c>
      <c r="BF48" s="192" t="str">
        <f t="shared" si="5"/>
        <v/>
      </c>
    </row>
    <row r="49" spans="2:58" ht="23.25" customHeight="1" x14ac:dyDescent="0.25">
      <c r="B49" s="7" t="str">
        <f t="shared" si="6"/>
        <v/>
      </c>
      <c r="C49" s="4"/>
      <c r="D49" s="4"/>
      <c r="E49" s="4"/>
      <c r="F49" s="230" t="str">
        <f>IF('תנאי סף'!AO49&lt;&gt;1,"",'תנאי סף'!F49)</f>
        <v/>
      </c>
      <c r="G49" s="491"/>
      <c r="H49" s="159" t="str">
        <f>IF($F49="","",IFERROR(VLOOKUP(G49,הלמס!A:G,4,0),""))</f>
        <v/>
      </c>
      <c r="I49" s="158"/>
      <c r="J49" s="177"/>
      <c r="K49" s="6"/>
      <c r="L49" s="5"/>
      <c r="M49" s="6"/>
      <c r="N49" s="5"/>
      <c r="O49" s="6"/>
      <c r="P49" s="6"/>
      <c r="Q49" s="158"/>
      <c r="R49" s="177"/>
      <c r="S49" s="8"/>
      <c r="T49" s="8"/>
      <c r="U49" s="8"/>
      <c r="V49" s="8"/>
      <c r="W49" s="159" t="str">
        <f t="shared" si="3"/>
        <v/>
      </c>
      <c r="X49" s="8">
        <v>1</v>
      </c>
      <c r="Y49" s="8" t="str">
        <f t="shared" si="7"/>
        <v/>
      </c>
      <c r="Z49" s="8">
        <v>1</v>
      </c>
      <c r="AA49" s="8" t="str">
        <f t="shared" si="8"/>
        <v/>
      </c>
      <c r="AB49" s="352" t="str">
        <f t="shared" si="9"/>
        <v/>
      </c>
      <c r="AC49" s="192">
        <f t="shared" si="10"/>
        <v>0</v>
      </c>
      <c r="AD49" s="192" t="str">
        <f t="shared" si="11"/>
        <v/>
      </c>
      <c r="AE49" s="192" t="str">
        <f t="shared" si="11"/>
        <v/>
      </c>
      <c r="AF49" s="192">
        <f t="shared" si="12"/>
        <v>0</v>
      </c>
      <c r="AG49" s="192">
        <f t="shared" si="13"/>
        <v>0</v>
      </c>
      <c r="BC49" s="192" t="str">
        <f t="shared" si="5"/>
        <v/>
      </c>
      <c r="BD49" s="192" t="str">
        <f t="shared" si="5"/>
        <v/>
      </c>
      <c r="BE49" s="192" t="str">
        <f t="shared" si="5"/>
        <v/>
      </c>
      <c r="BF49" s="192" t="str">
        <f t="shared" si="5"/>
        <v/>
      </c>
    </row>
    <row r="50" spans="2:58" ht="23.25" customHeight="1" x14ac:dyDescent="0.25">
      <c r="B50" s="7" t="str">
        <f t="shared" si="6"/>
        <v/>
      </c>
      <c r="C50" s="4"/>
      <c r="D50" s="4"/>
      <c r="E50" s="4"/>
      <c r="F50" s="230" t="str">
        <f>IF('תנאי סף'!AO50&lt;&gt;1,"",'תנאי סף'!F50)</f>
        <v/>
      </c>
      <c r="G50" s="491"/>
      <c r="H50" s="159" t="str">
        <f>IF($F50="","",IFERROR(VLOOKUP(G50,הלמס!A:G,4,0),""))</f>
        <v/>
      </c>
      <c r="I50" s="158"/>
      <c r="J50" s="177"/>
      <c r="K50" s="6"/>
      <c r="L50" s="5"/>
      <c r="M50" s="6"/>
      <c r="N50" s="5"/>
      <c r="O50" s="6"/>
      <c r="P50" s="6"/>
      <c r="Q50" s="158"/>
      <c r="R50" s="177"/>
      <c r="S50" s="8"/>
      <c r="T50" s="8"/>
      <c r="U50" s="8"/>
      <c r="V50" s="8"/>
      <c r="W50" s="159" t="str">
        <f t="shared" si="3"/>
        <v/>
      </c>
      <c r="X50" s="8">
        <v>1</v>
      </c>
      <c r="Y50" s="8" t="str">
        <f t="shared" si="7"/>
        <v/>
      </c>
      <c r="Z50" s="8">
        <v>1</v>
      </c>
      <c r="AA50" s="8" t="str">
        <f t="shared" si="8"/>
        <v/>
      </c>
      <c r="AB50" s="352" t="str">
        <f t="shared" si="9"/>
        <v/>
      </c>
      <c r="AC50" s="192">
        <f t="shared" si="10"/>
        <v>0</v>
      </c>
      <c r="AD50" s="192" t="str">
        <f t="shared" si="11"/>
        <v/>
      </c>
      <c r="AE50" s="192" t="str">
        <f t="shared" si="11"/>
        <v/>
      </c>
      <c r="AF50" s="192">
        <f t="shared" si="12"/>
        <v>0</v>
      </c>
      <c r="AG50" s="192">
        <f t="shared" si="13"/>
        <v>0</v>
      </c>
      <c r="BC50" s="192" t="str">
        <f t="shared" si="5"/>
        <v/>
      </c>
      <c r="BD50" s="192" t="str">
        <f t="shared" si="5"/>
        <v/>
      </c>
      <c r="BE50" s="192" t="str">
        <f t="shared" si="5"/>
        <v/>
      </c>
      <c r="BF50" s="192" t="str">
        <f t="shared" si="5"/>
        <v/>
      </c>
    </row>
    <row r="51" spans="2:58" ht="23.25" customHeight="1" x14ac:dyDescent="0.25">
      <c r="B51" s="7">
        <f t="shared" si="6"/>
        <v>21</v>
      </c>
      <c r="C51" s="4"/>
      <c r="D51" s="4"/>
      <c r="E51" s="4"/>
      <c r="F51" s="230" t="str">
        <f>IF('תנאי סף'!AO51&lt;&gt;1,"",'תנאי סף'!F51)</f>
        <v>חמישיית תל אביב לכלי נשיפה</v>
      </c>
      <c r="G51" s="491"/>
      <c r="H51" s="159" t="str">
        <f>IF($F51="","",IFERROR(VLOOKUP(G51,הלמס!A:G,4,0),""))</f>
        <v/>
      </c>
      <c r="I51" s="158" t="s">
        <v>94</v>
      </c>
      <c r="J51" s="177">
        <v>0</v>
      </c>
      <c r="K51" s="6"/>
      <c r="L51" s="5"/>
      <c r="M51" s="6"/>
      <c r="N51" s="5"/>
      <c r="O51" s="6"/>
      <c r="P51" s="6"/>
      <c r="Q51" s="158"/>
      <c r="R51" s="177"/>
      <c r="S51" s="8"/>
      <c r="T51" s="8"/>
      <c r="U51" s="8"/>
      <c r="V51" s="8"/>
      <c r="W51" s="159">
        <f t="shared" si="3"/>
        <v>0</v>
      </c>
      <c r="X51" s="8">
        <v>1</v>
      </c>
      <c r="Y51" s="8">
        <f t="shared" si="7"/>
        <v>0</v>
      </c>
      <c r="Z51" s="8">
        <v>1</v>
      </c>
      <c r="AA51" s="8">
        <f t="shared" si="8"/>
        <v>0</v>
      </c>
      <c r="AB51" s="352">
        <f t="shared" si="9"/>
        <v>0</v>
      </c>
      <c r="AC51" s="192">
        <f t="shared" si="10"/>
        <v>1</v>
      </c>
      <c r="AD51" s="192">
        <f t="shared" si="11"/>
        <v>0</v>
      </c>
      <c r="AE51" s="192">
        <f t="shared" si="11"/>
        <v>1</v>
      </c>
      <c r="AF51" s="192">
        <f t="shared" si="12"/>
        <v>1</v>
      </c>
      <c r="AG51" s="192">
        <f t="shared" si="13"/>
        <v>1</v>
      </c>
      <c r="BC51" s="192" t="str">
        <f t="shared" ref="BC51:BF70" si="14">IF($F51="","",BC$30)</f>
        <v>תל אביב והסביבה (עד 30 קילומטר מתל-אביב)</v>
      </c>
      <c r="BD51" s="192" t="str">
        <f t="shared" si="14"/>
        <v>מעל 30 ועד 60 קילומטר מתל-אביב (נתניה חדרה, יבנה, גדרה)</v>
      </c>
      <c r="BE51" s="192" t="str">
        <f t="shared" si="14"/>
        <v>מעל 60 ועד 100 קילומטר מתל-אביב (ירושלים, חיפה)</v>
      </c>
      <c r="BF51" s="192" t="str">
        <f t="shared" si="14"/>
        <v>מעל 100 קילומטר מתל-אביב (עכו, באר שבע, טבריה)</v>
      </c>
    </row>
    <row r="52" spans="2:58" ht="23.25" customHeight="1" x14ac:dyDescent="0.25">
      <c r="B52" s="7">
        <f t="shared" si="6"/>
        <v>22</v>
      </c>
      <c r="C52" s="4"/>
      <c r="D52" s="4"/>
      <c r="E52" s="4"/>
      <c r="F52" s="230" t="str">
        <f>IF('תנאי סף'!AO52&lt;&gt;1,"",'תנאי סף'!F52)</f>
        <v>הרכב אקוט</v>
      </c>
      <c r="G52" s="491"/>
      <c r="H52" s="159" t="str">
        <f>IF($F52="","",IFERROR(VLOOKUP(G52,הלמס!A:G,4,0),""))</f>
        <v/>
      </c>
      <c r="I52" s="158" t="s">
        <v>95</v>
      </c>
      <c r="J52" s="177">
        <v>1</v>
      </c>
      <c r="K52" s="6"/>
      <c r="L52" s="5"/>
      <c r="M52" s="6"/>
      <c r="N52" s="5"/>
      <c r="O52" s="6"/>
      <c r="P52" s="6"/>
      <c r="Q52" s="158"/>
      <c r="R52" s="177"/>
      <c r="S52" s="8"/>
      <c r="T52" s="8"/>
      <c r="U52" s="8"/>
      <c r="V52" s="8"/>
      <c r="W52" s="159">
        <f t="shared" si="3"/>
        <v>2</v>
      </c>
      <c r="X52" s="8">
        <v>1</v>
      </c>
      <c r="Y52" s="8">
        <f t="shared" si="7"/>
        <v>2</v>
      </c>
      <c r="Z52" s="8">
        <v>1</v>
      </c>
      <c r="AA52" s="8">
        <f t="shared" si="8"/>
        <v>2</v>
      </c>
      <c r="AB52" s="352">
        <f t="shared" si="9"/>
        <v>6.8965517241379309E-2</v>
      </c>
      <c r="AC52" s="192">
        <f t="shared" si="10"/>
        <v>1</v>
      </c>
      <c r="AD52" s="192">
        <f t="shared" si="11"/>
        <v>0</v>
      </c>
      <c r="AE52" s="192">
        <f t="shared" si="11"/>
        <v>1</v>
      </c>
      <c r="AF52" s="192">
        <f t="shared" si="12"/>
        <v>1</v>
      </c>
      <c r="AG52" s="192">
        <f t="shared" si="13"/>
        <v>1</v>
      </c>
      <c r="BC52" s="192" t="str">
        <f t="shared" si="14"/>
        <v>תל אביב והסביבה (עד 30 קילומטר מתל-אביב)</v>
      </c>
      <c r="BD52" s="192" t="str">
        <f t="shared" si="14"/>
        <v>מעל 30 ועד 60 קילומטר מתל-אביב (נתניה חדרה, יבנה, גדרה)</v>
      </c>
      <c r="BE52" s="192" t="str">
        <f t="shared" si="14"/>
        <v>מעל 60 ועד 100 קילומטר מתל-אביב (ירושלים, חיפה)</v>
      </c>
      <c r="BF52" s="192" t="str">
        <f t="shared" si="14"/>
        <v>מעל 100 קילומטר מתל-אביב (עכו, באר שבע, טבריה)</v>
      </c>
    </row>
    <row r="53" spans="2:58" ht="23.25" customHeight="1" x14ac:dyDescent="0.25">
      <c r="B53" s="7">
        <f t="shared" si="6"/>
        <v>23</v>
      </c>
      <c r="C53" s="4"/>
      <c r="D53" s="4"/>
      <c r="E53" s="4"/>
      <c r="F53" s="230" t="str">
        <f>IF('תנאי סף'!AO53&lt;&gt;1,"",'תנאי סף'!F53)</f>
        <v>שלישיית עתר</v>
      </c>
      <c r="G53" s="491"/>
      <c r="H53" s="159" t="str">
        <f>IF($F53="","",IFERROR(VLOOKUP(G53,הלמס!A:G,4,0),""))</f>
        <v/>
      </c>
      <c r="I53" s="158" t="s">
        <v>96</v>
      </c>
      <c r="J53" s="177">
        <v>1</v>
      </c>
      <c r="K53" s="6"/>
      <c r="L53" s="5"/>
      <c r="M53" s="6"/>
      <c r="N53" s="5"/>
      <c r="O53" s="6"/>
      <c r="P53" s="6"/>
      <c r="Q53" s="158"/>
      <c r="R53" s="177"/>
      <c r="S53" s="8"/>
      <c r="T53" s="8"/>
      <c r="U53" s="8"/>
      <c r="V53" s="8"/>
      <c r="W53" s="159">
        <f t="shared" si="3"/>
        <v>2</v>
      </c>
      <c r="X53" s="8">
        <v>1</v>
      </c>
      <c r="Y53" s="8">
        <f t="shared" si="7"/>
        <v>2</v>
      </c>
      <c r="Z53" s="8">
        <v>1</v>
      </c>
      <c r="AA53" s="8">
        <f t="shared" si="8"/>
        <v>2</v>
      </c>
      <c r="AB53" s="352">
        <f t="shared" si="9"/>
        <v>6.8965517241379309E-2</v>
      </c>
      <c r="AC53" s="192">
        <f t="shared" si="10"/>
        <v>1</v>
      </c>
      <c r="AD53" s="192">
        <f t="shared" si="11"/>
        <v>0</v>
      </c>
      <c r="AE53" s="192">
        <f t="shared" si="11"/>
        <v>1</v>
      </c>
      <c r="AF53" s="192">
        <f t="shared" si="12"/>
        <v>1</v>
      </c>
      <c r="AG53" s="192">
        <f t="shared" si="13"/>
        <v>1</v>
      </c>
      <c r="BC53" s="192" t="str">
        <f t="shared" si="14"/>
        <v>תל אביב והסביבה (עד 30 קילומטר מתל-אביב)</v>
      </c>
      <c r="BD53" s="192" t="str">
        <f t="shared" si="14"/>
        <v>מעל 30 ועד 60 קילומטר מתל-אביב (נתניה חדרה, יבנה, גדרה)</v>
      </c>
      <c r="BE53" s="192" t="str">
        <f t="shared" si="14"/>
        <v>מעל 60 ועד 100 קילומטר מתל-אביב (ירושלים, חיפה)</v>
      </c>
      <c r="BF53" s="192" t="str">
        <f t="shared" si="14"/>
        <v>מעל 100 קילומטר מתל-אביב (עכו, באר שבע, טבריה)</v>
      </c>
    </row>
    <row r="54" spans="2:58" ht="23.25" customHeight="1" x14ac:dyDescent="0.25">
      <c r="B54" s="7" t="str">
        <f t="shared" si="6"/>
        <v/>
      </c>
      <c r="C54" s="4"/>
      <c r="D54" s="4"/>
      <c r="E54" s="4"/>
      <c r="F54" s="230" t="str">
        <f>IF('תנאי סף'!AO54&lt;&gt;1,"",'תנאי סף'!F54)</f>
        <v/>
      </c>
      <c r="G54" s="491"/>
      <c r="H54" s="159" t="str">
        <f>IF($F54="","",IFERROR(VLOOKUP(G54,הלמס!A:G,4,0),""))</f>
        <v/>
      </c>
      <c r="I54" s="158"/>
      <c r="J54" s="177"/>
      <c r="K54" s="6"/>
      <c r="L54" s="5"/>
      <c r="M54" s="6"/>
      <c r="N54" s="5"/>
      <c r="O54" s="6"/>
      <c r="P54" s="6"/>
      <c r="Q54" s="158"/>
      <c r="R54" s="177"/>
      <c r="S54" s="8"/>
      <c r="T54" s="8"/>
      <c r="U54" s="8"/>
      <c r="V54" s="8"/>
      <c r="W54" s="159" t="str">
        <f t="shared" si="3"/>
        <v/>
      </c>
      <c r="X54" s="8">
        <v>1</v>
      </c>
      <c r="Y54" s="8" t="str">
        <f t="shared" si="7"/>
        <v/>
      </c>
      <c r="Z54" s="8">
        <v>1</v>
      </c>
      <c r="AA54" s="8" t="str">
        <f t="shared" si="8"/>
        <v/>
      </c>
      <c r="AB54" s="352" t="str">
        <f t="shared" si="9"/>
        <v/>
      </c>
      <c r="AC54" s="192">
        <f t="shared" si="10"/>
        <v>0</v>
      </c>
      <c r="AD54" s="192" t="str">
        <f t="shared" si="11"/>
        <v/>
      </c>
      <c r="AE54" s="192" t="str">
        <f t="shared" si="11"/>
        <v/>
      </c>
      <c r="AF54" s="192">
        <f t="shared" si="12"/>
        <v>0</v>
      </c>
      <c r="AG54" s="192">
        <f t="shared" si="13"/>
        <v>0</v>
      </c>
      <c r="BC54" s="192" t="str">
        <f t="shared" si="14"/>
        <v/>
      </c>
      <c r="BD54" s="192" t="str">
        <f t="shared" si="14"/>
        <v/>
      </c>
      <c r="BE54" s="192" t="str">
        <f t="shared" si="14"/>
        <v/>
      </c>
      <c r="BF54" s="192" t="str">
        <f t="shared" si="14"/>
        <v/>
      </c>
    </row>
    <row r="55" spans="2:58" ht="23.25" customHeight="1" x14ac:dyDescent="0.25">
      <c r="B55" s="7" t="str">
        <f t="shared" si="6"/>
        <v/>
      </c>
      <c r="C55" s="4"/>
      <c r="D55" s="4"/>
      <c r="E55" s="4"/>
      <c r="F55" s="230" t="str">
        <f>IF('תנאי סף'!AO55&lt;&gt;1,"",'תנאי סף'!F55)</f>
        <v/>
      </c>
      <c r="G55" s="491"/>
      <c r="H55" s="159" t="str">
        <f>IF($F55="","",IFERROR(VLOOKUP(G55,הלמס!A:G,4,0),""))</f>
        <v/>
      </c>
      <c r="I55" s="158"/>
      <c r="J55" s="177"/>
      <c r="K55" s="6"/>
      <c r="L55" s="5"/>
      <c r="M55" s="6"/>
      <c r="N55" s="5"/>
      <c r="O55" s="6"/>
      <c r="P55" s="6"/>
      <c r="Q55" s="158"/>
      <c r="R55" s="177"/>
      <c r="S55" s="8"/>
      <c r="T55" s="8"/>
      <c r="U55" s="8"/>
      <c r="V55" s="8"/>
      <c r="W55" s="159" t="str">
        <f t="shared" si="3"/>
        <v/>
      </c>
      <c r="X55" s="8">
        <v>1</v>
      </c>
      <c r="Y55" s="8" t="str">
        <f t="shared" si="7"/>
        <v/>
      </c>
      <c r="Z55" s="8">
        <v>1</v>
      </c>
      <c r="AA55" s="8" t="str">
        <f t="shared" si="8"/>
        <v/>
      </c>
      <c r="AB55" s="352" t="str">
        <f t="shared" si="9"/>
        <v/>
      </c>
      <c r="AC55" s="192">
        <f t="shared" si="10"/>
        <v>0</v>
      </c>
      <c r="AD55" s="192" t="str">
        <f t="shared" si="11"/>
        <v/>
      </c>
      <c r="AE55" s="192" t="str">
        <f t="shared" si="11"/>
        <v/>
      </c>
      <c r="AF55" s="192">
        <f t="shared" si="12"/>
        <v>0</v>
      </c>
      <c r="AG55" s="192">
        <f t="shared" si="13"/>
        <v>0</v>
      </c>
      <c r="BC55" s="192" t="str">
        <f t="shared" si="14"/>
        <v/>
      </c>
      <c r="BD55" s="192" t="str">
        <f t="shared" si="14"/>
        <v/>
      </c>
      <c r="BE55" s="192" t="str">
        <f t="shared" si="14"/>
        <v/>
      </c>
      <c r="BF55" s="192" t="str">
        <f t="shared" si="14"/>
        <v/>
      </c>
    </row>
    <row r="56" spans="2:58" ht="23.25" customHeight="1" x14ac:dyDescent="0.25">
      <c r="B56" s="7">
        <f t="shared" si="6"/>
        <v>26</v>
      </c>
      <c r="C56" s="4"/>
      <c r="D56" s="4"/>
      <c r="E56" s="4"/>
      <c r="F56" s="230" t="str">
        <f>IF('תנאי סף'!AO56&lt;&gt;1,"",'תנאי סף'!F56)</f>
        <v>אנסמבל מצו</v>
      </c>
      <c r="G56" s="491"/>
      <c r="H56" s="159" t="str">
        <f>IF($F56="","",IFERROR(VLOOKUP(G56,הלמס!A:G,4,0),""))</f>
        <v/>
      </c>
      <c r="I56" s="158" t="s">
        <v>94</v>
      </c>
      <c r="J56" s="177">
        <v>0</v>
      </c>
      <c r="K56" s="6"/>
      <c r="L56" s="5"/>
      <c r="M56" s="6"/>
      <c r="N56" s="5"/>
      <c r="O56" s="6"/>
      <c r="P56" s="6"/>
      <c r="Q56" s="158"/>
      <c r="R56" s="177"/>
      <c r="S56" s="8"/>
      <c r="T56" s="8"/>
      <c r="U56" s="8"/>
      <c r="V56" s="8"/>
      <c r="W56" s="159">
        <f t="shared" si="3"/>
        <v>0</v>
      </c>
      <c r="X56" s="8">
        <v>1</v>
      </c>
      <c r="Y56" s="8">
        <f t="shared" si="7"/>
        <v>0</v>
      </c>
      <c r="Z56" s="8">
        <v>1</v>
      </c>
      <c r="AA56" s="8">
        <f t="shared" si="8"/>
        <v>0</v>
      </c>
      <c r="AB56" s="352">
        <f t="shared" si="9"/>
        <v>0</v>
      </c>
      <c r="AC56" s="192">
        <f t="shared" si="10"/>
        <v>1</v>
      </c>
      <c r="AD56" s="192">
        <f t="shared" si="11"/>
        <v>0</v>
      </c>
      <c r="AE56" s="192">
        <f t="shared" si="11"/>
        <v>1</v>
      </c>
      <c r="AF56" s="192">
        <f t="shared" si="12"/>
        <v>1</v>
      </c>
      <c r="AG56" s="192">
        <f t="shared" si="13"/>
        <v>1</v>
      </c>
      <c r="BC56" s="192" t="str">
        <f t="shared" si="14"/>
        <v>תל אביב והסביבה (עד 30 קילומטר מתל-אביב)</v>
      </c>
      <c r="BD56" s="192" t="str">
        <f t="shared" si="14"/>
        <v>מעל 30 ועד 60 קילומטר מתל-אביב (נתניה חדרה, יבנה, גדרה)</v>
      </c>
      <c r="BE56" s="192" t="str">
        <f t="shared" si="14"/>
        <v>מעל 60 ועד 100 קילומטר מתל-אביב (ירושלים, חיפה)</v>
      </c>
      <c r="BF56" s="192" t="str">
        <f t="shared" si="14"/>
        <v>מעל 100 קילומטר מתל-אביב (עכו, באר שבע, טבריה)</v>
      </c>
    </row>
    <row r="57" spans="2:58" ht="23.25" customHeight="1" x14ac:dyDescent="0.25">
      <c r="B57" s="7" t="str">
        <f t="shared" si="6"/>
        <v/>
      </c>
      <c r="C57" s="4"/>
      <c r="D57" s="4"/>
      <c r="E57" s="4"/>
      <c r="F57" s="230" t="str">
        <f>IF('תנאי סף'!AO57&lt;&gt;1,"",'תנאי סף'!F57)</f>
        <v/>
      </c>
      <c r="G57" s="491"/>
      <c r="H57" s="159" t="str">
        <f>IF($F57="","",IFERROR(VLOOKUP(G57,הלמס!A:G,4,0),""))</f>
        <v/>
      </c>
      <c r="I57" s="158"/>
      <c r="J57" s="177"/>
      <c r="K57" s="6"/>
      <c r="L57" s="5"/>
      <c r="M57" s="6"/>
      <c r="N57" s="5"/>
      <c r="O57" s="6"/>
      <c r="P57" s="6"/>
      <c r="Q57" s="158"/>
      <c r="R57" s="177"/>
      <c r="S57" s="8"/>
      <c r="T57" s="8"/>
      <c r="U57" s="8"/>
      <c r="V57" s="8"/>
      <c r="W57" s="159" t="str">
        <f t="shared" si="3"/>
        <v/>
      </c>
      <c r="X57" s="8">
        <v>1</v>
      </c>
      <c r="Y57" s="8" t="str">
        <f t="shared" si="7"/>
        <v/>
      </c>
      <c r="Z57" s="8">
        <v>1</v>
      </c>
      <c r="AA57" s="8" t="str">
        <f t="shared" si="8"/>
        <v/>
      </c>
      <c r="AB57" s="352" t="str">
        <f t="shared" si="9"/>
        <v/>
      </c>
      <c r="AC57" s="192">
        <f t="shared" si="10"/>
        <v>0</v>
      </c>
      <c r="AD57" s="192" t="str">
        <f t="shared" si="11"/>
        <v/>
      </c>
      <c r="AE57" s="192" t="str">
        <f t="shared" si="11"/>
        <v/>
      </c>
      <c r="AF57" s="192">
        <f t="shared" si="12"/>
        <v>0</v>
      </c>
      <c r="AG57" s="192">
        <f t="shared" si="13"/>
        <v>0</v>
      </c>
      <c r="BC57" s="192" t="str">
        <f t="shared" si="14"/>
        <v/>
      </c>
      <c r="BD57" s="192" t="str">
        <f t="shared" si="14"/>
        <v/>
      </c>
      <c r="BE57" s="192" t="str">
        <f t="shared" si="14"/>
        <v/>
      </c>
      <c r="BF57" s="192" t="str">
        <f t="shared" si="14"/>
        <v/>
      </c>
    </row>
    <row r="58" spans="2:58" ht="23.25" customHeight="1" x14ac:dyDescent="0.25">
      <c r="B58" s="7">
        <f t="shared" si="6"/>
        <v>28</v>
      </c>
      <c r="C58" s="4"/>
      <c r="D58" s="4"/>
      <c r="E58" s="4"/>
      <c r="F58" s="230" t="str">
        <f>IF('תנאי סף'!AO58&lt;&gt;1,"",'תנאי סף'!F58)</f>
        <v>תמיכה שותפת- קבוצת מוסיקה נובה</v>
      </c>
      <c r="G58" s="491"/>
      <c r="H58" s="159" t="str">
        <f>IF($F58="","",IFERROR(VLOOKUP(G58,הלמס!A:G,4,0),""))</f>
        <v/>
      </c>
      <c r="I58" s="158" t="s">
        <v>94</v>
      </c>
      <c r="J58" s="177">
        <v>0</v>
      </c>
      <c r="K58" s="6"/>
      <c r="L58" s="5"/>
      <c r="M58" s="6"/>
      <c r="N58" s="5"/>
      <c r="O58" s="6"/>
      <c r="P58" s="6"/>
      <c r="Q58" s="158"/>
      <c r="R58" s="177"/>
      <c r="S58" s="8"/>
      <c r="T58" s="8"/>
      <c r="U58" s="8"/>
      <c r="V58" s="8"/>
      <c r="W58" s="159">
        <f t="shared" si="3"/>
        <v>0</v>
      </c>
      <c r="X58" s="8">
        <v>1</v>
      </c>
      <c r="Y58" s="8">
        <f t="shared" si="7"/>
        <v>0</v>
      </c>
      <c r="Z58" s="8">
        <v>1</v>
      </c>
      <c r="AA58" s="8">
        <f t="shared" si="8"/>
        <v>0</v>
      </c>
      <c r="AB58" s="352">
        <f t="shared" si="9"/>
        <v>0</v>
      </c>
      <c r="AC58" s="192">
        <f t="shared" si="10"/>
        <v>1</v>
      </c>
      <c r="AD58" s="192">
        <f t="shared" si="11"/>
        <v>0</v>
      </c>
      <c r="AE58" s="192">
        <f t="shared" si="11"/>
        <v>1</v>
      </c>
      <c r="AF58" s="192">
        <f t="shared" si="12"/>
        <v>1</v>
      </c>
      <c r="AG58" s="192">
        <f t="shared" si="13"/>
        <v>1</v>
      </c>
      <c r="BC58" s="192" t="str">
        <f t="shared" si="14"/>
        <v>תל אביב והסביבה (עד 30 קילומטר מתל-אביב)</v>
      </c>
      <c r="BD58" s="192" t="str">
        <f t="shared" si="14"/>
        <v>מעל 30 ועד 60 קילומטר מתל-אביב (נתניה חדרה, יבנה, גדרה)</v>
      </c>
      <c r="BE58" s="192" t="str">
        <f t="shared" si="14"/>
        <v>מעל 60 ועד 100 קילומטר מתל-אביב (ירושלים, חיפה)</v>
      </c>
      <c r="BF58" s="192" t="str">
        <f t="shared" si="14"/>
        <v>מעל 100 קילומטר מתל-אביב (עכו, באר שבע, טבריה)</v>
      </c>
    </row>
    <row r="59" spans="2:58" ht="23.25" customHeight="1" x14ac:dyDescent="0.25">
      <c r="B59" s="7" t="str">
        <f t="shared" si="6"/>
        <v/>
      </c>
      <c r="C59" s="4"/>
      <c r="D59" s="4"/>
      <c r="E59" s="4"/>
      <c r="F59" s="230" t="str">
        <f>IF('תנאי סף'!AO59&lt;&gt;1,"",'תנאי סף'!F59)</f>
        <v/>
      </c>
      <c r="G59" s="491"/>
      <c r="H59" s="159" t="str">
        <f>IF($F59="","",IFERROR(VLOOKUP(G59,הלמס!A:G,4,0),""))</f>
        <v/>
      </c>
      <c r="I59" s="158"/>
      <c r="J59" s="177"/>
      <c r="K59" s="6"/>
      <c r="L59" s="5"/>
      <c r="M59" s="6"/>
      <c r="N59" s="5"/>
      <c r="O59" s="6"/>
      <c r="P59" s="6"/>
      <c r="Q59" s="158"/>
      <c r="R59" s="177"/>
      <c r="S59" s="8"/>
      <c r="T59" s="8"/>
      <c r="U59" s="8"/>
      <c r="V59" s="8"/>
      <c r="W59" s="159" t="str">
        <f t="shared" si="3"/>
        <v/>
      </c>
      <c r="X59" s="8">
        <v>1</v>
      </c>
      <c r="Y59" s="8" t="str">
        <f t="shared" si="7"/>
        <v/>
      </c>
      <c r="Z59" s="8">
        <v>1</v>
      </c>
      <c r="AA59" s="8" t="str">
        <f t="shared" si="8"/>
        <v/>
      </c>
      <c r="AB59" s="352" t="str">
        <f t="shared" si="9"/>
        <v/>
      </c>
      <c r="AC59" s="192">
        <f t="shared" si="10"/>
        <v>0</v>
      </c>
      <c r="AD59" s="192" t="str">
        <f t="shared" si="11"/>
        <v/>
      </c>
      <c r="AE59" s="192" t="str">
        <f t="shared" si="11"/>
        <v/>
      </c>
      <c r="AF59" s="192">
        <f t="shared" si="12"/>
        <v>0</v>
      </c>
      <c r="AG59" s="192">
        <f t="shared" si="13"/>
        <v>0</v>
      </c>
      <c r="BC59" s="192" t="str">
        <f t="shared" si="14"/>
        <v/>
      </c>
      <c r="BD59" s="192" t="str">
        <f t="shared" si="14"/>
        <v/>
      </c>
      <c r="BE59" s="192" t="str">
        <f t="shared" si="14"/>
        <v/>
      </c>
      <c r="BF59" s="192" t="str">
        <f t="shared" si="14"/>
        <v/>
      </c>
    </row>
    <row r="60" spans="2:58" ht="23.25" customHeight="1" x14ac:dyDescent="0.25">
      <c r="B60" s="7" t="str">
        <f t="shared" si="6"/>
        <v/>
      </c>
      <c r="C60" s="4"/>
      <c r="D60" s="4"/>
      <c r="E60" s="4"/>
      <c r="F60" s="230" t="str">
        <f>IF('תנאי סף'!AO60&lt;&gt;1,"",'תנאי סף'!F60)</f>
        <v/>
      </c>
      <c r="G60" s="491"/>
      <c r="H60" s="159" t="str">
        <f>IF($F60="","",IFERROR(VLOOKUP(G60,הלמס!A:G,4,0),""))</f>
        <v/>
      </c>
      <c r="I60" s="158"/>
      <c r="J60" s="177"/>
      <c r="K60" s="6"/>
      <c r="L60" s="5"/>
      <c r="M60" s="6"/>
      <c r="N60" s="5"/>
      <c r="O60" s="6"/>
      <c r="P60" s="6"/>
      <c r="Q60" s="158"/>
      <c r="R60" s="177"/>
      <c r="S60" s="8"/>
      <c r="T60" s="8"/>
      <c r="U60" s="8"/>
      <c r="V60" s="8"/>
      <c r="W60" s="159" t="str">
        <f t="shared" si="3"/>
        <v/>
      </c>
      <c r="X60" s="8">
        <v>1</v>
      </c>
      <c r="Y60" s="8" t="str">
        <f t="shared" si="7"/>
        <v/>
      </c>
      <c r="Z60" s="8">
        <v>1</v>
      </c>
      <c r="AA60" s="8" t="str">
        <f t="shared" si="8"/>
        <v/>
      </c>
      <c r="AB60" s="352" t="str">
        <f t="shared" si="9"/>
        <v/>
      </c>
      <c r="AC60" s="192">
        <f t="shared" si="10"/>
        <v>0</v>
      </c>
      <c r="AD60" s="192" t="str">
        <f t="shared" si="11"/>
        <v/>
      </c>
      <c r="AE60" s="192" t="str">
        <f t="shared" si="11"/>
        <v/>
      </c>
      <c r="AF60" s="192">
        <f t="shared" si="12"/>
        <v>0</v>
      </c>
      <c r="AG60" s="192">
        <f t="shared" si="13"/>
        <v>0</v>
      </c>
      <c r="BC60" s="192" t="str">
        <f t="shared" si="14"/>
        <v/>
      </c>
      <c r="BD60" s="192" t="str">
        <f t="shared" si="14"/>
        <v/>
      </c>
      <c r="BE60" s="192" t="str">
        <f t="shared" si="14"/>
        <v/>
      </c>
      <c r="BF60" s="192" t="str">
        <f t="shared" si="14"/>
        <v/>
      </c>
    </row>
    <row r="61" spans="2:58" ht="23.25" customHeight="1" x14ac:dyDescent="0.25">
      <c r="B61" s="7" t="str">
        <f t="shared" si="6"/>
        <v/>
      </c>
      <c r="C61" s="4"/>
      <c r="D61" s="4"/>
      <c r="E61" s="4"/>
      <c r="F61" s="230" t="str">
        <f>IF('תנאי סף'!AO61&lt;&gt;1,"",'תנאי סף'!F61)</f>
        <v/>
      </c>
      <c r="G61" s="491"/>
      <c r="H61" s="159" t="str">
        <f>IF($F61="","",IFERROR(VLOOKUP(G61,הלמס!A:G,4,0),""))</f>
        <v/>
      </c>
      <c r="I61" s="158"/>
      <c r="J61" s="177"/>
      <c r="K61" s="6"/>
      <c r="L61" s="5"/>
      <c r="M61" s="6"/>
      <c r="N61" s="5"/>
      <c r="O61" s="6"/>
      <c r="P61" s="6"/>
      <c r="Q61" s="158"/>
      <c r="R61" s="177"/>
      <c r="S61" s="8"/>
      <c r="T61" s="8"/>
      <c r="U61" s="8"/>
      <c r="V61" s="8"/>
      <c r="W61" s="159" t="str">
        <f t="shared" si="3"/>
        <v/>
      </c>
      <c r="X61" s="8">
        <v>1</v>
      </c>
      <c r="Y61" s="8" t="str">
        <f t="shared" si="7"/>
        <v/>
      </c>
      <c r="Z61" s="8">
        <v>1</v>
      </c>
      <c r="AA61" s="8" t="str">
        <f t="shared" si="8"/>
        <v/>
      </c>
      <c r="AB61" s="352" t="str">
        <f t="shared" si="9"/>
        <v/>
      </c>
      <c r="AC61" s="192">
        <f t="shared" si="10"/>
        <v>0</v>
      </c>
      <c r="AD61" s="192" t="str">
        <f t="shared" si="11"/>
        <v/>
      </c>
      <c r="AE61" s="192" t="str">
        <f t="shared" si="11"/>
        <v/>
      </c>
      <c r="AF61" s="192">
        <f t="shared" si="12"/>
        <v>0</v>
      </c>
      <c r="AG61" s="192">
        <f t="shared" si="13"/>
        <v>0</v>
      </c>
      <c r="BC61" s="192" t="str">
        <f t="shared" si="14"/>
        <v/>
      </c>
      <c r="BD61" s="192" t="str">
        <f t="shared" si="14"/>
        <v/>
      </c>
      <c r="BE61" s="192" t="str">
        <f t="shared" si="14"/>
        <v/>
      </c>
      <c r="BF61" s="192" t="str">
        <f t="shared" si="14"/>
        <v/>
      </c>
    </row>
    <row r="62" spans="2:58" ht="23.25" customHeight="1" x14ac:dyDescent="0.25">
      <c r="B62" s="7" t="str">
        <f t="shared" si="6"/>
        <v/>
      </c>
      <c r="C62" s="4"/>
      <c r="D62" s="4"/>
      <c r="E62" s="4"/>
      <c r="F62" s="230" t="str">
        <f>IF('תנאי סף'!AO62&lt;&gt;1,"",'תנאי סף'!F62)</f>
        <v/>
      </c>
      <c r="G62" s="491"/>
      <c r="H62" s="159" t="str">
        <f>IF($F62="","",IFERROR(VLOOKUP(G62,הלמס!A:G,4,0),""))</f>
        <v/>
      </c>
      <c r="I62" s="158"/>
      <c r="J62" s="177"/>
      <c r="K62" s="6"/>
      <c r="L62" s="5"/>
      <c r="M62" s="6"/>
      <c r="N62" s="5"/>
      <c r="O62" s="6"/>
      <c r="P62" s="6"/>
      <c r="Q62" s="158"/>
      <c r="R62" s="177"/>
      <c r="S62" s="8"/>
      <c r="T62" s="8"/>
      <c r="U62" s="8"/>
      <c r="V62" s="8"/>
      <c r="W62" s="159" t="str">
        <f t="shared" si="3"/>
        <v/>
      </c>
      <c r="X62" s="8">
        <v>1</v>
      </c>
      <c r="Y62" s="8" t="str">
        <f t="shared" si="7"/>
        <v/>
      </c>
      <c r="Z62" s="8">
        <v>1</v>
      </c>
      <c r="AA62" s="8" t="str">
        <f t="shared" si="8"/>
        <v/>
      </c>
      <c r="AB62" s="352" t="str">
        <f t="shared" si="9"/>
        <v/>
      </c>
      <c r="AC62" s="192">
        <f t="shared" si="10"/>
        <v>0</v>
      </c>
      <c r="AD62" s="192" t="str">
        <f t="shared" si="11"/>
        <v/>
      </c>
      <c r="AE62" s="192" t="str">
        <f t="shared" si="11"/>
        <v/>
      </c>
      <c r="AF62" s="192">
        <f t="shared" si="12"/>
        <v>0</v>
      </c>
      <c r="AG62" s="192">
        <f t="shared" si="13"/>
        <v>0</v>
      </c>
      <c r="BC62" s="192" t="str">
        <f t="shared" si="14"/>
        <v/>
      </c>
      <c r="BD62" s="192" t="str">
        <f t="shared" si="14"/>
        <v/>
      </c>
      <c r="BE62" s="192" t="str">
        <f t="shared" si="14"/>
        <v/>
      </c>
      <c r="BF62" s="192" t="str">
        <f t="shared" si="14"/>
        <v/>
      </c>
    </row>
    <row r="63" spans="2:58" ht="23.25" customHeight="1" x14ac:dyDescent="0.25">
      <c r="B63" s="7" t="str">
        <f t="shared" si="6"/>
        <v/>
      </c>
      <c r="C63" s="4"/>
      <c r="D63" s="4"/>
      <c r="E63" s="4"/>
      <c r="F63" s="230" t="str">
        <f>IF('תנאי סף'!AO63&lt;&gt;1,"",'תנאי סף'!F63)</f>
        <v/>
      </c>
      <c r="G63" s="491"/>
      <c r="H63" s="159" t="str">
        <f>IF($F63="","",IFERROR(VLOOKUP(G63,הלמס!A:G,4,0),""))</f>
        <v/>
      </c>
      <c r="I63" s="158"/>
      <c r="J63" s="177"/>
      <c r="K63" s="6"/>
      <c r="L63" s="5"/>
      <c r="M63" s="6"/>
      <c r="N63" s="5"/>
      <c r="O63" s="6"/>
      <c r="P63" s="6"/>
      <c r="Q63" s="158"/>
      <c r="R63" s="177"/>
      <c r="S63" s="8"/>
      <c r="T63" s="8"/>
      <c r="U63" s="8"/>
      <c r="V63" s="8"/>
      <c r="W63" s="159" t="str">
        <f t="shared" ref="W63:W94" si="15">IF($F63="","",IF($AC63&lt;&gt;1,$AD$1,MAX($J$9*J63,INDEX($J$5:$J$8,MATCH(I63,$I$5:$I$8,0)))))</f>
        <v/>
      </c>
      <c r="X63" s="8">
        <v>1</v>
      </c>
      <c r="Y63" s="8" t="str">
        <f t="shared" si="7"/>
        <v/>
      </c>
      <c r="Z63" s="8">
        <v>1</v>
      </c>
      <c r="AA63" s="8" t="str">
        <f t="shared" si="8"/>
        <v/>
      </c>
      <c r="AB63" s="352" t="str">
        <f t="shared" si="9"/>
        <v/>
      </c>
      <c r="AC63" s="192">
        <f t="shared" si="10"/>
        <v>0</v>
      </c>
      <c r="AD63" s="192" t="str">
        <f t="shared" si="11"/>
        <v/>
      </c>
      <c r="AE63" s="192" t="str">
        <f t="shared" si="11"/>
        <v/>
      </c>
      <c r="AF63" s="192">
        <f t="shared" si="12"/>
        <v>0</v>
      </c>
      <c r="AG63" s="192">
        <f t="shared" si="13"/>
        <v>0</v>
      </c>
      <c r="BC63" s="192" t="str">
        <f t="shared" si="14"/>
        <v/>
      </c>
      <c r="BD63" s="192" t="str">
        <f t="shared" si="14"/>
        <v/>
      </c>
      <c r="BE63" s="192" t="str">
        <f t="shared" si="14"/>
        <v/>
      </c>
      <c r="BF63" s="192" t="str">
        <f t="shared" si="14"/>
        <v/>
      </c>
    </row>
    <row r="64" spans="2:58" ht="23.25" customHeight="1" x14ac:dyDescent="0.25">
      <c r="B64" s="7" t="str">
        <f t="shared" si="6"/>
        <v/>
      </c>
      <c r="C64" s="4"/>
      <c r="D64" s="4"/>
      <c r="E64" s="4"/>
      <c r="F64" s="230" t="str">
        <f>IF('תנאי סף'!AO64&lt;&gt;1,"",'תנאי סף'!F64)</f>
        <v/>
      </c>
      <c r="G64" s="491"/>
      <c r="H64" s="159" t="str">
        <f>IF($F64="","",IFERROR(VLOOKUP(G64,הלמס!A:G,4,0),""))</f>
        <v/>
      </c>
      <c r="I64" s="158"/>
      <c r="J64" s="177"/>
      <c r="K64" s="6"/>
      <c r="L64" s="5"/>
      <c r="M64" s="6"/>
      <c r="N64" s="5"/>
      <c r="O64" s="6"/>
      <c r="P64" s="6"/>
      <c r="Q64" s="158"/>
      <c r="R64" s="177"/>
      <c r="S64" s="8"/>
      <c r="T64" s="8"/>
      <c r="U64" s="8"/>
      <c r="V64" s="8"/>
      <c r="W64" s="159" t="str">
        <f t="shared" si="15"/>
        <v/>
      </c>
      <c r="X64" s="8">
        <v>1</v>
      </c>
      <c r="Y64" s="8" t="str">
        <f t="shared" si="7"/>
        <v/>
      </c>
      <c r="Z64" s="8">
        <v>1</v>
      </c>
      <c r="AA64" s="8" t="str">
        <f t="shared" si="8"/>
        <v/>
      </c>
      <c r="AB64" s="352" t="str">
        <f t="shared" si="9"/>
        <v/>
      </c>
      <c r="AC64" s="192">
        <f t="shared" si="10"/>
        <v>0</v>
      </c>
      <c r="AD64" s="192" t="str">
        <f t="shared" ref="AD64:AE91" si="16">IF($F64="","",AD$30)</f>
        <v/>
      </c>
      <c r="AE64" s="192" t="str">
        <f t="shared" si="16"/>
        <v/>
      </c>
      <c r="AF64" s="192">
        <f t="shared" si="12"/>
        <v>0</v>
      </c>
      <c r="AG64" s="192">
        <f t="shared" si="13"/>
        <v>0</v>
      </c>
      <c r="BC64" s="192" t="str">
        <f t="shared" si="14"/>
        <v/>
      </c>
      <c r="BD64" s="192" t="str">
        <f t="shared" si="14"/>
        <v/>
      </c>
      <c r="BE64" s="192" t="str">
        <f t="shared" si="14"/>
        <v/>
      </c>
      <c r="BF64" s="192" t="str">
        <f t="shared" si="14"/>
        <v/>
      </c>
    </row>
    <row r="65" spans="2:58" ht="23.25" customHeight="1" x14ac:dyDescent="0.25">
      <c r="B65" s="7">
        <f t="shared" si="6"/>
        <v>35</v>
      </c>
      <c r="C65" s="4"/>
      <c r="D65" s="4"/>
      <c r="E65" s="4"/>
      <c r="F65" s="230" t="str">
        <f>IF('תנאי סף'!AO65&lt;&gt;1,"",'תנאי סף'!F65)</f>
        <v>אנסמבל מיתר</v>
      </c>
      <c r="G65" s="491"/>
      <c r="H65" s="159" t="str">
        <f>IF($F65="","",IFERROR(VLOOKUP(G65,הלמס!A:G,4,0),""))</f>
        <v/>
      </c>
      <c r="I65" s="158" t="s">
        <v>94</v>
      </c>
      <c r="J65" s="177">
        <v>0</v>
      </c>
      <c r="K65" s="6"/>
      <c r="L65" s="5"/>
      <c r="M65" s="6"/>
      <c r="N65" s="5"/>
      <c r="O65" s="6"/>
      <c r="P65" s="6"/>
      <c r="Q65" s="158"/>
      <c r="R65" s="177"/>
      <c r="S65" s="8"/>
      <c r="T65" s="8"/>
      <c r="U65" s="8"/>
      <c r="V65" s="8"/>
      <c r="W65" s="159">
        <f t="shared" si="15"/>
        <v>0</v>
      </c>
      <c r="X65" s="8">
        <v>1</v>
      </c>
      <c r="Y65" s="8">
        <f t="shared" si="7"/>
        <v>0</v>
      </c>
      <c r="Z65" s="8">
        <v>1</v>
      </c>
      <c r="AA65" s="8">
        <f t="shared" si="8"/>
        <v>0</v>
      </c>
      <c r="AB65" s="352">
        <f t="shared" si="9"/>
        <v>0</v>
      </c>
      <c r="AC65" s="192">
        <f t="shared" si="10"/>
        <v>1</v>
      </c>
      <c r="AD65" s="192">
        <f t="shared" si="16"/>
        <v>0</v>
      </c>
      <c r="AE65" s="192">
        <f t="shared" si="16"/>
        <v>1</v>
      </c>
      <c r="AF65" s="192">
        <f t="shared" si="12"/>
        <v>1</v>
      </c>
      <c r="AG65" s="192">
        <f t="shared" si="13"/>
        <v>1</v>
      </c>
      <c r="BC65" s="192" t="str">
        <f t="shared" si="14"/>
        <v>תל אביב והסביבה (עד 30 קילומטר מתל-אביב)</v>
      </c>
      <c r="BD65" s="192" t="str">
        <f t="shared" si="14"/>
        <v>מעל 30 ועד 60 קילומטר מתל-אביב (נתניה חדרה, יבנה, גדרה)</v>
      </c>
      <c r="BE65" s="192" t="str">
        <f t="shared" si="14"/>
        <v>מעל 60 ועד 100 קילומטר מתל-אביב (ירושלים, חיפה)</v>
      </c>
      <c r="BF65" s="192" t="str">
        <f t="shared" si="14"/>
        <v>מעל 100 קילומטר מתל-אביב (עכו, באר שבע, טבריה)</v>
      </c>
    </row>
    <row r="66" spans="2:58" ht="23.25" customHeight="1" x14ac:dyDescent="0.25">
      <c r="B66" s="7" t="str">
        <f t="shared" si="6"/>
        <v/>
      </c>
      <c r="C66" s="4"/>
      <c r="D66" s="4"/>
      <c r="E66" s="4"/>
      <c r="F66" s="230" t="str">
        <f>IF('תנאי סף'!AO66&lt;&gt;1,"",'תנאי סף'!F66)</f>
        <v/>
      </c>
      <c r="G66" s="491"/>
      <c r="H66" s="159" t="str">
        <f>IF($F66="","",IFERROR(VLOOKUP(G66,הלמס!A:G,4,0),""))</f>
        <v/>
      </c>
      <c r="I66" s="158"/>
      <c r="J66" s="177"/>
      <c r="K66" s="6"/>
      <c r="L66" s="5"/>
      <c r="M66" s="6"/>
      <c r="N66" s="5"/>
      <c r="O66" s="6"/>
      <c r="P66" s="6"/>
      <c r="Q66" s="158"/>
      <c r="R66" s="177"/>
      <c r="S66" s="8"/>
      <c r="T66" s="8"/>
      <c r="U66" s="8"/>
      <c r="V66" s="8"/>
      <c r="W66" s="159" t="str">
        <f t="shared" si="15"/>
        <v/>
      </c>
      <c r="X66" s="8">
        <v>1</v>
      </c>
      <c r="Y66" s="8" t="str">
        <f t="shared" si="7"/>
        <v/>
      </c>
      <c r="Z66" s="8">
        <v>1</v>
      </c>
      <c r="AA66" s="8" t="str">
        <f t="shared" si="8"/>
        <v/>
      </c>
      <c r="AB66" s="352" t="str">
        <f t="shared" si="9"/>
        <v/>
      </c>
      <c r="AC66" s="192">
        <f t="shared" si="10"/>
        <v>0</v>
      </c>
      <c r="AD66" s="192" t="str">
        <f t="shared" si="16"/>
        <v/>
      </c>
      <c r="AE66" s="192" t="str">
        <f t="shared" si="16"/>
        <v/>
      </c>
      <c r="AF66" s="192">
        <f t="shared" si="12"/>
        <v>0</v>
      </c>
      <c r="AG66" s="192">
        <f t="shared" si="13"/>
        <v>0</v>
      </c>
      <c r="BC66" s="192" t="str">
        <f t="shared" si="14"/>
        <v/>
      </c>
      <c r="BD66" s="192" t="str">
        <f t="shared" si="14"/>
        <v/>
      </c>
      <c r="BE66" s="192" t="str">
        <f t="shared" si="14"/>
        <v/>
      </c>
      <c r="BF66" s="192" t="str">
        <f t="shared" si="14"/>
        <v/>
      </c>
    </row>
    <row r="67" spans="2:58" ht="23.25" customHeight="1" x14ac:dyDescent="0.25">
      <c r="B67" s="7">
        <f t="shared" si="6"/>
        <v>37</v>
      </c>
      <c r="C67" s="4"/>
      <c r="D67" s="4"/>
      <c r="E67" s="4"/>
      <c r="F67" s="230" t="str">
        <f>IF('תנאי סף'!AO67&lt;&gt;1,"",'תנאי סף'!F67)</f>
        <v>אנסמבל ארז נטף</v>
      </c>
      <c r="G67" s="491"/>
      <c r="H67" s="159" t="str">
        <f>IF($F67="","",IFERROR(VLOOKUP(G67,הלמס!A:G,4,0),""))</f>
        <v/>
      </c>
      <c r="I67" s="158" t="s">
        <v>95</v>
      </c>
      <c r="J67" s="177">
        <v>1</v>
      </c>
      <c r="K67" s="6"/>
      <c r="L67" s="5"/>
      <c r="M67" s="6"/>
      <c r="N67" s="5"/>
      <c r="O67" s="6"/>
      <c r="P67" s="6"/>
      <c r="Q67" s="158"/>
      <c r="R67" s="177"/>
      <c r="S67" s="8"/>
      <c r="T67" s="8"/>
      <c r="U67" s="8"/>
      <c r="V67" s="8"/>
      <c r="W67" s="159">
        <f t="shared" si="15"/>
        <v>2</v>
      </c>
      <c r="X67" s="8">
        <v>1</v>
      </c>
      <c r="Y67" s="8">
        <f t="shared" si="7"/>
        <v>2</v>
      </c>
      <c r="Z67" s="8">
        <v>1</v>
      </c>
      <c r="AA67" s="8">
        <f t="shared" si="8"/>
        <v>2</v>
      </c>
      <c r="AB67" s="352">
        <f t="shared" si="9"/>
        <v>6.8965517241379309E-2</v>
      </c>
      <c r="AC67" s="192">
        <f t="shared" si="10"/>
        <v>1</v>
      </c>
      <c r="AD67" s="192">
        <f t="shared" si="16"/>
        <v>0</v>
      </c>
      <c r="AE67" s="192">
        <f t="shared" si="16"/>
        <v>1</v>
      </c>
      <c r="AF67" s="192">
        <f t="shared" si="12"/>
        <v>1</v>
      </c>
      <c r="AG67" s="192">
        <f t="shared" si="13"/>
        <v>1</v>
      </c>
      <c r="BC67" s="192" t="str">
        <f t="shared" si="14"/>
        <v>תל אביב והסביבה (עד 30 קילומטר מתל-אביב)</v>
      </c>
      <c r="BD67" s="192" t="str">
        <f t="shared" si="14"/>
        <v>מעל 30 ועד 60 קילומטר מתל-אביב (נתניה חדרה, יבנה, גדרה)</v>
      </c>
      <c r="BE67" s="192" t="str">
        <f t="shared" si="14"/>
        <v>מעל 60 ועד 100 קילומטר מתל-אביב (ירושלים, חיפה)</v>
      </c>
      <c r="BF67" s="192" t="str">
        <f t="shared" si="14"/>
        <v>מעל 100 קילומטר מתל-אביב (עכו, באר שבע, טבריה)</v>
      </c>
    </row>
    <row r="68" spans="2:58" ht="23.25" customHeight="1" x14ac:dyDescent="0.25">
      <c r="B68" s="7" t="str">
        <f t="shared" si="6"/>
        <v/>
      </c>
      <c r="C68" s="4"/>
      <c r="D68" s="4"/>
      <c r="E68" s="4"/>
      <c r="F68" s="230" t="str">
        <f>IF('תנאי סף'!AO68&lt;&gt;1,"",'תנאי סף'!F68)</f>
        <v/>
      </c>
      <c r="G68" s="491"/>
      <c r="H68" s="159" t="str">
        <f>IF($F68="","",IFERROR(VLOOKUP(G68,הלמס!A:G,4,0),""))</f>
        <v/>
      </c>
      <c r="I68" s="158"/>
      <c r="J68" s="177"/>
      <c r="K68" s="6"/>
      <c r="L68" s="5"/>
      <c r="M68" s="6"/>
      <c r="N68" s="5"/>
      <c r="O68" s="6"/>
      <c r="P68" s="6"/>
      <c r="Q68" s="158"/>
      <c r="R68" s="177"/>
      <c r="S68" s="8"/>
      <c r="T68" s="8"/>
      <c r="U68" s="8"/>
      <c r="V68" s="8"/>
      <c r="W68" s="159" t="str">
        <f t="shared" si="15"/>
        <v/>
      </c>
      <c r="X68" s="8">
        <v>1</v>
      </c>
      <c r="Y68" s="8" t="str">
        <f t="shared" si="7"/>
        <v/>
      </c>
      <c r="Z68" s="8">
        <v>1</v>
      </c>
      <c r="AA68" s="8" t="str">
        <f t="shared" si="8"/>
        <v/>
      </c>
      <c r="AB68" s="352" t="str">
        <f t="shared" si="9"/>
        <v/>
      </c>
      <c r="AC68" s="192">
        <f t="shared" si="10"/>
        <v>0</v>
      </c>
      <c r="AD68" s="192" t="str">
        <f t="shared" si="16"/>
        <v/>
      </c>
      <c r="AE68" s="192" t="str">
        <f t="shared" si="16"/>
        <v/>
      </c>
      <c r="AF68" s="192">
        <f t="shared" si="12"/>
        <v>0</v>
      </c>
      <c r="AG68" s="192">
        <f t="shared" si="13"/>
        <v>0</v>
      </c>
      <c r="BC68" s="192" t="str">
        <f t="shared" si="14"/>
        <v/>
      </c>
      <c r="BD68" s="192" t="str">
        <f t="shared" si="14"/>
        <v/>
      </c>
      <c r="BE68" s="192" t="str">
        <f t="shared" si="14"/>
        <v/>
      </c>
      <c r="BF68" s="192" t="str">
        <f t="shared" si="14"/>
        <v/>
      </c>
    </row>
    <row r="69" spans="2:58" ht="23.25" customHeight="1" x14ac:dyDescent="0.25">
      <c r="B69" s="7" t="str">
        <f t="shared" si="6"/>
        <v/>
      </c>
      <c r="C69" s="4"/>
      <c r="D69" s="4"/>
      <c r="E69" s="4"/>
      <c r="F69" s="230" t="str">
        <f>IF('תנאי סף'!AO69&lt;&gt;1,"",'תנאי סף'!F69)</f>
        <v/>
      </c>
      <c r="G69" s="491"/>
      <c r="H69" s="159" t="str">
        <f>IF($F69="","",IFERROR(VLOOKUP(G69,הלמס!A:G,4,0),""))</f>
        <v/>
      </c>
      <c r="I69" s="158"/>
      <c r="J69" s="177"/>
      <c r="K69" s="6"/>
      <c r="L69" s="5"/>
      <c r="M69" s="6"/>
      <c r="N69" s="5"/>
      <c r="O69" s="6"/>
      <c r="P69" s="6"/>
      <c r="Q69" s="158"/>
      <c r="R69" s="177"/>
      <c r="S69" s="8"/>
      <c r="T69" s="8"/>
      <c r="U69" s="8"/>
      <c r="V69" s="8"/>
      <c r="W69" s="159" t="str">
        <f t="shared" si="15"/>
        <v/>
      </c>
      <c r="X69" s="8">
        <v>1</v>
      </c>
      <c r="Y69" s="8" t="str">
        <f t="shared" si="7"/>
        <v/>
      </c>
      <c r="Z69" s="8">
        <v>1</v>
      </c>
      <c r="AA69" s="8" t="str">
        <f t="shared" si="8"/>
        <v/>
      </c>
      <c r="AB69" s="352" t="str">
        <f t="shared" si="9"/>
        <v/>
      </c>
      <c r="AC69" s="192">
        <f t="shared" si="10"/>
        <v>0</v>
      </c>
      <c r="AD69" s="192" t="str">
        <f t="shared" si="16"/>
        <v/>
      </c>
      <c r="AE69" s="192" t="str">
        <f t="shared" si="16"/>
        <v/>
      </c>
      <c r="AF69" s="192">
        <f t="shared" si="12"/>
        <v>0</v>
      </c>
      <c r="AG69" s="192">
        <f t="shared" si="13"/>
        <v>0</v>
      </c>
      <c r="BC69" s="192" t="str">
        <f t="shared" si="14"/>
        <v/>
      </c>
      <c r="BD69" s="192" t="str">
        <f t="shared" si="14"/>
        <v/>
      </c>
      <c r="BE69" s="192" t="str">
        <f t="shared" si="14"/>
        <v/>
      </c>
      <c r="BF69" s="192" t="str">
        <f t="shared" si="14"/>
        <v/>
      </c>
    </row>
    <row r="70" spans="2:58" ht="23.25" customHeight="1" x14ac:dyDescent="0.25">
      <c r="B70" s="7">
        <f t="shared" si="6"/>
        <v>40</v>
      </c>
      <c r="C70" s="4"/>
      <c r="D70" s="4"/>
      <c r="E70" s="4"/>
      <c r="F70" s="230" t="str">
        <f>IF('תנאי סף'!AO70&lt;&gt;1,"",'תנאי סף'!F70)</f>
        <v>תו המשווה (ע"ר)</v>
      </c>
      <c r="G70" s="491"/>
      <c r="H70" s="159" t="str">
        <f>IF($F70="","",IFERROR(VLOOKUP(G70,הלמס!A:G,4,0),""))</f>
        <v/>
      </c>
      <c r="I70" s="158" t="s">
        <v>94</v>
      </c>
      <c r="J70" s="177">
        <v>0</v>
      </c>
      <c r="K70" s="6"/>
      <c r="L70" s="5"/>
      <c r="M70" s="6"/>
      <c r="N70" s="5"/>
      <c r="O70" s="6"/>
      <c r="P70" s="6"/>
      <c r="Q70" s="158"/>
      <c r="R70" s="177"/>
      <c r="S70" s="8"/>
      <c r="T70" s="8"/>
      <c r="U70" s="8"/>
      <c r="V70" s="8"/>
      <c r="W70" s="159">
        <f t="shared" si="15"/>
        <v>0</v>
      </c>
      <c r="X70" s="8">
        <v>1</v>
      </c>
      <c r="Y70" s="8">
        <f t="shared" si="7"/>
        <v>0</v>
      </c>
      <c r="Z70" s="8">
        <v>1</v>
      </c>
      <c r="AA70" s="8">
        <f t="shared" si="8"/>
        <v>0</v>
      </c>
      <c r="AB70" s="352">
        <f t="shared" si="9"/>
        <v>0</v>
      </c>
      <c r="AC70" s="192">
        <f t="shared" si="10"/>
        <v>1</v>
      </c>
      <c r="AD70" s="192">
        <f t="shared" si="16"/>
        <v>0</v>
      </c>
      <c r="AE70" s="192">
        <f t="shared" si="16"/>
        <v>1</v>
      </c>
      <c r="AF70" s="192">
        <f t="shared" si="12"/>
        <v>1</v>
      </c>
      <c r="AG70" s="192">
        <f t="shared" si="13"/>
        <v>1</v>
      </c>
      <c r="BC70" s="192" t="str">
        <f t="shared" si="14"/>
        <v>תל אביב והסביבה (עד 30 קילומטר מתל-אביב)</v>
      </c>
      <c r="BD70" s="192" t="str">
        <f t="shared" si="14"/>
        <v>מעל 30 ועד 60 קילומטר מתל-אביב (נתניה חדרה, יבנה, גדרה)</v>
      </c>
      <c r="BE70" s="192" t="str">
        <f t="shared" si="14"/>
        <v>מעל 60 ועד 100 קילומטר מתל-אביב (ירושלים, חיפה)</v>
      </c>
      <c r="BF70" s="192" t="str">
        <f t="shared" si="14"/>
        <v>מעל 100 קילומטר מתל-אביב (עכו, באר שבע, טבריה)</v>
      </c>
    </row>
    <row r="71" spans="2:58" ht="23.25" customHeight="1" x14ac:dyDescent="0.25">
      <c r="B71" s="7" t="str">
        <f t="shared" si="6"/>
        <v/>
      </c>
      <c r="C71" s="4"/>
      <c r="D71" s="4"/>
      <c r="E71" s="4"/>
      <c r="F71" s="230" t="str">
        <f>IF('תנאי סף'!AO71&lt;&gt;1,"",'תנאי סף'!F71)</f>
        <v/>
      </c>
      <c r="G71" s="491"/>
      <c r="H71" s="159" t="str">
        <f>IF($F71="","",IFERROR(VLOOKUP(G71,הלמס!A:G,4,0),""))</f>
        <v/>
      </c>
      <c r="I71" s="158"/>
      <c r="J71" s="177"/>
      <c r="K71" s="6"/>
      <c r="L71" s="5"/>
      <c r="M71" s="6"/>
      <c r="N71" s="5"/>
      <c r="O71" s="6"/>
      <c r="P71" s="6"/>
      <c r="Q71" s="158"/>
      <c r="R71" s="177"/>
      <c r="S71" s="8"/>
      <c r="T71" s="8"/>
      <c r="U71" s="8"/>
      <c r="V71" s="8"/>
      <c r="W71" s="159" t="str">
        <f t="shared" si="15"/>
        <v/>
      </c>
      <c r="X71" s="8">
        <v>1</v>
      </c>
      <c r="Y71" s="8" t="str">
        <f t="shared" si="7"/>
        <v/>
      </c>
      <c r="Z71" s="8">
        <v>1</v>
      </c>
      <c r="AA71" s="8" t="str">
        <f t="shared" si="8"/>
        <v/>
      </c>
      <c r="AB71" s="123" t="str">
        <f t="shared" si="9"/>
        <v/>
      </c>
      <c r="AC71" s="192">
        <f t="shared" si="10"/>
        <v>0</v>
      </c>
      <c r="AD71" s="192" t="str">
        <f t="shared" si="16"/>
        <v/>
      </c>
      <c r="AE71" s="192" t="str">
        <f t="shared" si="16"/>
        <v/>
      </c>
      <c r="AF71" s="192">
        <f t="shared" si="12"/>
        <v>0</v>
      </c>
      <c r="AG71" s="192">
        <f t="shared" si="13"/>
        <v>0</v>
      </c>
      <c r="BC71" s="192" t="str">
        <f t="shared" ref="BC71:BF90" si="17">IF($F71="","",BC$30)</f>
        <v/>
      </c>
      <c r="BD71" s="192" t="str">
        <f t="shared" si="17"/>
        <v/>
      </c>
      <c r="BE71" s="192" t="str">
        <f t="shared" si="17"/>
        <v/>
      </c>
      <c r="BF71" s="192" t="str">
        <f t="shared" si="17"/>
        <v/>
      </c>
    </row>
    <row r="72" spans="2:58" ht="23.25" customHeight="1" x14ac:dyDescent="0.25">
      <c r="B72" s="7" t="str">
        <f t="shared" si="6"/>
        <v/>
      </c>
      <c r="C72" s="4"/>
      <c r="D72" s="4"/>
      <c r="E72" s="4"/>
      <c r="F72" s="230" t="str">
        <f>IF('תנאי סף'!AO72&lt;&gt;1,"",'תנאי סף'!F72)</f>
        <v/>
      </c>
      <c r="G72" s="491"/>
      <c r="H72" s="159" t="str">
        <f>IF($F72="","",IFERROR(VLOOKUP(G72,הלמס!A:G,4,0),""))</f>
        <v/>
      </c>
      <c r="I72" s="158"/>
      <c r="J72" s="177"/>
      <c r="K72" s="6"/>
      <c r="L72" s="5"/>
      <c r="M72" s="6"/>
      <c r="N72" s="5"/>
      <c r="O72" s="6"/>
      <c r="P72" s="6"/>
      <c r="Q72" s="158"/>
      <c r="R72" s="177"/>
      <c r="S72" s="8"/>
      <c r="T72" s="8"/>
      <c r="U72" s="8"/>
      <c r="V72" s="8"/>
      <c r="W72" s="159" t="str">
        <f t="shared" si="15"/>
        <v/>
      </c>
      <c r="X72" s="8">
        <v>1</v>
      </c>
      <c r="Y72" s="8" t="str">
        <f t="shared" si="7"/>
        <v/>
      </c>
      <c r="Z72" s="8">
        <v>1</v>
      </c>
      <c r="AA72" s="8" t="str">
        <f t="shared" si="8"/>
        <v/>
      </c>
      <c r="AB72" s="123" t="str">
        <f t="shared" si="9"/>
        <v/>
      </c>
      <c r="AC72" s="192">
        <f t="shared" si="10"/>
        <v>0</v>
      </c>
      <c r="AD72" s="192" t="str">
        <f t="shared" si="16"/>
        <v/>
      </c>
      <c r="AE72" s="192" t="str">
        <f t="shared" si="16"/>
        <v/>
      </c>
      <c r="AF72" s="192">
        <f t="shared" si="12"/>
        <v>0</v>
      </c>
      <c r="AG72" s="192">
        <f t="shared" si="13"/>
        <v>0</v>
      </c>
      <c r="BC72" s="192" t="str">
        <f t="shared" si="17"/>
        <v/>
      </c>
      <c r="BD72" s="192" t="str">
        <f t="shared" si="17"/>
        <v/>
      </c>
      <c r="BE72" s="192" t="str">
        <f t="shared" si="17"/>
        <v/>
      </c>
      <c r="BF72" s="192" t="str">
        <f t="shared" si="17"/>
        <v/>
      </c>
    </row>
    <row r="73" spans="2:58" ht="23.25" customHeight="1" x14ac:dyDescent="0.25">
      <c r="B73" s="7">
        <f t="shared" si="6"/>
        <v>43</v>
      </c>
      <c r="C73" s="4"/>
      <c r="D73" s="4"/>
      <c r="E73" s="4"/>
      <c r="F73" s="230" t="str">
        <f>IF('תנאי סף'!AO73&lt;&gt;1,"",'תנאי סף'!F73)</f>
        <v>בר קיימא ואקלקוטנטקט</v>
      </c>
      <c r="G73" s="491"/>
      <c r="H73" s="159" t="str">
        <f>IF($F73="","",IFERROR(VLOOKUP(G73,הלמס!A:G,4,0),""))</f>
        <v/>
      </c>
      <c r="I73" s="158" t="s">
        <v>96</v>
      </c>
      <c r="J73" s="177">
        <v>1</v>
      </c>
      <c r="K73" s="6"/>
      <c r="L73" s="5"/>
      <c r="M73" s="6"/>
      <c r="N73" s="5"/>
      <c r="O73" s="6"/>
      <c r="P73" s="6"/>
      <c r="Q73" s="158"/>
      <c r="R73" s="177"/>
      <c r="S73" s="8"/>
      <c r="T73" s="8"/>
      <c r="U73" s="8"/>
      <c r="V73" s="8"/>
      <c r="W73" s="159">
        <f t="shared" si="15"/>
        <v>2</v>
      </c>
      <c r="X73" s="8">
        <v>1</v>
      </c>
      <c r="Y73" s="8">
        <f t="shared" si="7"/>
        <v>2</v>
      </c>
      <c r="Z73" s="8">
        <v>1</v>
      </c>
      <c r="AA73" s="8">
        <f t="shared" si="8"/>
        <v>2</v>
      </c>
      <c r="AB73" s="123">
        <f t="shared" si="9"/>
        <v>6.8965517241379309E-2</v>
      </c>
      <c r="AC73" s="192">
        <f t="shared" si="10"/>
        <v>1</v>
      </c>
      <c r="AD73" s="192">
        <f t="shared" si="16"/>
        <v>0</v>
      </c>
      <c r="AE73" s="192">
        <f t="shared" si="16"/>
        <v>1</v>
      </c>
      <c r="AF73" s="192">
        <f t="shared" si="12"/>
        <v>1</v>
      </c>
      <c r="AG73" s="192">
        <f t="shared" si="13"/>
        <v>1</v>
      </c>
      <c r="BC73" s="192" t="str">
        <f t="shared" si="17"/>
        <v>תל אביב והסביבה (עד 30 קילומטר מתל-אביב)</v>
      </c>
      <c r="BD73" s="192" t="str">
        <f t="shared" si="17"/>
        <v>מעל 30 ועד 60 קילומטר מתל-אביב (נתניה חדרה, יבנה, גדרה)</v>
      </c>
      <c r="BE73" s="192" t="str">
        <f t="shared" si="17"/>
        <v>מעל 60 ועד 100 קילומטר מתל-אביב (ירושלים, חיפה)</v>
      </c>
      <c r="BF73" s="192" t="str">
        <f t="shared" si="17"/>
        <v>מעל 100 קילומטר מתל-אביב (עכו, באר שבע, טבריה)</v>
      </c>
    </row>
    <row r="74" spans="2:58" ht="23.25" customHeight="1" x14ac:dyDescent="0.25">
      <c r="B74" s="7" t="str">
        <f t="shared" si="6"/>
        <v/>
      </c>
      <c r="C74" s="4"/>
      <c r="D74" s="4"/>
      <c r="E74" s="4"/>
      <c r="F74" s="230" t="str">
        <f>IF('תנאי סף'!AO74&lt;&gt;1,"",'תנאי סף'!F74)</f>
        <v/>
      </c>
      <c r="G74" s="491"/>
      <c r="H74" s="159" t="str">
        <f>IF($F74="","",IFERROR(VLOOKUP(G74,הלמס!A:G,4,0),""))</f>
        <v/>
      </c>
      <c r="I74" s="158"/>
      <c r="J74" s="177"/>
      <c r="K74" s="6"/>
      <c r="L74" s="5"/>
      <c r="M74" s="6"/>
      <c r="N74" s="5"/>
      <c r="O74" s="6"/>
      <c r="P74" s="6"/>
      <c r="Q74" s="158"/>
      <c r="R74" s="177"/>
      <c r="S74" s="8"/>
      <c r="T74" s="8"/>
      <c r="U74" s="8"/>
      <c r="V74" s="8"/>
      <c r="W74" s="159" t="str">
        <f t="shared" si="15"/>
        <v/>
      </c>
      <c r="X74" s="8">
        <v>1</v>
      </c>
      <c r="Y74" s="8" t="str">
        <f t="shared" si="7"/>
        <v/>
      </c>
      <c r="Z74" s="8">
        <v>1</v>
      </c>
      <c r="AA74" s="8" t="str">
        <f t="shared" si="8"/>
        <v/>
      </c>
      <c r="AB74" s="123" t="str">
        <f t="shared" si="9"/>
        <v/>
      </c>
      <c r="AC74" s="192">
        <f t="shared" si="10"/>
        <v>0</v>
      </c>
      <c r="AD74" s="192" t="str">
        <f t="shared" si="16"/>
        <v/>
      </c>
      <c r="AE74" s="192" t="str">
        <f t="shared" si="16"/>
        <v/>
      </c>
      <c r="AF74" s="192">
        <f t="shared" si="12"/>
        <v>0</v>
      </c>
      <c r="AG74" s="192">
        <f t="shared" si="13"/>
        <v>0</v>
      </c>
      <c r="BC74" s="192" t="str">
        <f t="shared" si="17"/>
        <v/>
      </c>
      <c r="BD74" s="192" t="str">
        <f t="shared" si="17"/>
        <v/>
      </c>
      <c r="BE74" s="192" t="str">
        <f t="shared" si="17"/>
        <v/>
      </c>
      <c r="BF74" s="192" t="str">
        <f t="shared" si="17"/>
        <v/>
      </c>
    </row>
    <row r="75" spans="2:58" ht="23.25" customHeight="1" x14ac:dyDescent="0.25">
      <c r="B75" s="7">
        <f t="shared" si="6"/>
        <v>45</v>
      </c>
      <c r="C75" s="4"/>
      <c r="D75" s="4"/>
      <c r="E75" s="4"/>
      <c r="F75" s="230" t="str">
        <f>IF('תנאי סף'!AO75&lt;&gt;1,"",'תנאי סף'!F75)</f>
        <v>אלקאת התזמורת התימנית</v>
      </c>
      <c r="G75" s="491"/>
      <c r="H75" s="159" t="str">
        <f>IF($F75="","",IFERROR(VLOOKUP(G75,הלמס!A:G,4,0),""))</f>
        <v/>
      </c>
      <c r="I75" s="158" t="s">
        <v>95</v>
      </c>
      <c r="J75" s="177">
        <v>0</v>
      </c>
      <c r="K75" s="6"/>
      <c r="L75" s="5"/>
      <c r="M75" s="6"/>
      <c r="N75" s="5"/>
      <c r="O75" s="6"/>
      <c r="P75" s="6"/>
      <c r="Q75" s="158"/>
      <c r="R75" s="177"/>
      <c r="S75" s="8"/>
      <c r="T75" s="8"/>
      <c r="U75" s="8"/>
      <c r="V75" s="8"/>
      <c r="W75" s="159">
        <f t="shared" si="15"/>
        <v>1</v>
      </c>
      <c r="X75" s="8">
        <v>1</v>
      </c>
      <c r="Y75" s="8">
        <f t="shared" si="7"/>
        <v>1</v>
      </c>
      <c r="Z75" s="8">
        <v>1</v>
      </c>
      <c r="AA75" s="8">
        <f t="shared" si="8"/>
        <v>1</v>
      </c>
      <c r="AB75" s="123">
        <f t="shared" si="9"/>
        <v>3.4482758620689655E-2</v>
      </c>
      <c r="AC75" s="192">
        <f t="shared" si="10"/>
        <v>1</v>
      </c>
      <c r="AD75" s="192">
        <f t="shared" si="16"/>
        <v>0</v>
      </c>
      <c r="AE75" s="192">
        <f t="shared" si="16"/>
        <v>1</v>
      </c>
      <c r="AF75" s="192">
        <f t="shared" si="12"/>
        <v>1</v>
      </c>
      <c r="AG75" s="192">
        <f t="shared" si="13"/>
        <v>1</v>
      </c>
      <c r="BC75" s="192" t="str">
        <f t="shared" si="17"/>
        <v>תל אביב והסביבה (עד 30 קילומטר מתל-אביב)</v>
      </c>
      <c r="BD75" s="192" t="str">
        <f t="shared" si="17"/>
        <v>מעל 30 ועד 60 קילומטר מתל-אביב (נתניה חדרה, יבנה, גדרה)</v>
      </c>
      <c r="BE75" s="192" t="str">
        <f t="shared" si="17"/>
        <v>מעל 60 ועד 100 קילומטר מתל-אביב (ירושלים, חיפה)</v>
      </c>
      <c r="BF75" s="192" t="str">
        <f t="shared" si="17"/>
        <v>מעל 100 קילומטר מתל-אביב (עכו, באר שבע, טבריה)</v>
      </c>
    </row>
    <row r="76" spans="2:58" ht="23.25" customHeight="1" x14ac:dyDescent="0.25">
      <c r="B76" s="7" t="str">
        <f t="shared" si="6"/>
        <v/>
      </c>
      <c r="C76" s="4"/>
      <c r="D76" s="4"/>
      <c r="E76" s="4"/>
      <c r="F76" s="230" t="str">
        <f>IF('תנאי סף'!AO76&lt;&gt;1,"",'תנאי סף'!F76)</f>
        <v/>
      </c>
      <c r="G76" s="491"/>
      <c r="H76" s="159" t="str">
        <f>IF($F76="","",IFERROR(VLOOKUP(G76,הלמס!A:G,4,0),""))</f>
        <v/>
      </c>
      <c r="I76" s="158"/>
      <c r="J76" s="177"/>
      <c r="K76" s="6"/>
      <c r="L76" s="5"/>
      <c r="M76" s="6"/>
      <c r="N76" s="5"/>
      <c r="O76" s="6"/>
      <c r="P76" s="6"/>
      <c r="Q76" s="158"/>
      <c r="R76" s="177"/>
      <c r="S76" s="8"/>
      <c r="T76" s="8"/>
      <c r="U76" s="8"/>
      <c r="V76" s="8"/>
      <c r="W76" s="159" t="str">
        <f t="shared" si="15"/>
        <v/>
      </c>
      <c r="X76" s="8">
        <v>1</v>
      </c>
      <c r="Y76" s="8" t="str">
        <f t="shared" si="7"/>
        <v/>
      </c>
      <c r="Z76" s="8">
        <v>1</v>
      </c>
      <c r="AA76" s="8" t="str">
        <f t="shared" si="8"/>
        <v/>
      </c>
      <c r="AB76" s="123" t="str">
        <f t="shared" si="9"/>
        <v/>
      </c>
      <c r="AC76" s="192">
        <f t="shared" si="10"/>
        <v>0</v>
      </c>
      <c r="AD76" s="192" t="str">
        <f t="shared" si="16"/>
        <v/>
      </c>
      <c r="AE76" s="192" t="str">
        <f t="shared" si="16"/>
        <v/>
      </c>
      <c r="AF76" s="192">
        <f t="shared" si="12"/>
        <v>0</v>
      </c>
      <c r="AG76" s="192">
        <f t="shared" si="13"/>
        <v>0</v>
      </c>
      <c r="BC76" s="192" t="str">
        <f t="shared" si="17"/>
        <v/>
      </c>
      <c r="BD76" s="192" t="str">
        <f t="shared" si="17"/>
        <v/>
      </c>
      <c r="BE76" s="192" t="str">
        <f t="shared" si="17"/>
        <v/>
      </c>
      <c r="BF76" s="192" t="str">
        <f t="shared" si="17"/>
        <v/>
      </c>
    </row>
    <row r="77" spans="2:58" ht="23.25" customHeight="1" x14ac:dyDescent="0.25">
      <c r="B77" s="7" t="str">
        <f t="shared" si="6"/>
        <v/>
      </c>
      <c r="C77" s="4"/>
      <c r="D77" s="4"/>
      <c r="E77" s="4"/>
      <c r="F77" s="230" t="str">
        <f>IF('תנאי סף'!AO77&lt;&gt;1,"",'תנאי סף'!F77)</f>
        <v/>
      </c>
      <c r="G77" s="491"/>
      <c r="H77" s="159" t="str">
        <f>IF($F77="","",IFERROR(VLOOKUP(G77,הלמס!A:G,4,0),""))</f>
        <v/>
      </c>
      <c r="I77" s="158"/>
      <c r="J77" s="177"/>
      <c r="K77" s="6"/>
      <c r="L77" s="5"/>
      <c r="M77" s="6"/>
      <c r="N77" s="5"/>
      <c r="O77" s="6"/>
      <c r="P77" s="6"/>
      <c r="Q77" s="158"/>
      <c r="R77" s="177"/>
      <c r="S77" s="8"/>
      <c r="T77" s="8"/>
      <c r="U77" s="8"/>
      <c r="V77" s="8"/>
      <c r="W77" s="159" t="str">
        <f t="shared" si="15"/>
        <v/>
      </c>
      <c r="X77" s="8">
        <v>1</v>
      </c>
      <c r="Y77" s="8" t="str">
        <f t="shared" si="7"/>
        <v/>
      </c>
      <c r="Z77" s="8">
        <v>1</v>
      </c>
      <c r="AA77" s="8" t="str">
        <f t="shared" si="8"/>
        <v/>
      </c>
      <c r="AB77" s="123" t="str">
        <f t="shared" si="9"/>
        <v/>
      </c>
      <c r="AC77" s="192">
        <f t="shared" si="10"/>
        <v>0</v>
      </c>
      <c r="AD77" s="192" t="str">
        <f t="shared" si="16"/>
        <v/>
      </c>
      <c r="AE77" s="192" t="str">
        <f t="shared" si="16"/>
        <v/>
      </c>
      <c r="AF77" s="192">
        <f t="shared" si="12"/>
        <v>0</v>
      </c>
      <c r="AG77" s="192">
        <f t="shared" si="13"/>
        <v>0</v>
      </c>
      <c r="BC77" s="192" t="str">
        <f t="shared" si="17"/>
        <v/>
      </c>
      <c r="BD77" s="192" t="str">
        <f t="shared" si="17"/>
        <v/>
      </c>
      <c r="BE77" s="192" t="str">
        <f t="shared" si="17"/>
        <v/>
      </c>
      <c r="BF77" s="192" t="str">
        <f t="shared" si="17"/>
        <v/>
      </c>
    </row>
    <row r="78" spans="2:58" ht="23.25" customHeight="1" x14ac:dyDescent="0.25">
      <c r="B78" s="7">
        <f t="shared" si="6"/>
        <v>48</v>
      </c>
      <c r="C78" s="4"/>
      <c r="D78" s="4"/>
      <c r="E78" s="4"/>
      <c r="F78" s="230" t="str">
        <f>IF('תנאי סף'!AO78&lt;&gt;1,"",'תנאי סף'!F78)</f>
        <v>גיא מינטוס- טריו</v>
      </c>
      <c r="G78" s="491"/>
      <c r="H78" s="159" t="str">
        <f>IF($F78="","",IFERROR(VLOOKUP(G78,הלמס!A:G,4,0),""))</f>
        <v/>
      </c>
      <c r="I78" s="158" t="s">
        <v>94</v>
      </c>
      <c r="J78" s="177">
        <v>0</v>
      </c>
      <c r="K78" s="6"/>
      <c r="L78" s="5"/>
      <c r="M78" s="6"/>
      <c r="N78" s="5"/>
      <c r="O78" s="6"/>
      <c r="P78" s="6"/>
      <c r="Q78" s="158"/>
      <c r="R78" s="177"/>
      <c r="S78" s="8"/>
      <c r="T78" s="8"/>
      <c r="U78" s="8"/>
      <c r="V78" s="8"/>
      <c r="W78" s="159">
        <f t="shared" si="15"/>
        <v>0</v>
      </c>
      <c r="X78" s="8">
        <v>1</v>
      </c>
      <c r="Y78" s="8">
        <f t="shared" si="7"/>
        <v>0</v>
      </c>
      <c r="Z78" s="8">
        <v>1</v>
      </c>
      <c r="AA78" s="8">
        <f t="shared" si="8"/>
        <v>0</v>
      </c>
      <c r="AB78" s="123">
        <f t="shared" si="9"/>
        <v>0</v>
      </c>
      <c r="AC78" s="192">
        <f t="shared" si="10"/>
        <v>1</v>
      </c>
      <c r="AD78" s="192">
        <f t="shared" si="16"/>
        <v>0</v>
      </c>
      <c r="AE78" s="192">
        <f t="shared" si="16"/>
        <v>1</v>
      </c>
      <c r="AF78" s="192">
        <f t="shared" si="12"/>
        <v>1</v>
      </c>
      <c r="AG78" s="192">
        <f t="shared" si="13"/>
        <v>1</v>
      </c>
      <c r="BC78" s="192" t="str">
        <f t="shared" si="17"/>
        <v>תל אביב והסביבה (עד 30 קילומטר מתל-אביב)</v>
      </c>
      <c r="BD78" s="192" t="str">
        <f t="shared" si="17"/>
        <v>מעל 30 ועד 60 קילומטר מתל-אביב (נתניה חדרה, יבנה, גדרה)</v>
      </c>
      <c r="BE78" s="192" t="str">
        <f t="shared" si="17"/>
        <v>מעל 60 ועד 100 קילומטר מתל-אביב (ירושלים, חיפה)</v>
      </c>
      <c r="BF78" s="192" t="str">
        <f t="shared" si="17"/>
        <v>מעל 100 קילומטר מתל-אביב (עכו, באר שבע, טבריה)</v>
      </c>
    </row>
    <row r="79" spans="2:58" ht="23.25" customHeight="1" x14ac:dyDescent="0.25">
      <c r="B79" s="7" t="str">
        <f t="shared" si="6"/>
        <v/>
      </c>
      <c r="C79" s="4"/>
      <c r="D79" s="4"/>
      <c r="E79" s="4"/>
      <c r="F79" s="230" t="str">
        <f>IF('תנאי סף'!AO79&lt;&gt;1,"",'תנאי סף'!F79)</f>
        <v/>
      </c>
      <c r="G79" s="491"/>
      <c r="H79" s="159" t="str">
        <f>IF($F79="","",IFERROR(VLOOKUP(G79,הלמס!A:G,4,0),""))</f>
        <v/>
      </c>
      <c r="I79" s="158"/>
      <c r="J79" s="177"/>
      <c r="K79" s="6"/>
      <c r="L79" s="5"/>
      <c r="M79" s="6"/>
      <c r="N79" s="5"/>
      <c r="O79" s="6"/>
      <c r="P79" s="6"/>
      <c r="Q79" s="158"/>
      <c r="R79" s="177"/>
      <c r="S79" s="8"/>
      <c r="T79" s="8"/>
      <c r="U79" s="8"/>
      <c r="V79" s="8"/>
      <c r="W79" s="159" t="str">
        <f t="shared" si="15"/>
        <v/>
      </c>
      <c r="X79" s="8">
        <v>1</v>
      </c>
      <c r="Y79" s="8" t="str">
        <f t="shared" si="7"/>
        <v/>
      </c>
      <c r="Z79" s="8">
        <v>1</v>
      </c>
      <c r="AA79" s="8" t="str">
        <f t="shared" si="8"/>
        <v/>
      </c>
      <c r="AB79" s="123" t="str">
        <f t="shared" si="9"/>
        <v/>
      </c>
      <c r="AC79" s="192">
        <f t="shared" si="10"/>
        <v>0</v>
      </c>
      <c r="AD79" s="192" t="str">
        <f t="shared" si="16"/>
        <v/>
      </c>
      <c r="AE79" s="192" t="str">
        <f t="shared" si="16"/>
        <v/>
      </c>
      <c r="AF79" s="192">
        <f t="shared" si="12"/>
        <v>0</v>
      </c>
      <c r="AG79" s="192">
        <f t="shared" si="13"/>
        <v>0</v>
      </c>
      <c r="BC79" s="192" t="str">
        <f t="shared" si="17"/>
        <v/>
      </c>
      <c r="BD79" s="192" t="str">
        <f t="shared" si="17"/>
        <v/>
      </c>
      <c r="BE79" s="192" t="str">
        <f t="shared" si="17"/>
        <v/>
      </c>
      <c r="BF79" s="192" t="str">
        <f t="shared" si="17"/>
        <v/>
      </c>
    </row>
    <row r="80" spans="2:58" ht="23.25" customHeight="1" x14ac:dyDescent="0.25">
      <c r="B80" s="7" t="str">
        <f t="shared" si="6"/>
        <v/>
      </c>
      <c r="C80" s="4"/>
      <c r="D80" s="4"/>
      <c r="E80" s="4"/>
      <c r="F80" s="230" t="str">
        <f>IF('תנאי סף'!AO80&lt;&gt;1,"",'תנאי סף'!F80)</f>
        <v/>
      </c>
      <c r="G80" s="491"/>
      <c r="H80" s="159" t="str">
        <f>IF($F80="","",IFERROR(VLOOKUP(G80,הלמס!A:G,4,0),""))</f>
        <v/>
      </c>
      <c r="I80" s="158"/>
      <c r="J80" s="177"/>
      <c r="K80" s="6"/>
      <c r="L80" s="5"/>
      <c r="M80" s="6"/>
      <c r="N80" s="5"/>
      <c r="O80" s="6"/>
      <c r="P80" s="6"/>
      <c r="Q80" s="158"/>
      <c r="R80" s="177"/>
      <c r="S80" s="8"/>
      <c r="T80" s="8"/>
      <c r="U80" s="8"/>
      <c r="V80" s="8"/>
      <c r="W80" s="159" t="str">
        <f t="shared" si="15"/>
        <v/>
      </c>
      <c r="X80" s="8">
        <v>1</v>
      </c>
      <c r="Y80" s="8" t="str">
        <f t="shared" si="7"/>
        <v/>
      </c>
      <c r="Z80" s="8">
        <v>1</v>
      </c>
      <c r="AA80" s="8" t="str">
        <f t="shared" si="8"/>
        <v/>
      </c>
      <c r="AB80" s="123" t="str">
        <f t="shared" si="9"/>
        <v/>
      </c>
      <c r="AC80" s="192">
        <f t="shared" si="10"/>
        <v>0</v>
      </c>
      <c r="AD80" s="192" t="str">
        <f t="shared" si="16"/>
        <v/>
      </c>
      <c r="AE80" s="192" t="str">
        <f t="shared" si="16"/>
        <v/>
      </c>
      <c r="AF80" s="192">
        <f t="shared" si="12"/>
        <v>0</v>
      </c>
      <c r="AG80" s="192">
        <f t="shared" si="13"/>
        <v>0</v>
      </c>
      <c r="BC80" s="192" t="str">
        <f t="shared" si="17"/>
        <v/>
      </c>
      <c r="BD80" s="192" t="str">
        <f t="shared" si="17"/>
        <v/>
      </c>
      <c r="BE80" s="192" t="str">
        <f t="shared" si="17"/>
        <v/>
      </c>
      <c r="BF80" s="192" t="str">
        <f t="shared" si="17"/>
        <v/>
      </c>
    </row>
    <row r="81" spans="2:58" ht="23.25" customHeight="1" x14ac:dyDescent="0.25">
      <c r="B81" s="7" t="str">
        <f t="shared" si="6"/>
        <v/>
      </c>
      <c r="C81" s="4"/>
      <c r="D81" s="4"/>
      <c r="E81" s="4"/>
      <c r="F81" s="230" t="str">
        <f>IF('תנאי סף'!AO81&lt;&gt;1,"",'תנאי סף'!F81)</f>
        <v/>
      </c>
      <c r="G81" s="491"/>
      <c r="H81" s="159" t="str">
        <f>IF($F81="","",IFERROR(VLOOKUP(G81,הלמס!A:G,4,0),""))</f>
        <v/>
      </c>
      <c r="I81" s="158"/>
      <c r="J81" s="177"/>
      <c r="K81" s="6"/>
      <c r="L81" s="5"/>
      <c r="M81" s="6"/>
      <c r="N81" s="5"/>
      <c r="O81" s="6"/>
      <c r="P81" s="6"/>
      <c r="Q81" s="158"/>
      <c r="R81" s="177"/>
      <c r="S81" s="8"/>
      <c r="T81" s="8"/>
      <c r="U81" s="8"/>
      <c r="V81" s="8"/>
      <c r="W81" s="159" t="str">
        <f t="shared" si="15"/>
        <v/>
      </c>
      <c r="X81" s="8">
        <v>1</v>
      </c>
      <c r="Y81" s="8" t="str">
        <f t="shared" si="7"/>
        <v/>
      </c>
      <c r="Z81" s="8">
        <v>1</v>
      </c>
      <c r="AA81" s="8" t="str">
        <f t="shared" si="8"/>
        <v/>
      </c>
      <c r="AB81" s="123" t="str">
        <f t="shared" si="9"/>
        <v/>
      </c>
      <c r="AC81" s="192">
        <f t="shared" si="10"/>
        <v>0</v>
      </c>
      <c r="AD81" s="192" t="str">
        <f t="shared" si="16"/>
        <v/>
      </c>
      <c r="AE81" s="192" t="str">
        <f t="shared" si="16"/>
        <v/>
      </c>
      <c r="AF81" s="192">
        <f t="shared" si="12"/>
        <v>0</v>
      </c>
      <c r="AG81" s="192">
        <f t="shared" si="13"/>
        <v>0</v>
      </c>
      <c r="BC81" s="192" t="str">
        <f t="shared" si="17"/>
        <v/>
      </c>
      <c r="BD81" s="192" t="str">
        <f t="shared" si="17"/>
        <v/>
      </c>
      <c r="BE81" s="192" t="str">
        <f t="shared" si="17"/>
        <v/>
      </c>
      <c r="BF81" s="192" t="str">
        <f t="shared" si="17"/>
        <v/>
      </c>
    </row>
    <row r="82" spans="2:58" ht="23.25" customHeight="1" x14ac:dyDescent="0.25">
      <c r="B82" s="7">
        <f t="shared" si="6"/>
        <v>52</v>
      </c>
      <c r="C82" s="4"/>
      <c r="D82" s="4"/>
      <c r="E82" s="4"/>
      <c r="F82" s="230" t="str">
        <f>IF('תנאי סף'!AO82&lt;&gt;1,"",'תנאי סף'!F82)</f>
        <v xml:space="preserve">פולקעס - בר-קיימא לתרבות </v>
      </c>
      <c r="G82" s="491"/>
      <c r="H82" s="159" t="str">
        <f>IF($F82="","",IFERROR(VLOOKUP(G82,הלמס!A:G,4,0),""))</f>
        <v/>
      </c>
      <c r="I82" s="158" t="s">
        <v>96</v>
      </c>
      <c r="J82" s="177">
        <v>1</v>
      </c>
      <c r="K82" s="6"/>
      <c r="L82" s="5"/>
      <c r="M82" s="6"/>
      <c r="N82" s="5"/>
      <c r="O82" s="6"/>
      <c r="P82" s="6"/>
      <c r="Q82" s="158"/>
      <c r="R82" s="177"/>
      <c r="S82" s="8"/>
      <c r="T82" s="8"/>
      <c r="U82" s="8"/>
      <c r="V82" s="8"/>
      <c r="W82" s="159">
        <f t="shared" si="15"/>
        <v>2</v>
      </c>
      <c r="X82" s="8">
        <v>1</v>
      </c>
      <c r="Y82" s="8">
        <f t="shared" si="7"/>
        <v>2</v>
      </c>
      <c r="Z82" s="8">
        <v>1</v>
      </c>
      <c r="AA82" s="8">
        <f t="shared" si="8"/>
        <v>2</v>
      </c>
      <c r="AB82" s="123">
        <f t="shared" si="9"/>
        <v>6.8965517241379309E-2</v>
      </c>
      <c r="AC82" s="192">
        <f t="shared" si="10"/>
        <v>1</v>
      </c>
      <c r="AD82" s="192">
        <f t="shared" si="16"/>
        <v>0</v>
      </c>
      <c r="AE82" s="192">
        <f t="shared" si="16"/>
        <v>1</v>
      </c>
      <c r="AF82" s="192">
        <f t="shared" si="12"/>
        <v>1</v>
      </c>
      <c r="AG82" s="192">
        <f t="shared" si="13"/>
        <v>1</v>
      </c>
      <c r="BC82" s="192" t="str">
        <f t="shared" si="17"/>
        <v>תל אביב והסביבה (עד 30 קילומטר מתל-אביב)</v>
      </c>
      <c r="BD82" s="192" t="str">
        <f t="shared" si="17"/>
        <v>מעל 30 ועד 60 קילומטר מתל-אביב (נתניה חדרה, יבנה, גדרה)</v>
      </c>
      <c r="BE82" s="192" t="str">
        <f t="shared" si="17"/>
        <v>מעל 60 ועד 100 קילומטר מתל-אביב (ירושלים, חיפה)</v>
      </c>
      <c r="BF82" s="192" t="str">
        <f t="shared" si="17"/>
        <v>מעל 100 קילומטר מתל-אביב (עכו, באר שבע, טבריה)</v>
      </c>
    </row>
    <row r="83" spans="2:58" ht="23.25" customHeight="1" x14ac:dyDescent="0.25">
      <c r="B83" s="7" t="str">
        <f t="shared" si="6"/>
        <v/>
      </c>
      <c r="C83" s="4"/>
      <c r="D83" s="4"/>
      <c r="E83" s="4"/>
      <c r="F83" s="230" t="str">
        <f>IF('תנאי סף'!AO83&lt;&gt;1,"",'תנאי סף'!F83)</f>
        <v/>
      </c>
      <c r="G83" s="491"/>
      <c r="H83" s="159" t="str">
        <f>IF($F83="","",IFERROR(VLOOKUP(G83,הלמס!A:G,4,0),""))</f>
        <v/>
      </c>
      <c r="I83" s="158"/>
      <c r="J83" s="177"/>
      <c r="K83" s="6"/>
      <c r="L83" s="5"/>
      <c r="M83" s="6"/>
      <c r="N83" s="5"/>
      <c r="O83" s="6"/>
      <c r="P83" s="6"/>
      <c r="Q83" s="158"/>
      <c r="R83" s="177"/>
      <c r="S83" s="8"/>
      <c r="T83" s="8"/>
      <c r="U83" s="8"/>
      <c r="V83" s="8"/>
      <c r="W83" s="159" t="str">
        <f t="shared" si="15"/>
        <v/>
      </c>
      <c r="X83" s="8">
        <v>1</v>
      </c>
      <c r="Y83" s="8" t="str">
        <f t="shared" si="7"/>
        <v/>
      </c>
      <c r="Z83" s="8">
        <v>1</v>
      </c>
      <c r="AA83" s="8" t="str">
        <f t="shared" si="8"/>
        <v/>
      </c>
      <c r="AB83" s="123" t="str">
        <f t="shared" si="9"/>
        <v/>
      </c>
      <c r="AC83" s="192">
        <f t="shared" si="10"/>
        <v>0</v>
      </c>
      <c r="AD83" s="192" t="str">
        <f t="shared" si="16"/>
        <v/>
      </c>
      <c r="AE83" s="192" t="str">
        <f t="shared" si="16"/>
        <v/>
      </c>
      <c r="AF83" s="192">
        <f t="shared" si="12"/>
        <v>0</v>
      </c>
      <c r="AG83" s="192">
        <f t="shared" si="13"/>
        <v>0</v>
      </c>
      <c r="BC83" s="192" t="str">
        <f t="shared" si="17"/>
        <v/>
      </c>
      <c r="BD83" s="192" t="str">
        <f t="shared" si="17"/>
        <v/>
      </c>
      <c r="BE83" s="192" t="str">
        <f t="shared" si="17"/>
        <v/>
      </c>
      <c r="BF83" s="192" t="str">
        <f t="shared" si="17"/>
        <v/>
      </c>
    </row>
    <row r="84" spans="2:58" ht="23.25" customHeight="1" x14ac:dyDescent="0.25">
      <c r="B84" s="7" t="str">
        <f t="shared" si="6"/>
        <v/>
      </c>
      <c r="C84" s="4"/>
      <c r="D84" s="4"/>
      <c r="E84" s="4"/>
      <c r="F84" s="230" t="str">
        <f>IF('תנאי סף'!AO84&lt;&gt;1,"",'תנאי סף'!F84)</f>
        <v/>
      </c>
      <c r="G84" s="491"/>
      <c r="H84" s="159" t="str">
        <f>IF($F84="","",IFERROR(VLOOKUP(G84,הלמס!A:G,4,0),""))</f>
        <v/>
      </c>
      <c r="I84" s="158"/>
      <c r="J84" s="177"/>
      <c r="K84" s="6"/>
      <c r="L84" s="5"/>
      <c r="M84" s="6"/>
      <c r="N84" s="5"/>
      <c r="O84" s="6"/>
      <c r="P84" s="6"/>
      <c r="Q84" s="158"/>
      <c r="R84" s="177"/>
      <c r="S84" s="8"/>
      <c r="T84" s="8"/>
      <c r="U84" s="8"/>
      <c r="V84" s="8"/>
      <c r="W84" s="159" t="str">
        <f t="shared" si="15"/>
        <v/>
      </c>
      <c r="X84" s="8">
        <v>1</v>
      </c>
      <c r="Y84" s="8" t="str">
        <f t="shared" si="7"/>
        <v/>
      </c>
      <c r="Z84" s="8">
        <v>1</v>
      </c>
      <c r="AA84" s="8" t="str">
        <f t="shared" si="8"/>
        <v/>
      </c>
      <c r="AB84" s="123" t="str">
        <f t="shared" si="9"/>
        <v/>
      </c>
      <c r="AC84" s="192">
        <f t="shared" si="10"/>
        <v>0</v>
      </c>
      <c r="AD84" s="192" t="str">
        <f t="shared" si="16"/>
        <v/>
      </c>
      <c r="AE84" s="192" t="str">
        <f t="shared" si="16"/>
        <v/>
      </c>
      <c r="AF84" s="192">
        <f t="shared" si="12"/>
        <v>0</v>
      </c>
      <c r="AG84" s="192">
        <f t="shared" si="13"/>
        <v>0</v>
      </c>
      <c r="BC84" s="192" t="str">
        <f t="shared" si="17"/>
        <v/>
      </c>
      <c r="BD84" s="192" t="str">
        <f t="shared" si="17"/>
        <v/>
      </c>
      <c r="BE84" s="192" t="str">
        <f t="shared" si="17"/>
        <v/>
      </c>
      <c r="BF84" s="192" t="str">
        <f t="shared" si="17"/>
        <v/>
      </c>
    </row>
    <row r="85" spans="2:58" ht="23.25" customHeight="1" x14ac:dyDescent="0.25">
      <c r="B85" s="7">
        <f t="shared" si="6"/>
        <v>55</v>
      </c>
      <c r="C85" s="4"/>
      <c r="D85" s="4"/>
      <c r="E85" s="4"/>
      <c r="F85" s="230" t="str">
        <f>IF('תנאי סף'!AO85&lt;&gt;1,"",'תנאי סף'!F85)</f>
        <v>מכון רננות</v>
      </c>
      <c r="G85" s="491"/>
      <c r="H85" s="159" t="str">
        <f>IF($F85="","",IFERROR(VLOOKUP(G85,הלמס!A:G,4,0),""))</f>
        <v/>
      </c>
      <c r="I85" s="158" t="s">
        <v>95</v>
      </c>
      <c r="J85" s="177">
        <v>1</v>
      </c>
      <c r="K85" s="6"/>
      <c r="L85" s="5"/>
      <c r="M85" s="6"/>
      <c r="N85" s="5"/>
      <c r="O85" s="6"/>
      <c r="P85" s="6"/>
      <c r="Q85" s="158"/>
      <c r="R85" s="177"/>
      <c r="S85" s="8"/>
      <c r="T85" s="8"/>
      <c r="U85" s="8"/>
      <c r="V85" s="8"/>
      <c r="W85" s="159">
        <f t="shared" si="15"/>
        <v>2</v>
      </c>
      <c r="X85" s="8">
        <v>1</v>
      </c>
      <c r="Y85" s="8">
        <f t="shared" si="7"/>
        <v>2</v>
      </c>
      <c r="Z85" s="8">
        <v>1</v>
      </c>
      <c r="AA85" s="8">
        <f t="shared" si="8"/>
        <v>2</v>
      </c>
      <c r="AB85" s="123">
        <f t="shared" si="9"/>
        <v>6.8965517241379309E-2</v>
      </c>
      <c r="AC85" s="192">
        <f t="shared" si="10"/>
        <v>1</v>
      </c>
      <c r="AD85" s="192">
        <f t="shared" si="16"/>
        <v>0</v>
      </c>
      <c r="AE85" s="192">
        <f t="shared" si="16"/>
        <v>1</v>
      </c>
      <c r="AF85" s="192">
        <f t="shared" si="12"/>
        <v>1</v>
      </c>
      <c r="AG85" s="192">
        <f t="shared" si="13"/>
        <v>1</v>
      </c>
      <c r="BC85" s="192" t="str">
        <f t="shared" si="17"/>
        <v>תל אביב והסביבה (עד 30 קילומטר מתל-אביב)</v>
      </c>
      <c r="BD85" s="192" t="str">
        <f t="shared" si="17"/>
        <v>מעל 30 ועד 60 קילומטר מתל-אביב (נתניה חדרה, יבנה, גדרה)</v>
      </c>
      <c r="BE85" s="192" t="str">
        <f t="shared" si="17"/>
        <v>מעל 60 ועד 100 קילומטר מתל-אביב (ירושלים, חיפה)</v>
      </c>
      <c r="BF85" s="192" t="str">
        <f t="shared" si="17"/>
        <v>מעל 100 קילומטר מתל-אביב (עכו, באר שבע, טבריה)</v>
      </c>
    </row>
    <row r="86" spans="2:58" ht="23.25" customHeight="1" x14ac:dyDescent="0.25">
      <c r="B86" s="7" t="str">
        <f t="shared" si="6"/>
        <v/>
      </c>
      <c r="C86" s="4"/>
      <c r="D86" s="4"/>
      <c r="E86" s="4"/>
      <c r="F86" s="230" t="str">
        <f>IF('תנאי סף'!AO86&lt;&gt;1,"",'תנאי סף'!F86)</f>
        <v/>
      </c>
      <c r="G86" s="491"/>
      <c r="H86" s="159" t="str">
        <f>IF($F86="","",IFERROR(VLOOKUP(G86,הלמס!A:G,4,0),""))</f>
        <v/>
      </c>
      <c r="I86" s="158"/>
      <c r="J86" s="177"/>
      <c r="K86" s="6"/>
      <c r="L86" s="5"/>
      <c r="M86" s="6"/>
      <c r="N86" s="5"/>
      <c r="O86" s="6"/>
      <c r="P86" s="6"/>
      <c r="Q86" s="158"/>
      <c r="R86" s="177"/>
      <c r="S86" s="8"/>
      <c r="T86" s="8"/>
      <c r="U86" s="8"/>
      <c r="V86" s="8"/>
      <c r="W86" s="159" t="str">
        <f t="shared" si="15"/>
        <v/>
      </c>
      <c r="X86" s="8">
        <v>1</v>
      </c>
      <c r="Y86" s="8" t="str">
        <f t="shared" si="7"/>
        <v/>
      </c>
      <c r="Z86" s="8">
        <v>1</v>
      </c>
      <c r="AA86" s="8" t="str">
        <f t="shared" si="8"/>
        <v/>
      </c>
      <c r="AB86" s="123" t="str">
        <f t="shared" si="9"/>
        <v/>
      </c>
      <c r="AC86" s="192">
        <f t="shared" si="10"/>
        <v>0</v>
      </c>
      <c r="AD86" s="192" t="str">
        <f t="shared" si="16"/>
        <v/>
      </c>
      <c r="AE86" s="192" t="str">
        <f t="shared" si="16"/>
        <v/>
      </c>
      <c r="AF86" s="192">
        <f t="shared" si="12"/>
        <v>0</v>
      </c>
      <c r="AG86" s="192">
        <f t="shared" si="13"/>
        <v>0</v>
      </c>
      <c r="BC86" s="192" t="str">
        <f t="shared" si="17"/>
        <v/>
      </c>
      <c r="BD86" s="192" t="str">
        <f t="shared" si="17"/>
        <v/>
      </c>
      <c r="BE86" s="192" t="str">
        <f t="shared" si="17"/>
        <v/>
      </c>
      <c r="BF86" s="192" t="str">
        <f t="shared" si="17"/>
        <v/>
      </c>
    </row>
    <row r="87" spans="2:58" ht="23.25" customHeight="1" x14ac:dyDescent="0.25">
      <c r="B87" s="7">
        <f t="shared" si="6"/>
        <v>57</v>
      </c>
      <c r="C87" s="4"/>
      <c r="D87" s="4"/>
      <c r="E87" s="4"/>
      <c r="F87" s="230" t="str">
        <f>IF('תנאי סף'!AO87&lt;&gt;1,"",'תנאי סף'!F87)</f>
        <v>עמותת מפעל המוזיקה צימבליסטה</v>
      </c>
      <c r="G87" s="491"/>
      <c r="H87" s="159" t="str">
        <f>IF($F87="","",IFERROR(VLOOKUP(G87,הלמס!A:G,4,0),""))</f>
        <v/>
      </c>
      <c r="I87" s="158" t="s">
        <v>94</v>
      </c>
      <c r="J87" s="177">
        <v>0</v>
      </c>
      <c r="K87" s="6"/>
      <c r="L87" s="5"/>
      <c r="M87" s="6"/>
      <c r="N87" s="5"/>
      <c r="O87" s="6"/>
      <c r="P87" s="6"/>
      <c r="Q87" s="158"/>
      <c r="R87" s="177"/>
      <c r="S87" s="8"/>
      <c r="T87" s="8"/>
      <c r="U87" s="8"/>
      <c r="V87" s="8"/>
      <c r="W87" s="159">
        <f t="shared" si="15"/>
        <v>0</v>
      </c>
      <c r="X87" s="8">
        <v>1</v>
      </c>
      <c r="Y87" s="8">
        <f t="shared" si="7"/>
        <v>0</v>
      </c>
      <c r="Z87" s="8">
        <v>1</v>
      </c>
      <c r="AA87" s="8">
        <f t="shared" si="8"/>
        <v>0</v>
      </c>
      <c r="AB87" s="123">
        <f t="shared" si="9"/>
        <v>0</v>
      </c>
      <c r="AC87" s="192">
        <f t="shared" si="10"/>
        <v>1</v>
      </c>
      <c r="AD87" s="192">
        <f t="shared" si="16"/>
        <v>0</v>
      </c>
      <c r="AE87" s="192">
        <f t="shared" si="16"/>
        <v>1</v>
      </c>
      <c r="AF87" s="192">
        <f t="shared" si="12"/>
        <v>1</v>
      </c>
      <c r="AG87" s="192">
        <f t="shared" si="13"/>
        <v>1</v>
      </c>
      <c r="BC87" s="192" t="str">
        <f t="shared" si="17"/>
        <v>תל אביב והסביבה (עד 30 קילומטר מתל-אביב)</v>
      </c>
      <c r="BD87" s="192" t="str">
        <f t="shared" si="17"/>
        <v>מעל 30 ועד 60 קילומטר מתל-אביב (נתניה חדרה, יבנה, גדרה)</v>
      </c>
      <c r="BE87" s="192" t="str">
        <f t="shared" si="17"/>
        <v>מעל 60 ועד 100 קילומטר מתל-אביב (ירושלים, חיפה)</v>
      </c>
      <c r="BF87" s="192" t="str">
        <f t="shared" si="17"/>
        <v>מעל 100 קילומטר מתל-אביב (עכו, באר שבע, טבריה)</v>
      </c>
    </row>
    <row r="88" spans="2:58" ht="23.25" customHeight="1" x14ac:dyDescent="0.25">
      <c r="B88" s="7" t="str">
        <f t="shared" si="6"/>
        <v/>
      </c>
      <c r="C88" s="4"/>
      <c r="D88" s="4"/>
      <c r="E88" s="4"/>
      <c r="F88" s="230" t="str">
        <f>IF('תנאי סף'!AO88&lt;&gt;1,"",'תנאי סף'!F88)</f>
        <v/>
      </c>
      <c r="G88" s="491"/>
      <c r="H88" s="159" t="str">
        <f>IF($F88="","",IFERROR(VLOOKUP(G88,הלמס!A:G,4,0),""))</f>
        <v/>
      </c>
      <c r="I88" s="158"/>
      <c r="J88" s="177"/>
      <c r="K88" s="6"/>
      <c r="L88" s="5"/>
      <c r="M88" s="6"/>
      <c r="N88" s="5"/>
      <c r="O88" s="6"/>
      <c r="P88" s="6"/>
      <c r="Q88" s="158"/>
      <c r="R88" s="177"/>
      <c r="S88" s="8"/>
      <c r="T88" s="8"/>
      <c r="U88" s="8"/>
      <c r="V88" s="8"/>
      <c r="W88" s="159" t="str">
        <f t="shared" si="15"/>
        <v/>
      </c>
      <c r="X88" s="8">
        <v>1</v>
      </c>
      <c r="Y88" s="8" t="str">
        <f t="shared" si="7"/>
        <v/>
      </c>
      <c r="Z88" s="8">
        <v>1</v>
      </c>
      <c r="AA88" s="8" t="str">
        <f t="shared" si="8"/>
        <v/>
      </c>
      <c r="AB88" s="123" t="str">
        <f t="shared" si="9"/>
        <v/>
      </c>
      <c r="AC88" s="192">
        <f t="shared" si="10"/>
        <v>0</v>
      </c>
      <c r="AD88" s="192" t="str">
        <f t="shared" si="16"/>
        <v/>
      </c>
      <c r="AE88" s="192" t="str">
        <f t="shared" si="16"/>
        <v/>
      </c>
      <c r="AF88" s="192">
        <f t="shared" si="12"/>
        <v>0</v>
      </c>
      <c r="AG88" s="192">
        <f t="shared" si="13"/>
        <v>0</v>
      </c>
      <c r="BC88" s="192" t="str">
        <f t="shared" si="17"/>
        <v/>
      </c>
      <c r="BD88" s="192" t="str">
        <f t="shared" si="17"/>
        <v/>
      </c>
      <c r="BE88" s="192" t="str">
        <f t="shared" si="17"/>
        <v/>
      </c>
      <c r="BF88" s="192" t="str">
        <f t="shared" si="17"/>
        <v/>
      </c>
    </row>
    <row r="89" spans="2:58" ht="23.25" customHeight="1" x14ac:dyDescent="0.25">
      <c r="B89" s="7">
        <f t="shared" si="6"/>
        <v>59</v>
      </c>
      <c r="C89" s="4"/>
      <c r="D89" s="4"/>
      <c r="E89" s="4"/>
      <c r="F89" s="230" t="str">
        <f>IF('תנאי סף'!AO89&lt;&gt;1,"",'תנאי סף'!F89)</f>
        <v>העמותה לקידום המוסיקה הערבית</v>
      </c>
      <c r="G89" s="491"/>
      <c r="H89" s="159" t="str">
        <f>IF($F89="","",IFERROR(VLOOKUP(G89,הלמס!A:G,4,0),""))</f>
        <v/>
      </c>
      <c r="I89" s="158" t="s">
        <v>97</v>
      </c>
      <c r="J89" s="177">
        <v>1</v>
      </c>
      <c r="K89" s="6"/>
      <c r="L89" s="5"/>
      <c r="M89" s="6"/>
      <c r="N89" s="5"/>
      <c r="O89" s="6"/>
      <c r="P89" s="6"/>
      <c r="Q89" s="158"/>
      <c r="R89" s="177"/>
      <c r="S89" s="8"/>
      <c r="T89" s="8"/>
      <c r="U89" s="8"/>
      <c r="V89" s="8"/>
      <c r="W89" s="159">
        <f t="shared" si="15"/>
        <v>3</v>
      </c>
      <c r="X89" s="8">
        <v>1</v>
      </c>
      <c r="Y89" s="8">
        <f t="shared" si="7"/>
        <v>3</v>
      </c>
      <c r="Z89" s="8">
        <v>1</v>
      </c>
      <c r="AA89" s="8">
        <f t="shared" si="8"/>
        <v>3</v>
      </c>
      <c r="AB89" s="123">
        <f t="shared" si="9"/>
        <v>0.10344827586206896</v>
      </c>
      <c r="AC89" s="192">
        <f t="shared" si="10"/>
        <v>1</v>
      </c>
      <c r="AD89" s="192">
        <f t="shared" si="16"/>
        <v>0</v>
      </c>
      <c r="AE89" s="192">
        <f t="shared" si="16"/>
        <v>1</v>
      </c>
      <c r="AF89" s="192">
        <f t="shared" si="12"/>
        <v>1</v>
      </c>
      <c r="AG89" s="192">
        <f t="shared" si="13"/>
        <v>1</v>
      </c>
      <c r="BC89" s="192" t="str">
        <f t="shared" si="17"/>
        <v>תל אביב והסביבה (עד 30 קילומטר מתל-אביב)</v>
      </c>
      <c r="BD89" s="192" t="str">
        <f t="shared" si="17"/>
        <v>מעל 30 ועד 60 קילומטר מתל-אביב (נתניה חדרה, יבנה, גדרה)</v>
      </c>
      <c r="BE89" s="192" t="str">
        <f t="shared" si="17"/>
        <v>מעל 60 ועד 100 קילומטר מתל-אביב (ירושלים, חיפה)</v>
      </c>
      <c r="BF89" s="192" t="str">
        <f t="shared" si="17"/>
        <v>מעל 100 קילומטר מתל-אביב (עכו, באר שבע, טבריה)</v>
      </c>
    </row>
    <row r="90" spans="2:58" ht="23.25" customHeight="1" x14ac:dyDescent="0.25">
      <c r="B90" s="7">
        <f t="shared" si="6"/>
        <v>60</v>
      </c>
      <c r="C90" s="4"/>
      <c r="D90" s="4"/>
      <c r="E90" s="4"/>
      <c r="F90" s="230" t="str">
        <f>IF('תנאי סף'!AO90&lt;&gt;1,"",'תנאי סף'!F90)</f>
        <v>תמיכה בתזמורת TLV (הערבית יהודית)</v>
      </c>
      <c r="G90" s="491"/>
      <c r="H90" s="159" t="str">
        <f>IF($F90="","",IFERROR(VLOOKUP(G90,הלמס!A:G,4,0),""))</f>
        <v/>
      </c>
      <c r="I90" s="158" t="s">
        <v>94</v>
      </c>
      <c r="J90" s="177">
        <v>0</v>
      </c>
      <c r="K90" s="6"/>
      <c r="L90" s="5"/>
      <c r="M90" s="6"/>
      <c r="N90" s="5"/>
      <c r="O90" s="6"/>
      <c r="P90" s="6"/>
      <c r="Q90" s="158"/>
      <c r="R90" s="177"/>
      <c r="S90" s="8"/>
      <c r="T90" s="8"/>
      <c r="U90" s="8"/>
      <c r="V90" s="8"/>
      <c r="W90" s="159">
        <f t="shared" si="15"/>
        <v>0</v>
      </c>
      <c r="X90" s="8">
        <v>1</v>
      </c>
      <c r="Y90" s="8">
        <f t="shared" si="7"/>
        <v>0</v>
      </c>
      <c r="Z90" s="8">
        <v>1</v>
      </c>
      <c r="AA90" s="8">
        <f t="shared" si="8"/>
        <v>0</v>
      </c>
      <c r="AB90" s="123">
        <f t="shared" si="9"/>
        <v>0</v>
      </c>
      <c r="AC90" s="192">
        <f t="shared" si="10"/>
        <v>1</v>
      </c>
      <c r="AD90" s="192">
        <f t="shared" si="16"/>
        <v>0</v>
      </c>
      <c r="AE90" s="192">
        <f t="shared" si="16"/>
        <v>1</v>
      </c>
      <c r="AF90" s="192">
        <f t="shared" si="12"/>
        <v>1</v>
      </c>
      <c r="AG90" s="192">
        <f t="shared" si="13"/>
        <v>1</v>
      </c>
      <c r="BC90" s="192" t="str">
        <f t="shared" si="17"/>
        <v>תל אביב והסביבה (עד 30 קילומטר מתל-אביב)</v>
      </c>
      <c r="BD90" s="192" t="str">
        <f t="shared" si="17"/>
        <v>מעל 30 ועד 60 קילומטר מתל-אביב (נתניה חדרה, יבנה, גדרה)</v>
      </c>
      <c r="BE90" s="192" t="str">
        <f t="shared" si="17"/>
        <v>מעל 60 ועד 100 קילומטר מתל-אביב (ירושלים, חיפה)</v>
      </c>
      <c r="BF90" s="192" t="str">
        <f t="shared" si="17"/>
        <v>מעל 100 קילומטר מתל-אביב (עכו, באר שבע, טבריה)</v>
      </c>
    </row>
    <row r="91" spans="2:58" ht="23.25" customHeight="1" x14ac:dyDescent="0.25">
      <c r="B91" s="7">
        <f t="shared" si="6"/>
        <v>61</v>
      </c>
      <c r="C91" s="4"/>
      <c r="D91" s="4"/>
      <c r="E91" s="4"/>
      <c r="F91" s="230" t="str">
        <f>IF('תנאי סף'!AO91&lt;&gt;1,"",'תנאי סף'!F91)</f>
        <v>אנסמבל גליל</v>
      </c>
      <c r="G91" s="491"/>
      <c r="H91" s="159" t="str">
        <f>IF($F91="","",IFERROR(VLOOKUP(G91,הלמס!A:G,4,0),""))</f>
        <v/>
      </c>
      <c r="I91" s="158" t="s">
        <v>97</v>
      </c>
      <c r="J91" s="177">
        <v>0</v>
      </c>
      <c r="K91" s="6"/>
      <c r="L91" s="5"/>
      <c r="M91" s="6"/>
      <c r="N91" s="5"/>
      <c r="O91" s="6"/>
      <c r="P91" s="6"/>
      <c r="Q91" s="158"/>
      <c r="R91" s="177"/>
      <c r="S91" s="8"/>
      <c r="T91" s="8"/>
      <c r="U91" s="8"/>
      <c r="V91" s="8"/>
      <c r="W91" s="159">
        <f t="shared" si="15"/>
        <v>3</v>
      </c>
      <c r="X91" s="8">
        <v>1</v>
      </c>
      <c r="Y91" s="8">
        <f t="shared" si="7"/>
        <v>3</v>
      </c>
      <c r="Z91" s="8">
        <v>1</v>
      </c>
      <c r="AA91" s="8">
        <f t="shared" si="8"/>
        <v>3</v>
      </c>
      <c r="AB91" s="123">
        <f t="shared" si="9"/>
        <v>0.10344827586206896</v>
      </c>
      <c r="AC91" s="192">
        <f t="shared" si="10"/>
        <v>1</v>
      </c>
      <c r="AD91" s="192">
        <f t="shared" si="16"/>
        <v>0</v>
      </c>
      <c r="AE91" s="192">
        <f t="shared" si="16"/>
        <v>1</v>
      </c>
      <c r="AF91" s="192">
        <f t="shared" si="12"/>
        <v>1</v>
      </c>
      <c r="AG91" s="192">
        <f t="shared" si="13"/>
        <v>1</v>
      </c>
      <c r="BC91" s="192" t="str">
        <f t="shared" ref="BC91:BF110" si="18">IF($F91="","",BC$30)</f>
        <v>תל אביב והסביבה (עד 30 קילומטר מתל-אביב)</v>
      </c>
      <c r="BD91" s="192" t="str">
        <f t="shared" si="18"/>
        <v>מעל 30 ועד 60 קילומטר מתל-אביב (נתניה חדרה, יבנה, גדרה)</v>
      </c>
      <c r="BE91" s="192" t="str">
        <f t="shared" si="18"/>
        <v>מעל 60 ועד 100 קילומטר מתל-אביב (ירושלים, חיפה)</v>
      </c>
      <c r="BF91" s="192" t="str">
        <f t="shared" si="18"/>
        <v>מעל 100 קילומטר מתל-אביב (עכו, באר שבע, טבריה)</v>
      </c>
    </row>
    <row r="92" spans="2:58" ht="23.25" customHeight="1" x14ac:dyDescent="0.25">
      <c r="B92" s="7">
        <f t="shared" si="6"/>
        <v>62</v>
      </c>
      <c r="C92" s="4"/>
      <c r="D92" s="4"/>
      <c r="E92" s="4"/>
      <c r="F92" s="230" t="str">
        <f>IF('תנאי סף'!AO92&lt;&gt;1,"",'תנאי סף'!F92)</f>
        <v>דריה- הרכב אינסטרומנטלי</v>
      </c>
      <c r="G92" s="491"/>
      <c r="H92" s="159" t="str">
        <f>IF($F92="","",IFERROR(VLOOKUP(G92,הלמס!A:G,4,0),""))</f>
        <v/>
      </c>
      <c r="I92" s="158" t="s">
        <v>94</v>
      </c>
      <c r="J92" s="177">
        <v>0</v>
      </c>
      <c r="K92" s="6"/>
      <c r="L92" s="5"/>
      <c r="M92" s="6"/>
      <c r="N92" s="5"/>
      <c r="O92" s="6"/>
      <c r="P92" s="6"/>
      <c r="Q92" s="158"/>
      <c r="R92" s="177"/>
      <c r="S92" s="8"/>
      <c r="T92" s="8"/>
      <c r="U92" s="8"/>
      <c r="V92" s="8"/>
      <c r="W92" s="159">
        <f t="shared" si="15"/>
        <v>0</v>
      </c>
      <c r="X92" s="8">
        <v>1</v>
      </c>
      <c r="Y92" s="8">
        <f t="shared" si="7"/>
        <v>0</v>
      </c>
      <c r="Z92" s="8">
        <v>1</v>
      </c>
      <c r="AA92" s="8">
        <f t="shared" si="8"/>
        <v>0</v>
      </c>
      <c r="AB92" s="123">
        <f t="shared" si="9"/>
        <v>0</v>
      </c>
      <c r="AC92" s="192">
        <f t="shared" si="10"/>
        <v>1</v>
      </c>
      <c r="AD92" s="192">
        <f t="shared" ref="AD92:AE130" si="19">IF($F92="","",AD$30)</f>
        <v>0</v>
      </c>
      <c r="AE92" s="192">
        <f t="shared" si="19"/>
        <v>1</v>
      </c>
      <c r="AF92" s="192">
        <f t="shared" si="12"/>
        <v>1</v>
      </c>
      <c r="AG92" s="192">
        <f t="shared" si="13"/>
        <v>1</v>
      </c>
      <c r="BC92" s="192" t="str">
        <f t="shared" si="18"/>
        <v>תל אביב והסביבה (עד 30 קילומטר מתל-אביב)</v>
      </c>
      <c r="BD92" s="192" t="str">
        <f t="shared" si="18"/>
        <v>מעל 30 ועד 60 קילומטר מתל-אביב (נתניה חדרה, יבנה, גדרה)</v>
      </c>
      <c r="BE92" s="192" t="str">
        <f t="shared" si="18"/>
        <v>מעל 60 ועד 100 קילומטר מתל-אביב (ירושלים, חיפה)</v>
      </c>
      <c r="BF92" s="192" t="str">
        <f t="shared" si="18"/>
        <v>מעל 100 קילומטר מתל-אביב (עכו, באר שבע, טבריה)</v>
      </c>
    </row>
    <row r="93" spans="2:58" ht="23.25" customHeight="1" x14ac:dyDescent="0.25">
      <c r="B93" s="7">
        <f t="shared" si="6"/>
        <v>63</v>
      </c>
      <c r="C93" s="4"/>
      <c r="D93" s="4"/>
      <c r="E93" s="4"/>
      <c r="F93" s="230" t="str">
        <f>IF('תנאי סף'!AO93&lt;&gt;1,"",'תנאי סף'!F93)</f>
        <v>להקת שלוש</v>
      </c>
      <c r="G93" s="491"/>
      <c r="H93" s="159" t="str">
        <f>IF($F93="","",IFERROR(VLOOKUP(G93,הלמס!A:G,4,0),""))</f>
        <v/>
      </c>
      <c r="I93" s="158" t="s">
        <v>94</v>
      </c>
      <c r="J93" s="177">
        <v>0</v>
      </c>
      <c r="K93" s="6"/>
      <c r="L93" s="5"/>
      <c r="M93" s="6"/>
      <c r="N93" s="5"/>
      <c r="O93" s="6"/>
      <c r="P93" s="6"/>
      <c r="Q93" s="158"/>
      <c r="R93" s="177"/>
      <c r="S93" s="8"/>
      <c r="T93" s="8"/>
      <c r="U93" s="8"/>
      <c r="V93" s="8"/>
      <c r="W93" s="159">
        <f t="shared" si="15"/>
        <v>0</v>
      </c>
      <c r="X93" s="8">
        <v>1</v>
      </c>
      <c r="Y93" s="8">
        <f t="shared" si="7"/>
        <v>0</v>
      </c>
      <c r="Z93" s="8">
        <v>1</v>
      </c>
      <c r="AA93" s="8">
        <f t="shared" si="8"/>
        <v>0</v>
      </c>
      <c r="AB93" s="123">
        <f t="shared" si="9"/>
        <v>0</v>
      </c>
      <c r="AC93" s="192">
        <f t="shared" si="10"/>
        <v>1</v>
      </c>
      <c r="AD93" s="192">
        <f t="shared" si="19"/>
        <v>0</v>
      </c>
      <c r="AE93" s="192">
        <f t="shared" si="19"/>
        <v>1</v>
      </c>
      <c r="AF93" s="192">
        <f t="shared" si="12"/>
        <v>1</v>
      </c>
      <c r="AG93" s="192">
        <f t="shared" si="13"/>
        <v>1</v>
      </c>
      <c r="BC93" s="192" t="str">
        <f t="shared" si="18"/>
        <v>תל אביב והסביבה (עד 30 קילומטר מתל-אביב)</v>
      </c>
      <c r="BD93" s="192" t="str">
        <f t="shared" si="18"/>
        <v>מעל 30 ועד 60 קילומטר מתל-אביב (נתניה חדרה, יבנה, גדרה)</v>
      </c>
      <c r="BE93" s="192" t="str">
        <f t="shared" si="18"/>
        <v>מעל 60 ועד 100 קילומטר מתל-אביב (ירושלים, חיפה)</v>
      </c>
      <c r="BF93" s="192" t="str">
        <f t="shared" si="18"/>
        <v>מעל 100 קילומטר מתל-אביב (עכו, באר שבע, טבריה)</v>
      </c>
    </row>
    <row r="94" spans="2:58" ht="23.25" customHeight="1" x14ac:dyDescent="0.25">
      <c r="B94" s="7">
        <f t="shared" si="6"/>
        <v>64</v>
      </c>
      <c r="C94" s="4"/>
      <c r="D94" s="4"/>
      <c r="E94" s="4"/>
      <c r="F94" s="230" t="str">
        <f>IF('תנאי סף'!AO94&lt;&gt;1,"",'תנאי סף'!F94)</f>
        <v>רביעיית טוסקאניני</v>
      </c>
      <c r="G94" s="491"/>
      <c r="H94" s="159" t="str">
        <f>IF($F94="","",IFERROR(VLOOKUP(G94,הלמס!A:G,4,0),""))</f>
        <v/>
      </c>
      <c r="I94" s="158" t="s">
        <v>94</v>
      </c>
      <c r="J94" s="177">
        <v>0</v>
      </c>
      <c r="K94" s="6"/>
      <c r="L94" s="5"/>
      <c r="M94" s="6"/>
      <c r="N94" s="5"/>
      <c r="O94" s="6"/>
      <c r="P94" s="6"/>
      <c r="Q94" s="158"/>
      <c r="R94" s="177"/>
      <c r="S94" s="8"/>
      <c r="T94" s="8"/>
      <c r="U94" s="8"/>
      <c r="V94" s="8"/>
      <c r="W94" s="159">
        <f t="shared" si="15"/>
        <v>0</v>
      </c>
      <c r="X94" s="8">
        <v>1</v>
      </c>
      <c r="Y94" s="8">
        <f t="shared" si="7"/>
        <v>0</v>
      </c>
      <c r="Z94" s="8">
        <v>1</v>
      </c>
      <c r="AA94" s="8">
        <f t="shared" si="8"/>
        <v>0</v>
      </c>
      <c r="AB94" s="123">
        <f t="shared" si="9"/>
        <v>0</v>
      </c>
      <c r="AC94" s="192">
        <f t="shared" si="10"/>
        <v>1</v>
      </c>
      <c r="AD94" s="192">
        <f t="shared" si="19"/>
        <v>0</v>
      </c>
      <c r="AE94" s="192">
        <f t="shared" si="19"/>
        <v>1</v>
      </c>
      <c r="AF94" s="192">
        <f t="shared" si="12"/>
        <v>1</v>
      </c>
      <c r="AG94" s="192">
        <f t="shared" si="13"/>
        <v>1</v>
      </c>
      <c r="BC94" s="192" t="str">
        <f t="shared" si="18"/>
        <v>תל אביב והסביבה (עד 30 קילומטר מתל-אביב)</v>
      </c>
      <c r="BD94" s="192" t="str">
        <f t="shared" si="18"/>
        <v>מעל 30 ועד 60 קילומטר מתל-אביב (נתניה חדרה, יבנה, גדרה)</v>
      </c>
      <c r="BE94" s="192" t="str">
        <f t="shared" si="18"/>
        <v>מעל 60 ועד 100 קילומטר מתל-אביב (ירושלים, חיפה)</v>
      </c>
      <c r="BF94" s="192" t="str">
        <f t="shared" si="18"/>
        <v>מעל 100 קילומטר מתל-אביב (עכו, באר שבע, טבריה)</v>
      </c>
    </row>
    <row r="95" spans="2:58" ht="23.25" customHeight="1" x14ac:dyDescent="0.25">
      <c r="B95" s="7">
        <f t="shared" si="6"/>
        <v>65</v>
      </c>
      <c r="C95" s="4"/>
      <c r="D95" s="4"/>
      <c r="E95" s="4"/>
      <c r="F95" s="230" t="str">
        <f>IF('תנאי סף'!AO95&lt;&gt;1,"",'תנאי סף'!F95)</f>
        <v>תקוע-קבוצה מוזיקלית - 'דאפה' 2024</v>
      </c>
      <c r="G95" s="491"/>
      <c r="H95" s="159" t="str">
        <f>IF($F95="","",IFERROR(VLOOKUP(G95,הלמס!A:G,4,0),""))</f>
        <v/>
      </c>
      <c r="I95" s="158" t="s">
        <v>96</v>
      </c>
      <c r="J95" s="177">
        <v>1</v>
      </c>
      <c r="K95" s="6"/>
      <c r="L95" s="5"/>
      <c r="M95" s="6"/>
      <c r="N95" s="5"/>
      <c r="O95" s="6"/>
      <c r="P95" s="6"/>
      <c r="Q95" s="158"/>
      <c r="R95" s="177"/>
      <c r="S95" s="8"/>
      <c r="T95" s="8"/>
      <c r="U95" s="8"/>
      <c r="V95" s="8"/>
      <c r="W95" s="159">
        <f t="shared" ref="W95:W130" si="20">IF($F95="","",IF($AC95&lt;&gt;1,$AD$1,MAX($J$9*J95,INDEX($J$5:$J$8,MATCH(I95,$I$5:$I$8,0)))))</f>
        <v>2</v>
      </c>
      <c r="X95" s="8">
        <v>1</v>
      </c>
      <c r="Y95" s="8">
        <f t="shared" si="7"/>
        <v>2</v>
      </c>
      <c r="Z95" s="8">
        <v>1</v>
      </c>
      <c r="AA95" s="8">
        <f t="shared" si="8"/>
        <v>2</v>
      </c>
      <c r="AB95" s="123">
        <f t="shared" si="9"/>
        <v>6.8965517241379309E-2</v>
      </c>
      <c r="AC95" s="192">
        <f t="shared" si="10"/>
        <v>1</v>
      </c>
      <c r="AD95" s="192">
        <f t="shared" si="19"/>
        <v>0</v>
      </c>
      <c r="AE95" s="192">
        <f t="shared" si="19"/>
        <v>1</v>
      </c>
      <c r="AF95" s="192">
        <f t="shared" si="12"/>
        <v>1</v>
      </c>
      <c r="AG95" s="192">
        <f t="shared" si="13"/>
        <v>1</v>
      </c>
      <c r="BC95" s="192" t="str">
        <f t="shared" si="18"/>
        <v>תל אביב והסביבה (עד 30 קילומטר מתל-אביב)</v>
      </c>
      <c r="BD95" s="192" t="str">
        <f t="shared" si="18"/>
        <v>מעל 30 ועד 60 קילומטר מתל-אביב (נתניה חדרה, יבנה, גדרה)</v>
      </c>
      <c r="BE95" s="192" t="str">
        <f t="shared" si="18"/>
        <v>מעל 60 ועד 100 קילומטר מתל-אביב (ירושלים, חיפה)</v>
      </c>
      <c r="BF95" s="192" t="str">
        <f t="shared" si="18"/>
        <v>מעל 100 קילומטר מתל-אביב (עכו, באר שבע, טבריה)</v>
      </c>
    </row>
    <row r="96" spans="2:58" ht="23.25" customHeight="1" x14ac:dyDescent="0.25">
      <c r="B96" s="7">
        <f t="shared" ref="B96:B130" si="21">IF(F96="","",ROW()-30)</f>
        <v>66</v>
      </c>
      <c r="C96" s="4"/>
      <c r="D96" s="4"/>
      <c r="E96" s="4"/>
      <c r="F96" s="230" t="str">
        <f>IF('תנאי סף'!AO96&lt;&gt;1,"",'תנאי סף'!F96)</f>
        <v>טריו בן חיים</v>
      </c>
      <c r="G96" s="491"/>
      <c r="H96" s="159" t="str">
        <f>IF($F96="","",IFERROR(VLOOKUP(G96,הלמס!A:G,4,0),""))</f>
        <v/>
      </c>
      <c r="I96" s="158" t="s">
        <v>94</v>
      </c>
      <c r="J96" s="177">
        <v>0</v>
      </c>
      <c r="K96" s="6"/>
      <c r="L96" s="5"/>
      <c r="M96" s="6"/>
      <c r="N96" s="5"/>
      <c r="O96" s="6"/>
      <c r="P96" s="6"/>
      <c r="Q96" s="158"/>
      <c r="R96" s="177"/>
      <c r="S96" s="8"/>
      <c r="T96" s="8"/>
      <c r="U96" s="8"/>
      <c r="V96" s="8"/>
      <c r="W96" s="159">
        <f t="shared" si="20"/>
        <v>0</v>
      </c>
      <c r="X96" s="8">
        <v>1</v>
      </c>
      <c r="Y96" s="8">
        <f t="shared" ref="Y96:Y130" si="22">IF($F96="","",IF($AC96&lt;&gt;1,$AD$1,IFERROR(W96*X96,$AD$1)))</f>
        <v>0</v>
      </c>
      <c r="Z96" s="8">
        <v>1</v>
      </c>
      <c r="AA96" s="8">
        <f t="shared" ref="AA96:AA130" si="23">IF($F96="","",IF($AC96&lt;&gt;1,$AD$1,IFERROR(Y96*Z96,$AD$1)))</f>
        <v>0</v>
      </c>
      <c r="AB96" s="123">
        <f t="shared" ref="AB96:AB130" si="24">IF($F96="","",IF(OR($AC96&lt;&gt;1,AA96=$AD$1),$AD$1,IFERROR(AA96/SUM($AA$31:$AA$130),0)))</f>
        <v>0</v>
      </c>
      <c r="AC96" s="192">
        <f t="shared" ref="AC96:AC130" si="25">IF(SUM(AF96:AX96)=COUNT(AF96:AX96),1,0)</f>
        <v>1</v>
      </c>
      <c r="AD96" s="192">
        <f t="shared" si="19"/>
        <v>0</v>
      </c>
      <c r="AE96" s="192">
        <f t="shared" si="19"/>
        <v>1</v>
      </c>
      <c r="AF96" s="192">
        <f t="shared" ref="AF96:AF130" si="26">IF(I$30="",1,IF(I96="",0,IFERROR(CHOOSE(AF$28,IF(ISNA(MATCH(I96,$AD$30:$AE$30,0)),0,1),IF(ISNUMBER(I96),1,0),IF(I96=TRUNC(I96),1,0),IF(AND(I96*1=I96,I96&gt;=0),1,0),IF(AND(I96=TRUNC(I96),I96&gt;=0),1,0),IF(AND(I96*1=I96,I96&gt;0),1,0),IF(AND(I96=TRUNC(I96),I96&gt;0),1,0),1,IF(ISNA(HLOOKUP(I96,$AG$4:$AP$4,1,0)),0,1)),0)))</f>
        <v>1</v>
      </c>
      <c r="AG96" s="192">
        <f t="shared" si="13"/>
        <v>1</v>
      </c>
      <c r="BC96" s="192" t="str">
        <f t="shared" si="18"/>
        <v>תל אביב והסביבה (עד 30 קילומטר מתל-אביב)</v>
      </c>
      <c r="BD96" s="192" t="str">
        <f t="shared" si="18"/>
        <v>מעל 30 ועד 60 קילומטר מתל-אביב (נתניה חדרה, יבנה, גדרה)</v>
      </c>
      <c r="BE96" s="192" t="str">
        <f t="shared" si="18"/>
        <v>מעל 60 ועד 100 קילומטר מתל-אביב (ירושלים, חיפה)</v>
      </c>
      <c r="BF96" s="192" t="str">
        <f t="shared" si="18"/>
        <v>מעל 100 קילומטר מתל-אביב (עכו, באר שבע, טבריה)</v>
      </c>
    </row>
    <row r="97" spans="2:58" ht="23.25" customHeight="1" x14ac:dyDescent="0.25">
      <c r="B97" s="7" t="str">
        <f t="shared" si="21"/>
        <v/>
      </c>
      <c r="C97" s="4"/>
      <c r="D97" s="4"/>
      <c r="E97" s="4"/>
      <c r="F97" s="230" t="str">
        <f>IF('תנאי סף'!AO97&lt;&gt;1,"",'תנאי סף'!F97)</f>
        <v/>
      </c>
      <c r="G97" s="491"/>
      <c r="H97" s="159" t="str">
        <f>IF($F97="","",IFERROR(VLOOKUP(G97,הלמס!A:G,4,0),""))</f>
        <v/>
      </c>
      <c r="I97" s="158"/>
      <c r="J97" s="177"/>
      <c r="K97" s="6"/>
      <c r="L97" s="5"/>
      <c r="M97" s="6"/>
      <c r="N97" s="5"/>
      <c r="O97" s="6"/>
      <c r="P97" s="6"/>
      <c r="Q97" s="158"/>
      <c r="R97" s="177"/>
      <c r="S97" s="8"/>
      <c r="T97" s="8"/>
      <c r="U97" s="8"/>
      <c r="V97" s="8"/>
      <c r="W97" s="159" t="str">
        <f t="shared" si="20"/>
        <v/>
      </c>
      <c r="X97" s="8">
        <v>1</v>
      </c>
      <c r="Y97" s="8" t="str">
        <f t="shared" si="22"/>
        <v/>
      </c>
      <c r="Z97" s="8">
        <v>1</v>
      </c>
      <c r="AA97" s="8" t="str">
        <f t="shared" si="23"/>
        <v/>
      </c>
      <c r="AB97" s="123" t="str">
        <f t="shared" si="24"/>
        <v/>
      </c>
      <c r="AC97" s="192">
        <f t="shared" si="25"/>
        <v>0</v>
      </c>
      <c r="AD97" s="192" t="str">
        <f t="shared" si="19"/>
        <v/>
      </c>
      <c r="AE97" s="192" t="str">
        <f t="shared" si="19"/>
        <v/>
      </c>
      <c r="AF97" s="192">
        <f t="shared" si="26"/>
        <v>0</v>
      </c>
      <c r="AG97" s="192">
        <f t="shared" si="13"/>
        <v>0</v>
      </c>
      <c r="BC97" s="192" t="str">
        <f t="shared" si="18"/>
        <v/>
      </c>
      <c r="BD97" s="192" t="str">
        <f t="shared" si="18"/>
        <v/>
      </c>
      <c r="BE97" s="192" t="str">
        <f t="shared" si="18"/>
        <v/>
      </c>
      <c r="BF97" s="192" t="str">
        <f t="shared" si="18"/>
        <v/>
      </c>
    </row>
    <row r="98" spans="2:58" ht="23.25" customHeight="1" x14ac:dyDescent="0.25">
      <c r="B98" s="7">
        <f t="shared" si="21"/>
        <v>68</v>
      </c>
      <c r="C98" s="4"/>
      <c r="D98" s="4"/>
      <c r="E98" s="4"/>
      <c r="F98" s="230" t="str">
        <f>IF('תנאי סף'!AO98&lt;&gt;1,"",'תנאי סף'!F98)</f>
        <v>אמיתי אריכא והפרויקט D1</v>
      </c>
      <c r="G98" s="491"/>
      <c r="H98" s="159" t="str">
        <f>IF($F98="","",IFERROR(VLOOKUP(G98,הלמס!A:G,4,0),""))</f>
        <v/>
      </c>
      <c r="I98" s="158" t="s">
        <v>97</v>
      </c>
      <c r="J98" s="177">
        <v>1</v>
      </c>
      <c r="K98" s="6"/>
      <c r="L98" s="5"/>
      <c r="M98" s="6"/>
      <c r="N98" s="5"/>
      <c r="O98" s="6"/>
      <c r="P98" s="6"/>
      <c r="Q98" s="158"/>
      <c r="R98" s="177"/>
      <c r="S98" s="8"/>
      <c r="T98" s="8"/>
      <c r="U98" s="8"/>
      <c r="V98" s="8"/>
      <c r="W98" s="159">
        <f t="shared" si="20"/>
        <v>3</v>
      </c>
      <c r="X98" s="8">
        <v>1</v>
      </c>
      <c r="Y98" s="8">
        <f t="shared" si="22"/>
        <v>3</v>
      </c>
      <c r="Z98" s="8">
        <v>1</v>
      </c>
      <c r="AA98" s="8">
        <f t="shared" si="23"/>
        <v>3</v>
      </c>
      <c r="AB98" s="123">
        <f t="shared" si="24"/>
        <v>0.10344827586206896</v>
      </c>
      <c r="AC98" s="192">
        <f t="shared" si="25"/>
        <v>1</v>
      </c>
      <c r="AD98" s="192">
        <f t="shared" si="19"/>
        <v>0</v>
      </c>
      <c r="AE98" s="192">
        <f t="shared" si="19"/>
        <v>1</v>
      </c>
      <c r="AF98" s="192">
        <f t="shared" si="26"/>
        <v>1</v>
      </c>
      <c r="AG98" s="192">
        <f t="shared" si="13"/>
        <v>1</v>
      </c>
      <c r="BC98" s="192" t="str">
        <f t="shared" si="18"/>
        <v>תל אביב והסביבה (עד 30 קילומטר מתל-אביב)</v>
      </c>
      <c r="BD98" s="192" t="str">
        <f t="shared" si="18"/>
        <v>מעל 30 ועד 60 קילומטר מתל-אביב (נתניה חדרה, יבנה, גדרה)</v>
      </c>
      <c r="BE98" s="192" t="str">
        <f t="shared" si="18"/>
        <v>מעל 60 ועד 100 קילומטר מתל-אביב (ירושלים, חיפה)</v>
      </c>
      <c r="BF98" s="192" t="str">
        <f t="shared" si="18"/>
        <v>מעל 100 קילומטר מתל-אביב (עכו, באר שבע, טבריה)</v>
      </c>
    </row>
    <row r="99" spans="2:58" x14ac:dyDescent="0.25">
      <c r="B99" s="7" t="str">
        <f t="shared" si="21"/>
        <v/>
      </c>
      <c r="C99" s="4"/>
      <c r="D99" s="4"/>
      <c r="E99" s="4"/>
      <c r="F99" s="230" t="str">
        <f>IF('תנאי סף'!AO99&lt;&gt;1,"",'תנאי סף'!F99)</f>
        <v/>
      </c>
      <c r="G99" s="491"/>
      <c r="H99" s="159" t="str">
        <f>IF($F99="","",IFERROR(VLOOKUP(G99,הלמס!A:G,4,0),""))</f>
        <v/>
      </c>
      <c r="I99" s="158"/>
      <c r="J99" s="177"/>
      <c r="K99" s="6"/>
      <c r="L99" s="5"/>
      <c r="M99" s="6"/>
      <c r="N99" s="5"/>
      <c r="O99" s="6"/>
      <c r="P99" s="6"/>
      <c r="Q99" s="158"/>
      <c r="R99" s="177"/>
      <c r="S99" s="8"/>
      <c r="T99" s="8"/>
      <c r="U99" s="8"/>
      <c r="V99" s="8"/>
      <c r="W99" s="159" t="str">
        <f t="shared" si="20"/>
        <v/>
      </c>
      <c r="X99" s="8">
        <v>1</v>
      </c>
      <c r="Y99" s="8" t="str">
        <f t="shared" si="22"/>
        <v/>
      </c>
      <c r="Z99" s="8">
        <v>1</v>
      </c>
      <c r="AA99" s="8" t="str">
        <f t="shared" si="23"/>
        <v/>
      </c>
      <c r="AB99" s="123" t="str">
        <f t="shared" si="24"/>
        <v/>
      </c>
      <c r="AC99" s="192">
        <f t="shared" si="25"/>
        <v>0</v>
      </c>
      <c r="AD99" s="192" t="str">
        <f t="shared" si="19"/>
        <v/>
      </c>
      <c r="AE99" s="192" t="str">
        <f t="shared" si="19"/>
        <v/>
      </c>
      <c r="AF99" s="192">
        <f t="shared" si="26"/>
        <v>0</v>
      </c>
      <c r="AG99" s="192">
        <f t="shared" si="13"/>
        <v>0</v>
      </c>
      <c r="BC99" s="192" t="str">
        <f t="shared" si="18"/>
        <v/>
      </c>
      <c r="BD99" s="192" t="str">
        <f t="shared" si="18"/>
        <v/>
      </c>
      <c r="BE99" s="192" t="str">
        <f t="shared" si="18"/>
        <v/>
      </c>
      <c r="BF99" s="192" t="str">
        <f t="shared" si="18"/>
        <v/>
      </c>
    </row>
    <row r="100" spans="2:58" x14ac:dyDescent="0.25">
      <c r="B100" s="7" t="str">
        <f t="shared" si="21"/>
        <v/>
      </c>
      <c r="C100" s="4"/>
      <c r="D100" s="4"/>
      <c r="E100" s="4"/>
      <c r="F100" s="230" t="str">
        <f>IF('תנאי סף'!AO100&lt;&gt;1,"",'תנאי סף'!F100)</f>
        <v/>
      </c>
      <c r="G100" s="491"/>
      <c r="H100" s="159" t="str">
        <f>IF($F100="","",IFERROR(VLOOKUP(G100,הלמס!A:G,4,0),""))</f>
        <v/>
      </c>
      <c r="I100" s="158"/>
      <c r="J100" s="177"/>
      <c r="K100" s="6"/>
      <c r="L100" s="5"/>
      <c r="M100" s="6"/>
      <c r="N100" s="5"/>
      <c r="O100" s="6"/>
      <c r="P100" s="6"/>
      <c r="Q100" s="158"/>
      <c r="R100" s="177"/>
      <c r="S100" s="8"/>
      <c r="T100" s="8"/>
      <c r="U100" s="8"/>
      <c r="V100" s="8"/>
      <c r="W100" s="159" t="str">
        <f t="shared" si="20"/>
        <v/>
      </c>
      <c r="X100" s="8">
        <v>1</v>
      </c>
      <c r="Y100" s="8" t="str">
        <f t="shared" si="22"/>
        <v/>
      </c>
      <c r="Z100" s="8">
        <v>1</v>
      </c>
      <c r="AA100" s="8" t="str">
        <f t="shared" si="23"/>
        <v/>
      </c>
      <c r="AB100" s="123" t="str">
        <f t="shared" si="24"/>
        <v/>
      </c>
      <c r="AC100" s="192">
        <f t="shared" si="25"/>
        <v>0</v>
      </c>
      <c r="AD100" s="192" t="str">
        <f t="shared" si="19"/>
        <v/>
      </c>
      <c r="AE100" s="192" t="str">
        <f t="shared" si="19"/>
        <v/>
      </c>
      <c r="AF100" s="192">
        <f t="shared" si="26"/>
        <v>0</v>
      </c>
      <c r="AG100" s="192">
        <f t="shared" si="13"/>
        <v>0</v>
      </c>
      <c r="BC100" s="192" t="str">
        <f t="shared" si="18"/>
        <v/>
      </c>
      <c r="BD100" s="192" t="str">
        <f t="shared" si="18"/>
        <v/>
      </c>
      <c r="BE100" s="192" t="str">
        <f t="shared" si="18"/>
        <v/>
      </c>
      <c r="BF100" s="192" t="str">
        <f t="shared" si="18"/>
        <v/>
      </c>
    </row>
    <row r="101" spans="2:58" x14ac:dyDescent="0.25">
      <c r="B101" s="7" t="str">
        <f t="shared" si="21"/>
        <v/>
      </c>
      <c r="C101" s="4"/>
      <c r="D101" s="4"/>
      <c r="E101" s="4"/>
      <c r="F101" s="230" t="str">
        <f>IF('תנאי סף'!AO101&lt;&gt;1,"",'תנאי סף'!F101)</f>
        <v/>
      </c>
      <c r="G101" s="491"/>
      <c r="H101" s="159" t="str">
        <f>IF($F101="","",IFERROR(VLOOKUP(G101,הלמס!A:G,4,0),""))</f>
        <v/>
      </c>
      <c r="I101" s="158"/>
      <c r="J101" s="177"/>
      <c r="K101" s="6"/>
      <c r="L101" s="5"/>
      <c r="M101" s="6"/>
      <c r="N101" s="5"/>
      <c r="O101" s="6"/>
      <c r="P101" s="6"/>
      <c r="Q101" s="158"/>
      <c r="R101" s="177"/>
      <c r="S101" s="8"/>
      <c r="T101" s="8"/>
      <c r="U101" s="8"/>
      <c r="V101" s="8"/>
      <c r="W101" s="159" t="str">
        <f t="shared" si="20"/>
        <v/>
      </c>
      <c r="X101" s="8">
        <v>1</v>
      </c>
      <c r="Y101" s="8" t="str">
        <f t="shared" si="22"/>
        <v/>
      </c>
      <c r="Z101" s="8">
        <v>1</v>
      </c>
      <c r="AA101" s="8" t="str">
        <f t="shared" si="23"/>
        <v/>
      </c>
      <c r="AB101" s="123" t="str">
        <f t="shared" si="24"/>
        <v/>
      </c>
      <c r="AC101" s="192">
        <f t="shared" si="25"/>
        <v>0</v>
      </c>
      <c r="AD101" s="192" t="str">
        <f t="shared" si="19"/>
        <v/>
      </c>
      <c r="AE101" s="192" t="str">
        <f t="shared" si="19"/>
        <v/>
      </c>
      <c r="AF101" s="192">
        <f t="shared" si="26"/>
        <v>0</v>
      </c>
      <c r="AG101" s="192">
        <f t="shared" si="13"/>
        <v>0</v>
      </c>
      <c r="BC101" s="192" t="str">
        <f t="shared" si="18"/>
        <v/>
      </c>
      <c r="BD101" s="192" t="str">
        <f t="shared" si="18"/>
        <v/>
      </c>
      <c r="BE101" s="192" t="str">
        <f t="shared" si="18"/>
        <v/>
      </c>
      <c r="BF101" s="192" t="str">
        <f t="shared" si="18"/>
        <v/>
      </c>
    </row>
    <row r="102" spans="2:58" x14ac:dyDescent="0.25">
      <c r="B102" s="7" t="str">
        <f t="shared" si="21"/>
        <v/>
      </c>
      <c r="C102" s="4"/>
      <c r="D102" s="4"/>
      <c r="E102" s="4"/>
      <c r="F102" s="230" t="str">
        <f>IF('תנאי סף'!AO102&lt;&gt;1,"",'תנאי סף'!F102)</f>
        <v/>
      </c>
      <c r="G102" s="491"/>
      <c r="H102" s="159" t="str">
        <f>IF($F102="","",IFERROR(VLOOKUP(G102,הלמס!A:G,4,0),""))</f>
        <v/>
      </c>
      <c r="I102" s="158"/>
      <c r="J102" s="177"/>
      <c r="K102" s="6"/>
      <c r="L102" s="5"/>
      <c r="M102" s="6"/>
      <c r="N102" s="5"/>
      <c r="O102" s="6"/>
      <c r="P102" s="6"/>
      <c r="Q102" s="158"/>
      <c r="R102" s="177"/>
      <c r="S102" s="8"/>
      <c r="T102" s="8"/>
      <c r="U102" s="8"/>
      <c r="V102" s="8"/>
      <c r="W102" s="159" t="str">
        <f t="shared" si="20"/>
        <v/>
      </c>
      <c r="X102" s="8">
        <v>1</v>
      </c>
      <c r="Y102" s="8" t="str">
        <f t="shared" si="22"/>
        <v/>
      </c>
      <c r="Z102" s="8">
        <v>1</v>
      </c>
      <c r="AA102" s="8" t="str">
        <f t="shared" si="23"/>
        <v/>
      </c>
      <c r="AB102" s="123" t="str">
        <f t="shared" si="24"/>
        <v/>
      </c>
      <c r="AC102" s="192">
        <f t="shared" si="25"/>
        <v>0</v>
      </c>
      <c r="AD102" s="192" t="str">
        <f t="shared" si="19"/>
        <v/>
      </c>
      <c r="AE102" s="192" t="str">
        <f t="shared" si="19"/>
        <v/>
      </c>
      <c r="AF102" s="192">
        <f t="shared" si="26"/>
        <v>0</v>
      </c>
      <c r="AG102" s="192">
        <f t="shared" si="13"/>
        <v>0</v>
      </c>
      <c r="BC102" s="192" t="str">
        <f t="shared" si="18"/>
        <v/>
      </c>
      <c r="BD102" s="192" t="str">
        <f t="shared" si="18"/>
        <v/>
      </c>
      <c r="BE102" s="192" t="str">
        <f t="shared" si="18"/>
        <v/>
      </c>
      <c r="BF102" s="192" t="str">
        <f t="shared" si="18"/>
        <v/>
      </c>
    </row>
    <row r="103" spans="2:58" x14ac:dyDescent="0.25">
      <c r="B103" s="7" t="str">
        <f t="shared" si="21"/>
        <v/>
      </c>
      <c r="C103" s="4"/>
      <c r="D103" s="4"/>
      <c r="E103" s="4"/>
      <c r="F103" s="230" t="str">
        <f>IF('תנאי סף'!AO103&lt;&gt;1,"",'תנאי סף'!F103)</f>
        <v/>
      </c>
      <c r="G103" s="491"/>
      <c r="H103" s="159" t="str">
        <f>IF($F103="","",IFERROR(VLOOKUP(G103,הלמס!A:G,4,0),""))</f>
        <v/>
      </c>
      <c r="I103" s="158"/>
      <c r="J103" s="177"/>
      <c r="K103" s="6"/>
      <c r="L103" s="5"/>
      <c r="M103" s="6"/>
      <c r="N103" s="5"/>
      <c r="O103" s="6"/>
      <c r="P103" s="6"/>
      <c r="Q103" s="158"/>
      <c r="R103" s="177"/>
      <c r="S103" s="8"/>
      <c r="T103" s="8"/>
      <c r="U103" s="8"/>
      <c r="V103" s="8"/>
      <c r="W103" s="159" t="str">
        <f t="shared" si="20"/>
        <v/>
      </c>
      <c r="X103" s="8">
        <v>1</v>
      </c>
      <c r="Y103" s="8" t="str">
        <f t="shared" si="22"/>
        <v/>
      </c>
      <c r="Z103" s="8">
        <v>1</v>
      </c>
      <c r="AA103" s="8" t="str">
        <f t="shared" si="23"/>
        <v/>
      </c>
      <c r="AB103" s="123" t="str">
        <f t="shared" si="24"/>
        <v/>
      </c>
      <c r="AC103" s="192">
        <f t="shared" si="25"/>
        <v>0</v>
      </c>
      <c r="AD103" s="192" t="str">
        <f t="shared" si="19"/>
        <v/>
      </c>
      <c r="AE103" s="192" t="str">
        <f t="shared" si="19"/>
        <v/>
      </c>
      <c r="AF103" s="192">
        <f t="shared" si="26"/>
        <v>0</v>
      </c>
      <c r="AG103" s="192">
        <f t="shared" si="13"/>
        <v>0</v>
      </c>
      <c r="BC103" s="192" t="str">
        <f t="shared" si="18"/>
        <v/>
      </c>
      <c r="BD103" s="192" t="str">
        <f t="shared" si="18"/>
        <v/>
      </c>
      <c r="BE103" s="192" t="str">
        <f t="shared" si="18"/>
        <v/>
      </c>
      <c r="BF103" s="192" t="str">
        <f t="shared" si="18"/>
        <v/>
      </c>
    </row>
    <row r="104" spans="2:58" x14ac:dyDescent="0.25">
      <c r="B104" s="7" t="str">
        <f t="shared" si="21"/>
        <v/>
      </c>
      <c r="C104" s="4"/>
      <c r="D104" s="4"/>
      <c r="E104" s="4"/>
      <c r="F104" s="230" t="str">
        <f>IF('תנאי סף'!AO104&lt;&gt;1,"",'תנאי סף'!F104)</f>
        <v/>
      </c>
      <c r="G104" s="491"/>
      <c r="H104" s="159" t="str">
        <f>IF($F104="","",IFERROR(VLOOKUP(G104,הלמס!A:G,4,0),""))</f>
        <v/>
      </c>
      <c r="I104" s="158"/>
      <c r="J104" s="177"/>
      <c r="K104" s="6"/>
      <c r="L104" s="5"/>
      <c r="M104" s="6"/>
      <c r="N104" s="5"/>
      <c r="O104" s="6"/>
      <c r="P104" s="6"/>
      <c r="Q104" s="158"/>
      <c r="R104" s="177"/>
      <c r="S104" s="8"/>
      <c r="T104" s="8"/>
      <c r="U104" s="8"/>
      <c r="V104" s="8"/>
      <c r="W104" s="159" t="str">
        <f t="shared" si="20"/>
        <v/>
      </c>
      <c r="X104" s="8">
        <v>1</v>
      </c>
      <c r="Y104" s="8" t="str">
        <f t="shared" si="22"/>
        <v/>
      </c>
      <c r="Z104" s="8">
        <v>1</v>
      </c>
      <c r="AA104" s="8" t="str">
        <f t="shared" si="23"/>
        <v/>
      </c>
      <c r="AB104" s="123" t="str">
        <f t="shared" si="24"/>
        <v/>
      </c>
      <c r="AC104" s="192">
        <f t="shared" si="25"/>
        <v>0</v>
      </c>
      <c r="AD104" s="192" t="str">
        <f t="shared" si="19"/>
        <v/>
      </c>
      <c r="AE104" s="192" t="str">
        <f t="shared" si="19"/>
        <v/>
      </c>
      <c r="AF104" s="192">
        <f t="shared" si="26"/>
        <v>0</v>
      </c>
      <c r="AG104" s="192">
        <f t="shared" si="13"/>
        <v>0</v>
      </c>
      <c r="BC104" s="192" t="str">
        <f t="shared" si="18"/>
        <v/>
      </c>
      <c r="BD104" s="192" t="str">
        <f t="shared" si="18"/>
        <v/>
      </c>
      <c r="BE104" s="192" t="str">
        <f t="shared" si="18"/>
        <v/>
      </c>
      <c r="BF104" s="192" t="str">
        <f t="shared" si="18"/>
        <v/>
      </c>
    </row>
    <row r="105" spans="2:58" x14ac:dyDescent="0.25">
      <c r="B105" s="7">
        <f t="shared" si="21"/>
        <v>75</v>
      </c>
      <c r="C105" s="4"/>
      <c r="D105" s="4"/>
      <c r="E105" s="4"/>
      <c r="F105" s="230" t="str">
        <f>IF('תנאי סף'!AO105&lt;&gt;1,"",'תנאי סף'!F105)</f>
        <v>לבונטין 7</v>
      </c>
      <c r="G105" s="491"/>
      <c r="H105" s="159" t="str">
        <f>IF($F105="","",IFERROR(VLOOKUP(G105,הלמס!A:G,4,0),""))</f>
        <v/>
      </c>
      <c r="I105" s="158" t="s">
        <v>94</v>
      </c>
      <c r="J105" s="177">
        <v>0</v>
      </c>
      <c r="K105" s="6"/>
      <c r="L105" s="5"/>
      <c r="M105" s="6"/>
      <c r="N105" s="5"/>
      <c r="O105" s="6"/>
      <c r="P105" s="6"/>
      <c r="Q105" s="158"/>
      <c r="R105" s="177"/>
      <c r="S105" s="8"/>
      <c r="T105" s="8"/>
      <c r="U105" s="8"/>
      <c r="V105" s="8"/>
      <c r="W105" s="159">
        <f t="shared" si="20"/>
        <v>0</v>
      </c>
      <c r="X105" s="8">
        <v>1</v>
      </c>
      <c r="Y105" s="8">
        <f t="shared" si="22"/>
        <v>0</v>
      </c>
      <c r="Z105" s="8">
        <v>1</v>
      </c>
      <c r="AA105" s="8">
        <f t="shared" si="23"/>
        <v>0</v>
      </c>
      <c r="AB105" s="123">
        <f t="shared" si="24"/>
        <v>0</v>
      </c>
      <c r="AC105" s="192">
        <f t="shared" si="25"/>
        <v>1</v>
      </c>
      <c r="AD105" s="192">
        <f t="shared" si="19"/>
        <v>0</v>
      </c>
      <c r="AE105" s="192">
        <f t="shared" si="19"/>
        <v>1</v>
      </c>
      <c r="AF105" s="192">
        <f t="shared" si="26"/>
        <v>1</v>
      </c>
      <c r="AG105" s="192">
        <f t="shared" si="13"/>
        <v>1</v>
      </c>
      <c r="BC105" s="192" t="str">
        <f t="shared" si="18"/>
        <v>תל אביב והסביבה (עד 30 קילומטר מתל-אביב)</v>
      </c>
      <c r="BD105" s="192" t="str">
        <f t="shared" si="18"/>
        <v>מעל 30 ועד 60 קילומטר מתל-אביב (נתניה חדרה, יבנה, גדרה)</v>
      </c>
      <c r="BE105" s="192" t="str">
        <f t="shared" si="18"/>
        <v>מעל 60 ועד 100 קילומטר מתל-אביב (ירושלים, חיפה)</v>
      </c>
      <c r="BF105" s="192" t="str">
        <f t="shared" si="18"/>
        <v>מעל 100 קילומטר מתל-אביב (עכו, באר שבע, טבריה)</v>
      </c>
    </row>
    <row r="106" spans="2:58" x14ac:dyDescent="0.25">
      <c r="B106" s="7">
        <f t="shared" si="21"/>
        <v>76</v>
      </c>
      <c r="C106" s="4"/>
      <c r="D106" s="4"/>
      <c r="E106" s="4"/>
      <c r="F106" s="230" t="str">
        <f>IF('תנאי סף'!AO106&lt;&gt;1,"",'תנאי סף'!F106)</f>
        <v>מולטי פיאנו- פליציה בלומנטל</v>
      </c>
      <c r="G106" s="491"/>
      <c r="H106" s="159" t="str">
        <f>IF($F106="","",IFERROR(VLOOKUP(G106,הלמס!A:G,4,0),""))</f>
        <v/>
      </c>
      <c r="I106" s="158" t="s">
        <v>94</v>
      </c>
      <c r="J106" s="177">
        <v>0</v>
      </c>
      <c r="K106" s="6"/>
      <c r="L106" s="5"/>
      <c r="M106" s="6"/>
      <c r="N106" s="5"/>
      <c r="O106" s="6"/>
      <c r="P106" s="6"/>
      <c r="Q106" s="158"/>
      <c r="R106" s="177"/>
      <c r="S106" s="8"/>
      <c r="T106" s="8"/>
      <c r="U106" s="8"/>
      <c r="V106" s="8"/>
      <c r="W106" s="159">
        <f t="shared" si="20"/>
        <v>0</v>
      </c>
      <c r="X106" s="8">
        <v>1</v>
      </c>
      <c r="Y106" s="8">
        <f t="shared" si="22"/>
        <v>0</v>
      </c>
      <c r="Z106" s="8">
        <v>1</v>
      </c>
      <c r="AA106" s="8">
        <f t="shared" si="23"/>
        <v>0</v>
      </c>
      <c r="AB106" s="123">
        <f t="shared" si="24"/>
        <v>0</v>
      </c>
      <c r="AC106" s="192">
        <f t="shared" si="25"/>
        <v>1</v>
      </c>
      <c r="AD106" s="192">
        <f t="shared" si="19"/>
        <v>0</v>
      </c>
      <c r="AE106" s="192">
        <f t="shared" si="19"/>
        <v>1</v>
      </c>
      <c r="AF106" s="192">
        <f t="shared" si="26"/>
        <v>1</v>
      </c>
      <c r="AG106" s="192">
        <f t="shared" si="13"/>
        <v>1</v>
      </c>
      <c r="BC106" s="192" t="str">
        <f t="shared" si="18"/>
        <v>תל אביב והסביבה (עד 30 קילומטר מתל-אביב)</v>
      </c>
      <c r="BD106" s="192" t="str">
        <f t="shared" si="18"/>
        <v>מעל 30 ועד 60 קילומטר מתל-אביב (נתניה חדרה, יבנה, גדרה)</v>
      </c>
      <c r="BE106" s="192" t="str">
        <f t="shared" si="18"/>
        <v>מעל 60 ועד 100 קילומטר מתל-אביב (ירושלים, חיפה)</v>
      </c>
      <c r="BF106" s="192" t="str">
        <f t="shared" si="18"/>
        <v>מעל 100 קילומטר מתל-אביב (עכו, באר שבע, טבריה)</v>
      </c>
    </row>
    <row r="107" spans="2:58" x14ac:dyDescent="0.25">
      <c r="B107" s="7">
        <f t="shared" si="21"/>
        <v>77</v>
      </c>
      <c r="C107" s="4"/>
      <c r="D107" s="4"/>
      <c r="E107" s="4"/>
      <c r="F107" s="230" t="str">
        <f>IF('תנאי סף'!AO107&lt;&gt;1,"",'תנאי סף'!F107)</f>
        <v>ארמון בזמן - העמותה לתרבות רב תחומית</v>
      </c>
      <c r="G107" s="491"/>
      <c r="H107" s="159" t="str">
        <f>IF($F107="","",IFERROR(VLOOKUP(G107,הלמס!A:G,4,0),""))</f>
        <v/>
      </c>
      <c r="I107" s="158" t="s">
        <v>94</v>
      </c>
      <c r="J107" s="177">
        <v>0</v>
      </c>
      <c r="K107" s="6"/>
      <c r="L107" s="5"/>
      <c r="M107" s="6"/>
      <c r="N107" s="5"/>
      <c r="O107" s="6"/>
      <c r="P107" s="6"/>
      <c r="Q107" s="158"/>
      <c r="R107" s="177"/>
      <c r="S107" s="8"/>
      <c r="T107" s="8"/>
      <c r="U107" s="8"/>
      <c r="V107" s="8"/>
      <c r="W107" s="159">
        <f t="shared" si="20"/>
        <v>0</v>
      </c>
      <c r="X107" s="8">
        <v>1</v>
      </c>
      <c r="Y107" s="8">
        <f t="shared" si="22"/>
        <v>0</v>
      </c>
      <c r="Z107" s="8">
        <v>1</v>
      </c>
      <c r="AA107" s="8">
        <f t="shared" si="23"/>
        <v>0</v>
      </c>
      <c r="AB107" s="123">
        <f t="shared" si="24"/>
        <v>0</v>
      </c>
      <c r="AC107" s="192">
        <f t="shared" si="25"/>
        <v>1</v>
      </c>
      <c r="AD107" s="192">
        <f t="shared" si="19"/>
        <v>0</v>
      </c>
      <c r="AE107" s="192">
        <f t="shared" si="19"/>
        <v>1</v>
      </c>
      <c r="AF107" s="192">
        <f t="shared" si="26"/>
        <v>1</v>
      </c>
      <c r="AG107" s="192">
        <f t="shared" si="13"/>
        <v>1</v>
      </c>
      <c r="BC107" s="192" t="str">
        <f t="shared" si="18"/>
        <v>תל אביב והסביבה (עד 30 קילומטר מתל-אביב)</v>
      </c>
      <c r="BD107" s="192" t="str">
        <f t="shared" si="18"/>
        <v>מעל 30 ועד 60 קילומטר מתל-אביב (נתניה חדרה, יבנה, גדרה)</v>
      </c>
      <c r="BE107" s="192" t="str">
        <f t="shared" si="18"/>
        <v>מעל 60 ועד 100 קילומטר מתל-אביב (ירושלים, חיפה)</v>
      </c>
      <c r="BF107" s="192" t="str">
        <f t="shared" si="18"/>
        <v>מעל 100 קילומטר מתל-אביב (עכו, באר שבע, טבריה)</v>
      </c>
    </row>
    <row r="108" spans="2:58" x14ac:dyDescent="0.25">
      <c r="B108" s="7" t="str">
        <f t="shared" si="21"/>
        <v/>
      </c>
      <c r="C108" s="4"/>
      <c r="D108" s="4"/>
      <c r="E108" s="4"/>
      <c r="F108" s="230" t="str">
        <f>IF('תנאי סף'!AO108&lt;&gt;1,"",'תנאי סף'!F108)</f>
        <v/>
      </c>
      <c r="G108" s="491"/>
      <c r="H108" s="159" t="str">
        <f>IF($F108="","",IFERROR(VLOOKUP(G108,הלמס!A:G,4,0),""))</f>
        <v/>
      </c>
      <c r="I108" s="158"/>
      <c r="J108" s="177"/>
      <c r="K108" s="6"/>
      <c r="L108" s="5"/>
      <c r="M108" s="6"/>
      <c r="N108" s="5"/>
      <c r="O108" s="6"/>
      <c r="P108" s="6"/>
      <c r="Q108" s="158"/>
      <c r="R108" s="177"/>
      <c r="S108" s="8"/>
      <c r="T108" s="8"/>
      <c r="U108" s="8"/>
      <c r="V108" s="8"/>
      <c r="W108" s="159" t="str">
        <f t="shared" si="20"/>
        <v/>
      </c>
      <c r="X108" s="8">
        <v>1</v>
      </c>
      <c r="Y108" s="8" t="str">
        <f t="shared" si="22"/>
        <v/>
      </c>
      <c r="Z108" s="8">
        <v>1</v>
      </c>
      <c r="AA108" s="8" t="str">
        <f t="shared" si="23"/>
        <v/>
      </c>
      <c r="AB108" s="123" t="str">
        <f t="shared" si="24"/>
        <v/>
      </c>
      <c r="AC108" s="192">
        <f t="shared" si="25"/>
        <v>0</v>
      </c>
      <c r="AD108" s="192" t="str">
        <f t="shared" si="19"/>
        <v/>
      </c>
      <c r="AE108" s="192" t="str">
        <f t="shared" si="19"/>
        <v/>
      </c>
      <c r="AF108" s="192">
        <f t="shared" si="26"/>
        <v>0</v>
      </c>
      <c r="AG108" s="192">
        <f t="shared" si="13"/>
        <v>0</v>
      </c>
      <c r="BC108" s="192" t="str">
        <f t="shared" si="18"/>
        <v/>
      </c>
      <c r="BD108" s="192" t="str">
        <f t="shared" si="18"/>
        <v/>
      </c>
      <c r="BE108" s="192" t="str">
        <f t="shared" si="18"/>
        <v/>
      </c>
      <c r="BF108" s="192" t="str">
        <f t="shared" si="18"/>
        <v/>
      </c>
    </row>
    <row r="109" spans="2:58" x14ac:dyDescent="0.25">
      <c r="B109" s="7" t="str">
        <f t="shared" si="21"/>
        <v/>
      </c>
      <c r="C109" s="4"/>
      <c r="D109" s="4"/>
      <c r="E109" s="4"/>
      <c r="F109" s="230" t="str">
        <f>IF('תנאי סף'!AO109&lt;&gt;1,"",'תנאי סף'!F109)</f>
        <v/>
      </c>
      <c r="G109" s="491"/>
      <c r="H109" s="159" t="str">
        <f>IF($F109="","",IFERROR(VLOOKUP(G109,הלמס!A:G,4,0),""))</f>
        <v/>
      </c>
      <c r="I109" s="158"/>
      <c r="J109" s="177"/>
      <c r="K109" s="6"/>
      <c r="L109" s="5"/>
      <c r="M109" s="6"/>
      <c r="N109" s="5"/>
      <c r="O109" s="6"/>
      <c r="P109" s="6"/>
      <c r="Q109" s="158"/>
      <c r="R109" s="177"/>
      <c r="S109" s="8"/>
      <c r="T109" s="8"/>
      <c r="U109" s="8"/>
      <c r="V109" s="8"/>
      <c r="W109" s="159" t="str">
        <f t="shared" si="20"/>
        <v/>
      </c>
      <c r="X109" s="8">
        <v>1</v>
      </c>
      <c r="Y109" s="8" t="str">
        <f t="shared" si="22"/>
        <v/>
      </c>
      <c r="Z109" s="8">
        <v>1</v>
      </c>
      <c r="AA109" s="8" t="str">
        <f t="shared" si="23"/>
        <v/>
      </c>
      <c r="AB109" s="123" t="str">
        <f t="shared" si="24"/>
        <v/>
      </c>
      <c r="AC109" s="192">
        <f t="shared" si="25"/>
        <v>0</v>
      </c>
      <c r="AD109" s="192" t="str">
        <f t="shared" si="19"/>
        <v/>
      </c>
      <c r="AE109" s="192" t="str">
        <f t="shared" si="19"/>
        <v/>
      </c>
      <c r="AF109" s="192">
        <f t="shared" si="26"/>
        <v>0</v>
      </c>
      <c r="AG109" s="192">
        <f t="shared" si="13"/>
        <v>0</v>
      </c>
      <c r="BC109" s="192" t="str">
        <f t="shared" si="18"/>
        <v/>
      </c>
      <c r="BD109" s="192" t="str">
        <f t="shared" si="18"/>
        <v/>
      </c>
      <c r="BE109" s="192" t="str">
        <f t="shared" si="18"/>
        <v/>
      </c>
      <c r="BF109" s="192" t="str">
        <f t="shared" si="18"/>
        <v/>
      </c>
    </row>
    <row r="110" spans="2:58" x14ac:dyDescent="0.25">
      <c r="B110" s="7" t="str">
        <f t="shared" si="21"/>
        <v/>
      </c>
      <c r="C110" s="4"/>
      <c r="D110" s="4"/>
      <c r="E110" s="4"/>
      <c r="F110" s="230" t="str">
        <f>IF('תנאי סף'!AO110&lt;&gt;1,"",'תנאי סף'!F110)</f>
        <v/>
      </c>
      <c r="G110" s="491"/>
      <c r="H110" s="159" t="str">
        <f>IF($F110="","",IFERROR(VLOOKUP(G110,הלמס!A:G,4,0),""))</f>
        <v/>
      </c>
      <c r="I110" s="158"/>
      <c r="J110" s="177"/>
      <c r="K110" s="6"/>
      <c r="L110" s="5"/>
      <c r="M110" s="6"/>
      <c r="N110" s="5"/>
      <c r="O110" s="6"/>
      <c r="P110" s="6"/>
      <c r="Q110" s="158"/>
      <c r="R110" s="177"/>
      <c r="S110" s="8"/>
      <c r="T110" s="8"/>
      <c r="U110" s="8"/>
      <c r="V110" s="8"/>
      <c r="W110" s="159" t="str">
        <f t="shared" si="20"/>
        <v/>
      </c>
      <c r="X110" s="8">
        <v>1</v>
      </c>
      <c r="Y110" s="8" t="str">
        <f t="shared" si="22"/>
        <v/>
      </c>
      <c r="Z110" s="8">
        <v>1</v>
      </c>
      <c r="AA110" s="8" t="str">
        <f t="shared" si="23"/>
        <v/>
      </c>
      <c r="AB110" s="123" t="str">
        <f t="shared" si="24"/>
        <v/>
      </c>
      <c r="AC110" s="192">
        <f t="shared" si="25"/>
        <v>0</v>
      </c>
      <c r="AD110" s="192" t="str">
        <f t="shared" si="19"/>
        <v/>
      </c>
      <c r="AE110" s="192" t="str">
        <f t="shared" si="19"/>
        <v/>
      </c>
      <c r="AF110" s="192">
        <f t="shared" si="26"/>
        <v>0</v>
      </c>
      <c r="AG110" s="192">
        <f t="shared" ref="AG110:AG130" si="27">IF(J$30="",1,IF(J110="",0,IFERROR(CHOOSE(AG$28,IF(ISNA(MATCH(J110,$AD$30:$AE$30,0)),0,1),IF(ISNUMBER(J110),1,0),IF(J110=TRUNC(J110),1,0),IF(AND(J110*1=J110,J110&gt;=0),1,0),IF(AND(J110=TRUNC(J110),J110&gt;=0),1,0),IF(AND(J110*1=J110,J110&gt;0),1,0),IF(AND(J110=TRUNC(J110),J110&gt;0),1,0),1,IF(ISNA(HLOOKUP(J110,$AG$4:$AP$4,1,0)),0,1)),0)))</f>
        <v>0</v>
      </c>
      <c r="BC110" s="192" t="str">
        <f t="shared" si="18"/>
        <v/>
      </c>
      <c r="BD110" s="192" t="str">
        <f t="shared" si="18"/>
        <v/>
      </c>
      <c r="BE110" s="192" t="str">
        <f t="shared" si="18"/>
        <v/>
      </c>
      <c r="BF110" s="192" t="str">
        <f t="shared" si="18"/>
        <v/>
      </c>
    </row>
    <row r="111" spans="2:58" x14ac:dyDescent="0.25">
      <c r="B111" s="7" t="str">
        <f t="shared" si="21"/>
        <v/>
      </c>
      <c r="C111" s="4"/>
      <c r="D111" s="4"/>
      <c r="E111" s="4"/>
      <c r="F111" s="230" t="str">
        <f>IF('תנאי סף'!AO111&lt;&gt;1,"",'תנאי סף'!F111)</f>
        <v/>
      </c>
      <c r="G111" s="491"/>
      <c r="H111" s="159" t="str">
        <f>IF($F111="","",IFERROR(VLOOKUP(G111,הלמס!A:G,4,0),""))</f>
        <v/>
      </c>
      <c r="I111" s="158"/>
      <c r="J111" s="177"/>
      <c r="K111" s="6"/>
      <c r="L111" s="5"/>
      <c r="M111" s="6"/>
      <c r="N111" s="5"/>
      <c r="O111" s="6"/>
      <c r="P111" s="6"/>
      <c r="Q111" s="158"/>
      <c r="R111" s="177"/>
      <c r="S111" s="8"/>
      <c r="T111" s="8"/>
      <c r="U111" s="8"/>
      <c r="V111" s="8"/>
      <c r="W111" s="159" t="str">
        <f t="shared" si="20"/>
        <v/>
      </c>
      <c r="X111" s="8">
        <v>1</v>
      </c>
      <c r="Y111" s="8" t="str">
        <f t="shared" si="22"/>
        <v/>
      </c>
      <c r="Z111" s="8">
        <v>1</v>
      </c>
      <c r="AA111" s="8" t="str">
        <f t="shared" si="23"/>
        <v/>
      </c>
      <c r="AB111" s="123" t="str">
        <f t="shared" si="24"/>
        <v/>
      </c>
      <c r="AC111" s="192">
        <f t="shared" si="25"/>
        <v>0</v>
      </c>
      <c r="AD111" s="192" t="str">
        <f t="shared" si="19"/>
        <v/>
      </c>
      <c r="AE111" s="192" t="str">
        <f t="shared" si="19"/>
        <v/>
      </c>
      <c r="AF111" s="192">
        <f t="shared" si="26"/>
        <v>0</v>
      </c>
      <c r="AG111" s="192">
        <f t="shared" si="27"/>
        <v>0</v>
      </c>
      <c r="BC111" s="192" t="str">
        <f t="shared" ref="BC111:BF130" si="28">IF($F111="","",BC$30)</f>
        <v/>
      </c>
      <c r="BD111" s="192" t="str">
        <f t="shared" si="28"/>
        <v/>
      </c>
      <c r="BE111" s="192" t="str">
        <f t="shared" si="28"/>
        <v/>
      </c>
      <c r="BF111" s="192" t="str">
        <f t="shared" si="28"/>
        <v/>
      </c>
    </row>
    <row r="112" spans="2:58" x14ac:dyDescent="0.25">
      <c r="B112" s="7" t="str">
        <f t="shared" si="21"/>
        <v/>
      </c>
      <c r="C112" s="4"/>
      <c r="D112" s="4"/>
      <c r="E112" s="4"/>
      <c r="F112" s="230" t="str">
        <f>IF('תנאי סף'!AO112&lt;&gt;1,"",'תנאי סף'!F112)</f>
        <v/>
      </c>
      <c r="G112" s="491"/>
      <c r="H112" s="159" t="str">
        <f>IF($F112="","",IFERROR(VLOOKUP(G112,הלמס!A:G,4,0),""))</f>
        <v/>
      </c>
      <c r="I112" s="158"/>
      <c r="J112" s="177"/>
      <c r="K112" s="6"/>
      <c r="L112" s="5"/>
      <c r="M112" s="6"/>
      <c r="N112" s="5"/>
      <c r="O112" s="6"/>
      <c r="P112" s="6"/>
      <c r="Q112" s="158"/>
      <c r="R112" s="177"/>
      <c r="S112" s="8"/>
      <c r="T112" s="8"/>
      <c r="U112" s="8"/>
      <c r="V112" s="8"/>
      <c r="W112" s="159" t="str">
        <f t="shared" si="20"/>
        <v/>
      </c>
      <c r="X112" s="8">
        <v>1</v>
      </c>
      <c r="Y112" s="8" t="str">
        <f t="shared" si="22"/>
        <v/>
      </c>
      <c r="Z112" s="8">
        <v>1</v>
      </c>
      <c r="AA112" s="8" t="str">
        <f t="shared" si="23"/>
        <v/>
      </c>
      <c r="AB112" s="123" t="str">
        <f t="shared" si="24"/>
        <v/>
      </c>
      <c r="AC112" s="192">
        <f t="shared" si="25"/>
        <v>0</v>
      </c>
      <c r="AD112" s="192" t="str">
        <f t="shared" si="19"/>
        <v/>
      </c>
      <c r="AE112" s="192" t="str">
        <f t="shared" si="19"/>
        <v/>
      </c>
      <c r="AF112" s="192">
        <f t="shared" si="26"/>
        <v>0</v>
      </c>
      <c r="AG112" s="192">
        <f t="shared" si="27"/>
        <v>0</v>
      </c>
      <c r="BC112" s="192" t="str">
        <f t="shared" si="28"/>
        <v/>
      </c>
      <c r="BD112" s="192" t="str">
        <f t="shared" si="28"/>
        <v/>
      </c>
      <c r="BE112" s="192" t="str">
        <f t="shared" si="28"/>
        <v/>
      </c>
      <c r="BF112" s="192" t="str">
        <f t="shared" si="28"/>
        <v/>
      </c>
    </row>
    <row r="113" spans="2:58" x14ac:dyDescent="0.25">
      <c r="B113" s="7" t="str">
        <f t="shared" si="21"/>
        <v/>
      </c>
      <c r="C113" s="4"/>
      <c r="D113" s="4"/>
      <c r="E113" s="4"/>
      <c r="F113" s="230" t="str">
        <f>IF('תנאי סף'!AO113&lt;&gt;1,"",'תנאי סף'!F113)</f>
        <v/>
      </c>
      <c r="G113" s="491"/>
      <c r="H113" s="159" t="str">
        <f>IF($F113="","",IFERROR(VLOOKUP(G113,הלמס!A:G,4,0),""))</f>
        <v/>
      </c>
      <c r="I113" s="158"/>
      <c r="J113" s="177"/>
      <c r="K113" s="6"/>
      <c r="L113" s="5"/>
      <c r="M113" s="6"/>
      <c r="N113" s="5"/>
      <c r="O113" s="6"/>
      <c r="P113" s="6"/>
      <c r="Q113" s="158"/>
      <c r="R113" s="177"/>
      <c r="S113" s="8"/>
      <c r="T113" s="8"/>
      <c r="U113" s="8"/>
      <c r="V113" s="8"/>
      <c r="W113" s="159" t="str">
        <f t="shared" si="20"/>
        <v/>
      </c>
      <c r="X113" s="8">
        <v>1</v>
      </c>
      <c r="Y113" s="8" t="str">
        <f t="shared" si="22"/>
        <v/>
      </c>
      <c r="Z113" s="8">
        <v>1</v>
      </c>
      <c r="AA113" s="8" t="str">
        <f t="shared" si="23"/>
        <v/>
      </c>
      <c r="AB113" s="123" t="str">
        <f t="shared" si="24"/>
        <v/>
      </c>
      <c r="AC113" s="192">
        <f t="shared" si="25"/>
        <v>0</v>
      </c>
      <c r="AD113" s="192" t="str">
        <f t="shared" si="19"/>
        <v/>
      </c>
      <c r="AE113" s="192" t="str">
        <f t="shared" si="19"/>
        <v/>
      </c>
      <c r="AF113" s="192">
        <f t="shared" si="26"/>
        <v>0</v>
      </c>
      <c r="AG113" s="192">
        <f t="shared" si="27"/>
        <v>0</v>
      </c>
      <c r="BC113" s="192" t="str">
        <f t="shared" si="28"/>
        <v/>
      </c>
      <c r="BD113" s="192" t="str">
        <f t="shared" si="28"/>
        <v/>
      </c>
      <c r="BE113" s="192" t="str">
        <f t="shared" si="28"/>
        <v/>
      </c>
      <c r="BF113" s="192" t="str">
        <f t="shared" si="28"/>
        <v/>
      </c>
    </row>
    <row r="114" spans="2:58" x14ac:dyDescent="0.25">
      <c r="B114" s="7" t="str">
        <f t="shared" si="21"/>
        <v/>
      </c>
      <c r="C114" s="4"/>
      <c r="D114" s="4"/>
      <c r="E114" s="4"/>
      <c r="F114" s="230" t="str">
        <f>IF('תנאי סף'!AO114&lt;&gt;1,"",'תנאי סף'!F114)</f>
        <v/>
      </c>
      <c r="G114" s="491"/>
      <c r="H114" s="159" t="str">
        <f>IF($F114="","",IFERROR(VLOOKUP(G114,הלמס!A:G,4,0),""))</f>
        <v/>
      </c>
      <c r="I114" s="158"/>
      <c r="J114" s="177"/>
      <c r="K114" s="6"/>
      <c r="L114" s="5"/>
      <c r="M114" s="6"/>
      <c r="N114" s="5"/>
      <c r="O114" s="6"/>
      <c r="P114" s="6"/>
      <c r="Q114" s="158"/>
      <c r="R114" s="177"/>
      <c r="S114" s="8"/>
      <c r="T114" s="8"/>
      <c r="U114" s="8"/>
      <c r="V114" s="8"/>
      <c r="W114" s="159" t="str">
        <f t="shared" si="20"/>
        <v/>
      </c>
      <c r="X114" s="8">
        <v>1</v>
      </c>
      <c r="Y114" s="8" t="str">
        <f t="shared" si="22"/>
        <v/>
      </c>
      <c r="Z114" s="8">
        <v>1</v>
      </c>
      <c r="AA114" s="8" t="str">
        <f t="shared" si="23"/>
        <v/>
      </c>
      <c r="AB114" s="123" t="str">
        <f t="shared" si="24"/>
        <v/>
      </c>
      <c r="AC114" s="192">
        <f t="shared" si="25"/>
        <v>0</v>
      </c>
      <c r="AD114" s="192" t="str">
        <f t="shared" si="19"/>
        <v/>
      </c>
      <c r="AE114" s="192" t="str">
        <f t="shared" si="19"/>
        <v/>
      </c>
      <c r="AF114" s="192">
        <f t="shared" si="26"/>
        <v>0</v>
      </c>
      <c r="AG114" s="192">
        <f t="shared" si="27"/>
        <v>0</v>
      </c>
      <c r="BC114" s="192" t="str">
        <f t="shared" si="28"/>
        <v/>
      </c>
      <c r="BD114" s="192" t="str">
        <f t="shared" si="28"/>
        <v/>
      </c>
      <c r="BE114" s="192" t="str">
        <f t="shared" si="28"/>
        <v/>
      </c>
      <c r="BF114" s="192" t="str">
        <f t="shared" si="28"/>
        <v/>
      </c>
    </row>
    <row r="115" spans="2:58" x14ac:dyDescent="0.25">
      <c r="B115" s="7" t="str">
        <f t="shared" si="21"/>
        <v/>
      </c>
      <c r="C115" s="4"/>
      <c r="D115" s="4"/>
      <c r="E115" s="4"/>
      <c r="F115" s="230" t="str">
        <f>IF('תנאי סף'!AO115&lt;&gt;1,"",'תנאי סף'!F115)</f>
        <v/>
      </c>
      <c r="G115" s="491"/>
      <c r="H115" s="159" t="str">
        <f>IF($F115="","",IFERROR(VLOOKUP(G115,הלמס!A:G,4,0),""))</f>
        <v/>
      </c>
      <c r="I115" s="158"/>
      <c r="J115" s="177"/>
      <c r="K115" s="6"/>
      <c r="L115" s="5"/>
      <c r="M115" s="6"/>
      <c r="N115" s="5"/>
      <c r="O115" s="6"/>
      <c r="P115" s="6"/>
      <c r="Q115" s="158"/>
      <c r="R115" s="177"/>
      <c r="S115" s="8"/>
      <c r="T115" s="8"/>
      <c r="U115" s="8"/>
      <c r="V115" s="8"/>
      <c r="W115" s="159" t="str">
        <f t="shared" si="20"/>
        <v/>
      </c>
      <c r="X115" s="8">
        <v>1</v>
      </c>
      <c r="Y115" s="8" t="str">
        <f t="shared" si="22"/>
        <v/>
      </c>
      <c r="Z115" s="8">
        <v>1</v>
      </c>
      <c r="AA115" s="8" t="str">
        <f t="shared" si="23"/>
        <v/>
      </c>
      <c r="AB115" s="123" t="str">
        <f t="shared" si="24"/>
        <v/>
      </c>
      <c r="AC115" s="192">
        <f t="shared" si="25"/>
        <v>0</v>
      </c>
      <c r="AD115" s="192" t="str">
        <f t="shared" si="19"/>
        <v/>
      </c>
      <c r="AE115" s="192" t="str">
        <f t="shared" si="19"/>
        <v/>
      </c>
      <c r="AF115" s="192">
        <f t="shared" si="26"/>
        <v>0</v>
      </c>
      <c r="AG115" s="192">
        <f t="shared" si="27"/>
        <v>0</v>
      </c>
      <c r="BC115" s="192" t="str">
        <f t="shared" si="28"/>
        <v/>
      </c>
      <c r="BD115" s="192" t="str">
        <f t="shared" si="28"/>
        <v/>
      </c>
      <c r="BE115" s="192" t="str">
        <f t="shared" si="28"/>
        <v/>
      </c>
      <c r="BF115" s="192" t="str">
        <f t="shared" si="28"/>
        <v/>
      </c>
    </row>
    <row r="116" spans="2:58" x14ac:dyDescent="0.25">
      <c r="B116" s="7" t="str">
        <f t="shared" si="21"/>
        <v/>
      </c>
      <c r="C116" s="4"/>
      <c r="D116" s="4"/>
      <c r="E116" s="4"/>
      <c r="F116" s="230" t="str">
        <f>IF('תנאי סף'!AO116&lt;&gt;1,"",'תנאי סף'!F116)</f>
        <v/>
      </c>
      <c r="G116" s="491"/>
      <c r="H116" s="159" t="str">
        <f>IF($F116="","",IFERROR(VLOOKUP(G116,הלמס!A:G,4,0),""))</f>
        <v/>
      </c>
      <c r="I116" s="158"/>
      <c r="J116" s="177"/>
      <c r="K116" s="6"/>
      <c r="L116" s="5"/>
      <c r="M116" s="6"/>
      <c r="N116" s="5"/>
      <c r="O116" s="6"/>
      <c r="P116" s="6"/>
      <c r="Q116" s="158"/>
      <c r="R116" s="177"/>
      <c r="S116" s="8"/>
      <c r="T116" s="8"/>
      <c r="U116" s="8"/>
      <c r="V116" s="8"/>
      <c r="W116" s="159" t="str">
        <f t="shared" si="20"/>
        <v/>
      </c>
      <c r="X116" s="8">
        <v>1</v>
      </c>
      <c r="Y116" s="8" t="str">
        <f t="shared" si="22"/>
        <v/>
      </c>
      <c r="Z116" s="8">
        <v>1</v>
      </c>
      <c r="AA116" s="8" t="str">
        <f t="shared" si="23"/>
        <v/>
      </c>
      <c r="AB116" s="123" t="str">
        <f t="shared" si="24"/>
        <v/>
      </c>
      <c r="AC116" s="192">
        <f t="shared" si="25"/>
        <v>0</v>
      </c>
      <c r="AD116" s="192" t="str">
        <f t="shared" si="19"/>
        <v/>
      </c>
      <c r="AE116" s="192" t="str">
        <f t="shared" si="19"/>
        <v/>
      </c>
      <c r="AF116" s="192">
        <f t="shared" si="26"/>
        <v>0</v>
      </c>
      <c r="AG116" s="192">
        <f t="shared" si="27"/>
        <v>0</v>
      </c>
      <c r="BC116" s="192" t="str">
        <f t="shared" si="28"/>
        <v/>
      </c>
      <c r="BD116" s="192" t="str">
        <f t="shared" si="28"/>
        <v/>
      </c>
      <c r="BE116" s="192" t="str">
        <f t="shared" si="28"/>
        <v/>
      </c>
      <c r="BF116" s="192" t="str">
        <f t="shared" si="28"/>
        <v/>
      </c>
    </row>
    <row r="117" spans="2:58" x14ac:dyDescent="0.25">
      <c r="B117" s="7" t="str">
        <f t="shared" si="21"/>
        <v/>
      </c>
      <c r="C117" s="4"/>
      <c r="D117" s="4"/>
      <c r="E117" s="4"/>
      <c r="F117" s="230" t="str">
        <f>IF('תנאי סף'!AO117&lt;&gt;1,"",'תנאי סף'!F117)</f>
        <v/>
      </c>
      <c r="G117" s="491"/>
      <c r="H117" s="159" t="str">
        <f>IF($F117="","",IFERROR(VLOOKUP(G117,הלמס!A:G,4,0),""))</f>
        <v/>
      </c>
      <c r="I117" s="158"/>
      <c r="J117" s="177"/>
      <c r="K117" s="6"/>
      <c r="L117" s="5"/>
      <c r="M117" s="6"/>
      <c r="N117" s="5"/>
      <c r="O117" s="6"/>
      <c r="P117" s="6"/>
      <c r="Q117" s="158"/>
      <c r="R117" s="177"/>
      <c r="S117" s="8"/>
      <c r="T117" s="8"/>
      <c r="U117" s="8"/>
      <c r="V117" s="8"/>
      <c r="W117" s="159" t="str">
        <f t="shared" si="20"/>
        <v/>
      </c>
      <c r="X117" s="8">
        <v>1</v>
      </c>
      <c r="Y117" s="8" t="str">
        <f t="shared" si="22"/>
        <v/>
      </c>
      <c r="Z117" s="8">
        <v>1</v>
      </c>
      <c r="AA117" s="8" t="str">
        <f t="shared" si="23"/>
        <v/>
      </c>
      <c r="AB117" s="123" t="str">
        <f t="shared" si="24"/>
        <v/>
      </c>
      <c r="AC117" s="192">
        <f t="shared" si="25"/>
        <v>0</v>
      </c>
      <c r="AD117" s="192" t="str">
        <f t="shared" si="19"/>
        <v/>
      </c>
      <c r="AE117" s="192" t="str">
        <f t="shared" si="19"/>
        <v/>
      </c>
      <c r="AF117" s="192">
        <f t="shared" si="26"/>
        <v>0</v>
      </c>
      <c r="AG117" s="192">
        <f t="shared" si="27"/>
        <v>0</v>
      </c>
      <c r="BC117" s="192" t="str">
        <f t="shared" si="28"/>
        <v/>
      </c>
      <c r="BD117" s="192" t="str">
        <f t="shared" si="28"/>
        <v/>
      </c>
      <c r="BE117" s="192" t="str">
        <f t="shared" si="28"/>
        <v/>
      </c>
      <c r="BF117" s="192" t="str">
        <f t="shared" si="28"/>
        <v/>
      </c>
    </row>
    <row r="118" spans="2:58" x14ac:dyDescent="0.25">
      <c r="B118" s="7" t="str">
        <f t="shared" si="21"/>
        <v/>
      </c>
      <c r="C118" s="4"/>
      <c r="D118" s="4"/>
      <c r="E118" s="4"/>
      <c r="F118" s="230" t="str">
        <f>IF('תנאי סף'!AO118&lt;&gt;1,"",'תנאי סף'!F118)</f>
        <v/>
      </c>
      <c r="G118" s="491"/>
      <c r="H118" s="159" t="str">
        <f>IF($F118="","",IFERROR(VLOOKUP(G118,הלמס!A:G,4,0),""))</f>
        <v/>
      </c>
      <c r="I118" s="158"/>
      <c r="J118" s="177"/>
      <c r="K118" s="6"/>
      <c r="L118" s="5"/>
      <c r="M118" s="6"/>
      <c r="N118" s="5"/>
      <c r="O118" s="6"/>
      <c r="P118" s="6"/>
      <c r="Q118" s="158"/>
      <c r="R118" s="177"/>
      <c r="S118" s="8"/>
      <c r="T118" s="8"/>
      <c r="U118" s="8"/>
      <c r="V118" s="8"/>
      <c r="W118" s="159" t="str">
        <f t="shared" si="20"/>
        <v/>
      </c>
      <c r="X118" s="8">
        <v>1</v>
      </c>
      <c r="Y118" s="8" t="str">
        <f t="shared" si="22"/>
        <v/>
      </c>
      <c r="Z118" s="8">
        <v>1</v>
      </c>
      <c r="AA118" s="8" t="str">
        <f t="shared" si="23"/>
        <v/>
      </c>
      <c r="AB118" s="123" t="str">
        <f t="shared" si="24"/>
        <v/>
      </c>
      <c r="AC118" s="192">
        <f t="shared" si="25"/>
        <v>0</v>
      </c>
      <c r="AD118" s="192" t="str">
        <f t="shared" si="19"/>
        <v/>
      </c>
      <c r="AE118" s="192" t="str">
        <f t="shared" si="19"/>
        <v/>
      </c>
      <c r="AF118" s="192">
        <f t="shared" si="26"/>
        <v>0</v>
      </c>
      <c r="AG118" s="192">
        <f t="shared" si="27"/>
        <v>0</v>
      </c>
      <c r="BC118" s="192" t="str">
        <f t="shared" si="28"/>
        <v/>
      </c>
      <c r="BD118" s="192" t="str">
        <f t="shared" si="28"/>
        <v/>
      </c>
      <c r="BE118" s="192" t="str">
        <f t="shared" si="28"/>
        <v/>
      </c>
      <c r="BF118" s="192" t="str">
        <f t="shared" si="28"/>
        <v/>
      </c>
    </row>
    <row r="119" spans="2:58" x14ac:dyDescent="0.25">
      <c r="B119" s="7" t="str">
        <f t="shared" si="21"/>
        <v/>
      </c>
      <c r="C119" s="4"/>
      <c r="D119" s="4"/>
      <c r="E119" s="4"/>
      <c r="F119" s="230" t="str">
        <f>IF('תנאי סף'!AO119&lt;&gt;1,"",'תנאי סף'!F119)</f>
        <v/>
      </c>
      <c r="G119" s="491"/>
      <c r="H119" s="159" t="str">
        <f>IF($F119="","",IFERROR(VLOOKUP(G119,הלמס!A:G,4,0),""))</f>
        <v/>
      </c>
      <c r="I119" s="158"/>
      <c r="J119" s="177"/>
      <c r="K119" s="6"/>
      <c r="L119" s="5"/>
      <c r="M119" s="6"/>
      <c r="N119" s="5"/>
      <c r="O119" s="6"/>
      <c r="P119" s="6"/>
      <c r="Q119" s="158"/>
      <c r="R119" s="177"/>
      <c r="S119" s="8"/>
      <c r="T119" s="8"/>
      <c r="U119" s="8"/>
      <c r="V119" s="8"/>
      <c r="W119" s="159" t="str">
        <f t="shared" si="20"/>
        <v/>
      </c>
      <c r="X119" s="8">
        <v>1</v>
      </c>
      <c r="Y119" s="8" t="str">
        <f t="shared" si="22"/>
        <v/>
      </c>
      <c r="Z119" s="8">
        <v>1</v>
      </c>
      <c r="AA119" s="8" t="str">
        <f t="shared" si="23"/>
        <v/>
      </c>
      <c r="AB119" s="123" t="str">
        <f t="shared" si="24"/>
        <v/>
      </c>
      <c r="AC119" s="192">
        <f t="shared" si="25"/>
        <v>0</v>
      </c>
      <c r="AD119" s="192" t="str">
        <f t="shared" si="19"/>
        <v/>
      </c>
      <c r="AE119" s="192" t="str">
        <f t="shared" si="19"/>
        <v/>
      </c>
      <c r="AF119" s="192">
        <f t="shared" si="26"/>
        <v>0</v>
      </c>
      <c r="AG119" s="192">
        <f t="shared" si="27"/>
        <v>0</v>
      </c>
      <c r="BC119" s="192" t="str">
        <f t="shared" si="28"/>
        <v/>
      </c>
      <c r="BD119" s="192" t="str">
        <f t="shared" si="28"/>
        <v/>
      </c>
      <c r="BE119" s="192" t="str">
        <f t="shared" si="28"/>
        <v/>
      </c>
      <c r="BF119" s="192" t="str">
        <f t="shared" si="28"/>
        <v/>
      </c>
    </row>
    <row r="120" spans="2:58" x14ac:dyDescent="0.25">
      <c r="B120" s="7" t="str">
        <f t="shared" si="21"/>
        <v/>
      </c>
      <c r="C120" s="4"/>
      <c r="D120" s="4"/>
      <c r="E120" s="4"/>
      <c r="F120" s="230" t="str">
        <f>IF('תנאי סף'!AO120&lt;&gt;1,"",'תנאי סף'!F120)</f>
        <v/>
      </c>
      <c r="G120" s="491"/>
      <c r="H120" s="159" t="str">
        <f>IF($F120="","",IFERROR(VLOOKUP(G120,הלמס!A:G,4,0),""))</f>
        <v/>
      </c>
      <c r="I120" s="158"/>
      <c r="J120" s="177"/>
      <c r="K120" s="6"/>
      <c r="L120" s="5"/>
      <c r="M120" s="6"/>
      <c r="N120" s="5"/>
      <c r="O120" s="6"/>
      <c r="P120" s="6"/>
      <c r="Q120" s="158"/>
      <c r="R120" s="177"/>
      <c r="S120" s="8"/>
      <c r="T120" s="8"/>
      <c r="U120" s="8"/>
      <c r="V120" s="8"/>
      <c r="W120" s="159" t="str">
        <f t="shared" si="20"/>
        <v/>
      </c>
      <c r="X120" s="8">
        <v>1</v>
      </c>
      <c r="Y120" s="8" t="str">
        <f t="shared" si="22"/>
        <v/>
      </c>
      <c r="Z120" s="8">
        <v>1</v>
      </c>
      <c r="AA120" s="8" t="str">
        <f t="shared" si="23"/>
        <v/>
      </c>
      <c r="AB120" s="123" t="str">
        <f t="shared" si="24"/>
        <v/>
      </c>
      <c r="AC120" s="192">
        <f t="shared" si="25"/>
        <v>0</v>
      </c>
      <c r="AD120" s="192" t="str">
        <f t="shared" si="19"/>
        <v/>
      </c>
      <c r="AE120" s="192" t="str">
        <f t="shared" si="19"/>
        <v/>
      </c>
      <c r="AF120" s="192">
        <f t="shared" si="26"/>
        <v>0</v>
      </c>
      <c r="AG120" s="192">
        <f t="shared" si="27"/>
        <v>0</v>
      </c>
      <c r="BC120" s="192" t="str">
        <f t="shared" si="28"/>
        <v/>
      </c>
      <c r="BD120" s="192" t="str">
        <f t="shared" si="28"/>
        <v/>
      </c>
      <c r="BE120" s="192" t="str">
        <f t="shared" si="28"/>
        <v/>
      </c>
      <c r="BF120" s="192" t="str">
        <f t="shared" si="28"/>
        <v/>
      </c>
    </row>
    <row r="121" spans="2:58" x14ac:dyDescent="0.25">
      <c r="B121" s="7" t="str">
        <f t="shared" si="21"/>
        <v/>
      </c>
      <c r="C121" s="4"/>
      <c r="D121" s="4"/>
      <c r="E121" s="4"/>
      <c r="F121" s="230" t="str">
        <f>IF('תנאי סף'!AO121&lt;&gt;1,"",'תנאי סף'!F121)</f>
        <v/>
      </c>
      <c r="G121" s="491"/>
      <c r="H121" s="159" t="str">
        <f>IF($F121="","",IFERROR(VLOOKUP(G121,הלמס!A:G,4,0),""))</f>
        <v/>
      </c>
      <c r="I121" s="158"/>
      <c r="J121" s="177"/>
      <c r="K121" s="6"/>
      <c r="L121" s="5"/>
      <c r="M121" s="6"/>
      <c r="N121" s="5"/>
      <c r="O121" s="6"/>
      <c r="P121" s="6"/>
      <c r="Q121" s="158"/>
      <c r="R121" s="177"/>
      <c r="S121" s="8"/>
      <c r="T121" s="8"/>
      <c r="U121" s="8"/>
      <c r="V121" s="8"/>
      <c r="W121" s="159" t="str">
        <f t="shared" si="20"/>
        <v/>
      </c>
      <c r="X121" s="8">
        <v>1</v>
      </c>
      <c r="Y121" s="8" t="str">
        <f t="shared" si="22"/>
        <v/>
      </c>
      <c r="Z121" s="8">
        <v>1</v>
      </c>
      <c r="AA121" s="8" t="str">
        <f t="shared" si="23"/>
        <v/>
      </c>
      <c r="AB121" s="123" t="str">
        <f t="shared" si="24"/>
        <v/>
      </c>
      <c r="AC121" s="192">
        <f t="shared" si="25"/>
        <v>0</v>
      </c>
      <c r="AD121" s="192" t="str">
        <f t="shared" si="19"/>
        <v/>
      </c>
      <c r="AE121" s="192" t="str">
        <f t="shared" si="19"/>
        <v/>
      </c>
      <c r="AF121" s="192">
        <f t="shared" si="26"/>
        <v>0</v>
      </c>
      <c r="AG121" s="192">
        <f t="shared" si="27"/>
        <v>0</v>
      </c>
      <c r="BC121" s="192" t="str">
        <f t="shared" si="28"/>
        <v/>
      </c>
      <c r="BD121" s="192" t="str">
        <f t="shared" si="28"/>
        <v/>
      </c>
      <c r="BE121" s="192" t="str">
        <f t="shared" si="28"/>
        <v/>
      </c>
      <c r="BF121" s="192" t="str">
        <f t="shared" si="28"/>
        <v/>
      </c>
    </row>
    <row r="122" spans="2:58" x14ac:dyDescent="0.25">
      <c r="B122" s="7" t="str">
        <f t="shared" si="21"/>
        <v/>
      </c>
      <c r="C122" s="4"/>
      <c r="D122" s="4"/>
      <c r="E122" s="4"/>
      <c r="F122" s="230" t="str">
        <f>IF('תנאי סף'!AO122&lt;&gt;1,"",'תנאי סף'!F122)</f>
        <v/>
      </c>
      <c r="G122" s="491"/>
      <c r="H122" s="159" t="str">
        <f>IF($F122="","",IFERROR(VLOOKUP(G122,הלמס!A:G,4,0),""))</f>
        <v/>
      </c>
      <c r="I122" s="158"/>
      <c r="J122" s="177"/>
      <c r="K122" s="6"/>
      <c r="L122" s="5"/>
      <c r="M122" s="6"/>
      <c r="N122" s="5"/>
      <c r="O122" s="6"/>
      <c r="P122" s="6"/>
      <c r="Q122" s="158"/>
      <c r="R122" s="177"/>
      <c r="S122" s="8"/>
      <c r="T122" s="8"/>
      <c r="U122" s="8"/>
      <c r="V122" s="8"/>
      <c r="W122" s="159" t="str">
        <f t="shared" si="20"/>
        <v/>
      </c>
      <c r="X122" s="8">
        <v>1</v>
      </c>
      <c r="Y122" s="8" t="str">
        <f t="shared" si="22"/>
        <v/>
      </c>
      <c r="Z122" s="8">
        <v>1</v>
      </c>
      <c r="AA122" s="8" t="str">
        <f t="shared" si="23"/>
        <v/>
      </c>
      <c r="AB122" s="123" t="str">
        <f t="shared" si="24"/>
        <v/>
      </c>
      <c r="AC122" s="192">
        <f t="shared" si="25"/>
        <v>0</v>
      </c>
      <c r="AD122" s="192" t="str">
        <f t="shared" si="19"/>
        <v/>
      </c>
      <c r="AE122" s="192" t="str">
        <f t="shared" si="19"/>
        <v/>
      </c>
      <c r="AF122" s="192">
        <f t="shared" si="26"/>
        <v>0</v>
      </c>
      <c r="AG122" s="192">
        <f t="shared" si="27"/>
        <v>0</v>
      </c>
      <c r="BC122" s="192" t="str">
        <f t="shared" si="28"/>
        <v/>
      </c>
      <c r="BD122" s="192" t="str">
        <f t="shared" si="28"/>
        <v/>
      </c>
      <c r="BE122" s="192" t="str">
        <f t="shared" si="28"/>
        <v/>
      </c>
      <c r="BF122" s="192" t="str">
        <f t="shared" si="28"/>
        <v/>
      </c>
    </row>
    <row r="123" spans="2:58" x14ac:dyDescent="0.25">
      <c r="B123" s="7" t="str">
        <f t="shared" si="21"/>
        <v/>
      </c>
      <c r="C123" s="4"/>
      <c r="D123" s="4"/>
      <c r="E123" s="4"/>
      <c r="F123" s="230" t="str">
        <f>IF('תנאי סף'!AO123&lt;&gt;1,"",'תנאי סף'!F123)</f>
        <v/>
      </c>
      <c r="G123" s="491"/>
      <c r="H123" s="159" t="str">
        <f>IF($F123="","",IFERROR(VLOOKUP(G123,הלמס!A:G,4,0),""))</f>
        <v/>
      </c>
      <c r="I123" s="158"/>
      <c r="J123" s="177"/>
      <c r="K123" s="6"/>
      <c r="L123" s="5"/>
      <c r="M123" s="6"/>
      <c r="N123" s="5"/>
      <c r="O123" s="6"/>
      <c r="P123" s="6"/>
      <c r="Q123" s="158"/>
      <c r="R123" s="177"/>
      <c r="S123" s="8"/>
      <c r="T123" s="8"/>
      <c r="U123" s="8"/>
      <c r="V123" s="8"/>
      <c r="W123" s="159" t="str">
        <f t="shared" si="20"/>
        <v/>
      </c>
      <c r="X123" s="8">
        <v>1</v>
      </c>
      <c r="Y123" s="8" t="str">
        <f t="shared" si="22"/>
        <v/>
      </c>
      <c r="Z123" s="8">
        <v>1</v>
      </c>
      <c r="AA123" s="8" t="str">
        <f t="shared" si="23"/>
        <v/>
      </c>
      <c r="AB123" s="123" t="str">
        <f t="shared" si="24"/>
        <v/>
      </c>
      <c r="AC123" s="192">
        <f t="shared" si="25"/>
        <v>0</v>
      </c>
      <c r="AD123" s="192" t="str">
        <f t="shared" si="19"/>
        <v/>
      </c>
      <c r="AE123" s="192" t="str">
        <f t="shared" si="19"/>
        <v/>
      </c>
      <c r="AF123" s="192">
        <f t="shared" si="26"/>
        <v>0</v>
      </c>
      <c r="AG123" s="192">
        <f t="shared" si="27"/>
        <v>0</v>
      </c>
      <c r="BC123" s="192" t="str">
        <f t="shared" si="28"/>
        <v/>
      </c>
      <c r="BD123" s="192" t="str">
        <f t="shared" si="28"/>
        <v/>
      </c>
      <c r="BE123" s="192" t="str">
        <f t="shared" si="28"/>
        <v/>
      </c>
      <c r="BF123" s="192" t="str">
        <f t="shared" si="28"/>
        <v/>
      </c>
    </row>
    <row r="124" spans="2:58" x14ac:dyDescent="0.25">
      <c r="B124" s="7" t="str">
        <f t="shared" si="21"/>
        <v/>
      </c>
      <c r="C124" s="4"/>
      <c r="D124" s="4"/>
      <c r="E124" s="4"/>
      <c r="F124" s="230" t="str">
        <f>IF('תנאי סף'!AO124&lt;&gt;1,"",'תנאי סף'!F124)</f>
        <v/>
      </c>
      <c r="G124" s="491"/>
      <c r="H124" s="159" t="str">
        <f>IF($F124="","",IFERROR(VLOOKUP(G124,הלמס!A:G,4,0),""))</f>
        <v/>
      </c>
      <c r="I124" s="158"/>
      <c r="J124" s="177"/>
      <c r="K124" s="6"/>
      <c r="L124" s="5"/>
      <c r="M124" s="6"/>
      <c r="N124" s="5"/>
      <c r="O124" s="6"/>
      <c r="P124" s="6"/>
      <c r="Q124" s="158"/>
      <c r="R124" s="177"/>
      <c r="S124" s="8"/>
      <c r="T124" s="8"/>
      <c r="U124" s="8"/>
      <c r="V124" s="8"/>
      <c r="W124" s="159" t="str">
        <f t="shared" si="20"/>
        <v/>
      </c>
      <c r="X124" s="8">
        <v>1</v>
      </c>
      <c r="Y124" s="8" t="str">
        <f t="shared" si="22"/>
        <v/>
      </c>
      <c r="Z124" s="8">
        <v>1</v>
      </c>
      <c r="AA124" s="8" t="str">
        <f t="shared" si="23"/>
        <v/>
      </c>
      <c r="AB124" s="123" t="str">
        <f t="shared" si="24"/>
        <v/>
      </c>
      <c r="AC124" s="192">
        <f t="shared" si="25"/>
        <v>0</v>
      </c>
      <c r="AD124" s="192" t="str">
        <f t="shared" si="19"/>
        <v/>
      </c>
      <c r="AE124" s="192" t="str">
        <f t="shared" si="19"/>
        <v/>
      </c>
      <c r="AF124" s="192">
        <f t="shared" si="26"/>
        <v>0</v>
      </c>
      <c r="AG124" s="192">
        <f t="shared" si="27"/>
        <v>0</v>
      </c>
      <c r="BC124" s="192" t="str">
        <f t="shared" si="28"/>
        <v/>
      </c>
      <c r="BD124" s="192" t="str">
        <f t="shared" si="28"/>
        <v/>
      </c>
      <c r="BE124" s="192" t="str">
        <f t="shared" si="28"/>
        <v/>
      </c>
      <c r="BF124" s="192" t="str">
        <f t="shared" si="28"/>
        <v/>
      </c>
    </row>
    <row r="125" spans="2:58" x14ac:dyDescent="0.25">
      <c r="B125" s="7" t="str">
        <f t="shared" si="21"/>
        <v/>
      </c>
      <c r="C125" s="4"/>
      <c r="D125" s="4"/>
      <c r="E125" s="4"/>
      <c r="F125" s="230" t="str">
        <f>IF('תנאי סף'!AO125&lt;&gt;1,"",'תנאי סף'!F125)</f>
        <v/>
      </c>
      <c r="G125" s="491"/>
      <c r="H125" s="159" t="str">
        <f>IF($F125="","",IFERROR(VLOOKUP(G125,הלמס!A:G,4,0),""))</f>
        <v/>
      </c>
      <c r="I125" s="158"/>
      <c r="J125" s="177"/>
      <c r="K125" s="6"/>
      <c r="L125" s="5"/>
      <c r="M125" s="6"/>
      <c r="N125" s="5"/>
      <c r="O125" s="6"/>
      <c r="P125" s="6"/>
      <c r="Q125" s="158"/>
      <c r="R125" s="177"/>
      <c r="S125" s="8"/>
      <c r="T125" s="8"/>
      <c r="U125" s="8"/>
      <c r="V125" s="8"/>
      <c r="W125" s="159" t="str">
        <f t="shared" si="20"/>
        <v/>
      </c>
      <c r="X125" s="8">
        <v>1</v>
      </c>
      <c r="Y125" s="8" t="str">
        <f t="shared" si="22"/>
        <v/>
      </c>
      <c r="Z125" s="8">
        <v>1</v>
      </c>
      <c r="AA125" s="8" t="str">
        <f t="shared" si="23"/>
        <v/>
      </c>
      <c r="AB125" s="123" t="str">
        <f t="shared" si="24"/>
        <v/>
      </c>
      <c r="AC125" s="192">
        <f t="shared" si="25"/>
        <v>0</v>
      </c>
      <c r="AD125" s="192" t="str">
        <f t="shared" si="19"/>
        <v/>
      </c>
      <c r="AE125" s="192" t="str">
        <f t="shared" si="19"/>
        <v/>
      </c>
      <c r="AF125" s="192">
        <f t="shared" si="26"/>
        <v>0</v>
      </c>
      <c r="AG125" s="192">
        <f t="shared" si="27"/>
        <v>0</v>
      </c>
      <c r="BC125" s="192" t="str">
        <f t="shared" si="28"/>
        <v/>
      </c>
      <c r="BD125" s="192" t="str">
        <f t="shared" si="28"/>
        <v/>
      </c>
      <c r="BE125" s="192" t="str">
        <f t="shared" si="28"/>
        <v/>
      </c>
      <c r="BF125" s="192" t="str">
        <f t="shared" si="28"/>
        <v/>
      </c>
    </row>
    <row r="126" spans="2:58" x14ac:dyDescent="0.25">
      <c r="B126" s="7" t="str">
        <f t="shared" si="21"/>
        <v/>
      </c>
      <c r="C126" s="4"/>
      <c r="D126" s="4"/>
      <c r="E126" s="4"/>
      <c r="F126" s="230" t="str">
        <f>IF('תנאי סף'!AO126&lt;&gt;1,"",'תנאי סף'!F126)</f>
        <v/>
      </c>
      <c r="G126" s="491"/>
      <c r="H126" s="159" t="str">
        <f>IF($F126="","",IFERROR(VLOOKUP(G126,הלמס!A:G,4,0),""))</f>
        <v/>
      </c>
      <c r="I126" s="158"/>
      <c r="J126" s="177"/>
      <c r="K126" s="6"/>
      <c r="L126" s="5"/>
      <c r="M126" s="6"/>
      <c r="N126" s="5"/>
      <c r="O126" s="6"/>
      <c r="P126" s="6"/>
      <c r="Q126" s="158"/>
      <c r="R126" s="177"/>
      <c r="S126" s="8"/>
      <c r="T126" s="8"/>
      <c r="U126" s="8"/>
      <c r="V126" s="8"/>
      <c r="W126" s="159" t="str">
        <f t="shared" si="20"/>
        <v/>
      </c>
      <c r="X126" s="8">
        <v>1</v>
      </c>
      <c r="Y126" s="8" t="str">
        <f t="shared" si="22"/>
        <v/>
      </c>
      <c r="Z126" s="8">
        <v>1</v>
      </c>
      <c r="AA126" s="8" t="str">
        <f t="shared" si="23"/>
        <v/>
      </c>
      <c r="AB126" s="123" t="str">
        <f t="shared" si="24"/>
        <v/>
      </c>
      <c r="AC126" s="192">
        <f t="shared" si="25"/>
        <v>0</v>
      </c>
      <c r="AD126" s="192" t="str">
        <f t="shared" si="19"/>
        <v/>
      </c>
      <c r="AE126" s="192" t="str">
        <f t="shared" si="19"/>
        <v/>
      </c>
      <c r="AF126" s="192">
        <f t="shared" si="26"/>
        <v>0</v>
      </c>
      <c r="AG126" s="192">
        <f t="shared" si="27"/>
        <v>0</v>
      </c>
      <c r="BC126" s="192" t="str">
        <f t="shared" si="28"/>
        <v/>
      </c>
      <c r="BD126" s="192" t="str">
        <f t="shared" si="28"/>
        <v/>
      </c>
      <c r="BE126" s="192" t="str">
        <f t="shared" si="28"/>
        <v/>
      </c>
      <c r="BF126" s="192" t="str">
        <f t="shared" si="28"/>
        <v/>
      </c>
    </row>
    <row r="127" spans="2:58" x14ac:dyDescent="0.25">
      <c r="B127" s="7" t="str">
        <f t="shared" si="21"/>
        <v/>
      </c>
      <c r="C127" s="4"/>
      <c r="D127" s="4"/>
      <c r="E127" s="4"/>
      <c r="F127" s="230" t="str">
        <f>IF('תנאי סף'!AO127&lt;&gt;1,"",'תנאי סף'!F127)</f>
        <v/>
      </c>
      <c r="G127" s="491"/>
      <c r="H127" s="159" t="str">
        <f>IF($F127="","",IFERROR(VLOOKUP(G127,הלמס!A:G,4,0),""))</f>
        <v/>
      </c>
      <c r="I127" s="158"/>
      <c r="J127" s="177"/>
      <c r="K127" s="6"/>
      <c r="L127" s="5"/>
      <c r="M127" s="6"/>
      <c r="N127" s="5"/>
      <c r="O127" s="6"/>
      <c r="P127" s="6"/>
      <c r="Q127" s="158"/>
      <c r="R127" s="177"/>
      <c r="S127" s="8"/>
      <c r="T127" s="8"/>
      <c r="U127" s="8"/>
      <c r="V127" s="8"/>
      <c r="W127" s="159" t="str">
        <f t="shared" si="20"/>
        <v/>
      </c>
      <c r="X127" s="8">
        <v>1</v>
      </c>
      <c r="Y127" s="8" t="str">
        <f t="shared" si="22"/>
        <v/>
      </c>
      <c r="Z127" s="8">
        <v>1</v>
      </c>
      <c r="AA127" s="8" t="str">
        <f t="shared" si="23"/>
        <v/>
      </c>
      <c r="AB127" s="123" t="str">
        <f t="shared" si="24"/>
        <v/>
      </c>
      <c r="AC127" s="192">
        <f t="shared" si="25"/>
        <v>0</v>
      </c>
      <c r="AD127" s="192" t="str">
        <f t="shared" si="19"/>
        <v/>
      </c>
      <c r="AE127" s="192" t="str">
        <f t="shared" si="19"/>
        <v/>
      </c>
      <c r="AF127" s="192">
        <f t="shared" si="26"/>
        <v>0</v>
      </c>
      <c r="AG127" s="192">
        <f t="shared" si="27"/>
        <v>0</v>
      </c>
      <c r="BC127" s="192" t="str">
        <f t="shared" si="28"/>
        <v/>
      </c>
      <c r="BD127" s="192" t="str">
        <f t="shared" si="28"/>
        <v/>
      </c>
      <c r="BE127" s="192" t="str">
        <f t="shared" si="28"/>
        <v/>
      </c>
      <c r="BF127" s="192" t="str">
        <f t="shared" si="28"/>
        <v/>
      </c>
    </row>
    <row r="128" spans="2:58" x14ac:dyDescent="0.25">
      <c r="B128" s="7" t="str">
        <f t="shared" si="21"/>
        <v/>
      </c>
      <c r="C128" s="4"/>
      <c r="D128" s="4"/>
      <c r="E128" s="4"/>
      <c r="F128" s="230" t="str">
        <f>IF('תנאי סף'!AO128&lt;&gt;1,"",'תנאי סף'!F128)</f>
        <v/>
      </c>
      <c r="G128" s="491"/>
      <c r="H128" s="159" t="str">
        <f>IF($F128="","",IFERROR(VLOOKUP(G128,הלמס!A:G,4,0),""))</f>
        <v/>
      </c>
      <c r="I128" s="158"/>
      <c r="J128" s="177"/>
      <c r="K128" s="6"/>
      <c r="L128" s="5"/>
      <c r="M128" s="6"/>
      <c r="N128" s="5"/>
      <c r="O128" s="6"/>
      <c r="P128" s="6"/>
      <c r="Q128" s="158"/>
      <c r="R128" s="177"/>
      <c r="S128" s="8"/>
      <c r="T128" s="8"/>
      <c r="U128" s="8"/>
      <c r="V128" s="8"/>
      <c r="W128" s="159" t="str">
        <f t="shared" si="20"/>
        <v/>
      </c>
      <c r="X128" s="8">
        <v>1</v>
      </c>
      <c r="Y128" s="8" t="str">
        <f t="shared" si="22"/>
        <v/>
      </c>
      <c r="Z128" s="8">
        <v>1</v>
      </c>
      <c r="AA128" s="8" t="str">
        <f t="shared" si="23"/>
        <v/>
      </c>
      <c r="AB128" s="123" t="str">
        <f t="shared" si="24"/>
        <v/>
      </c>
      <c r="AC128" s="192">
        <f t="shared" si="25"/>
        <v>0</v>
      </c>
      <c r="AD128" s="192" t="str">
        <f t="shared" si="19"/>
        <v/>
      </c>
      <c r="AE128" s="192" t="str">
        <f t="shared" si="19"/>
        <v/>
      </c>
      <c r="AF128" s="192">
        <f t="shared" si="26"/>
        <v>0</v>
      </c>
      <c r="AG128" s="192">
        <f t="shared" si="27"/>
        <v>0</v>
      </c>
      <c r="BC128" s="192" t="str">
        <f t="shared" si="28"/>
        <v/>
      </c>
      <c r="BD128" s="192" t="str">
        <f t="shared" si="28"/>
        <v/>
      </c>
      <c r="BE128" s="192" t="str">
        <f t="shared" si="28"/>
        <v/>
      </c>
      <c r="BF128" s="192" t="str">
        <f t="shared" si="28"/>
        <v/>
      </c>
    </row>
    <row r="129" spans="2:58" x14ac:dyDescent="0.25">
      <c r="B129" s="7" t="str">
        <f t="shared" si="21"/>
        <v/>
      </c>
      <c r="C129" s="4"/>
      <c r="D129" s="4"/>
      <c r="E129" s="4"/>
      <c r="F129" s="230" t="str">
        <f>IF('תנאי סף'!AO129&lt;&gt;1,"",'תנאי סף'!F129)</f>
        <v/>
      </c>
      <c r="G129" s="491"/>
      <c r="H129" s="159" t="str">
        <f>IF($F129="","",IFERROR(VLOOKUP(G129,הלמס!A:G,4,0),""))</f>
        <v/>
      </c>
      <c r="I129" s="158"/>
      <c r="J129" s="177"/>
      <c r="K129" s="6"/>
      <c r="L129" s="5"/>
      <c r="M129" s="6"/>
      <c r="N129" s="5"/>
      <c r="O129" s="6"/>
      <c r="P129" s="6"/>
      <c r="Q129" s="158"/>
      <c r="R129" s="177"/>
      <c r="S129" s="8"/>
      <c r="T129" s="8"/>
      <c r="U129" s="8"/>
      <c r="V129" s="8"/>
      <c r="W129" s="159" t="str">
        <f t="shared" si="20"/>
        <v/>
      </c>
      <c r="X129" s="8">
        <v>1</v>
      </c>
      <c r="Y129" s="8" t="str">
        <f t="shared" si="22"/>
        <v/>
      </c>
      <c r="Z129" s="8">
        <v>1</v>
      </c>
      <c r="AA129" s="8" t="str">
        <f t="shared" si="23"/>
        <v/>
      </c>
      <c r="AB129" s="123" t="str">
        <f t="shared" si="24"/>
        <v/>
      </c>
      <c r="AC129" s="192">
        <f t="shared" si="25"/>
        <v>0</v>
      </c>
      <c r="AD129" s="192" t="str">
        <f t="shared" si="19"/>
        <v/>
      </c>
      <c r="AE129" s="192" t="str">
        <f t="shared" si="19"/>
        <v/>
      </c>
      <c r="AF129" s="192">
        <f t="shared" si="26"/>
        <v>0</v>
      </c>
      <c r="AG129" s="192">
        <f t="shared" si="27"/>
        <v>0</v>
      </c>
      <c r="BC129" s="192" t="str">
        <f t="shared" si="28"/>
        <v/>
      </c>
      <c r="BD129" s="192" t="str">
        <f t="shared" si="28"/>
        <v/>
      </c>
      <c r="BE129" s="192" t="str">
        <f t="shared" si="28"/>
        <v/>
      </c>
      <c r="BF129" s="192" t="str">
        <f t="shared" si="28"/>
        <v/>
      </c>
    </row>
    <row r="130" spans="2:58" ht="2.25" customHeight="1" thickBot="1" x14ac:dyDescent="0.3">
      <c r="B130" s="7" t="str">
        <f t="shared" si="21"/>
        <v/>
      </c>
      <c r="C130" s="4"/>
      <c r="D130" s="4"/>
      <c r="E130" s="4"/>
      <c r="F130" s="230" t="str">
        <f>IF('תנאי סף'!AO130&lt;&gt;1,"",'תנאי סף'!F130)</f>
        <v/>
      </c>
      <c r="G130" s="230"/>
      <c r="H130" s="159" t="str">
        <f>IF($F130="","",IFERROR(VLOOKUP(G130,הלמס!A:G,4,0),""))</f>
        <v/>
      </c>
      <c r="I130" s="158"/>
      <c r="J130" s="177"/>
      <c r="K130" s="6"/>
      <c r="L130" s="5"/>
      <c r="M130" s="6"/>
      <c r="N130" s="5"/>
      <c r="O130" s="6"/>
      <c r="P130" s="6"/>
      <c r="Q130" s="158"/>
      <c r="R130" s="177"/>
      <c r="S130" s="8"/>
      <c r="T130" s="8"/>
      <c r="U130" s="8"/>
      <c r="V130" s="8"/>
      <c r="W130" s="159" t="str">
        <f t="shared" si="20"/>
        <v/>
      </c>
      <c r="X130" s="8">
        <v>1</v>
      </c>
      <c r="Y130" s="8" t="str">
        <f t="shared" si="22"/>
        <v/>
      </c>
      <c r="Z130" s="8">
        <v>1</v>
      </c>
      <c r="AA130" s="8" t="str">
        <f t="shared" si="23"/>
        <v/>
      </c>
      <c r="AB130" s="123" t="str">
        <f t="shared" si="24"/>
        <v/>
      </c>
      <c r="AC130" s="192">
        <f t="shared" si="25"/>
        <v>0</v>
      </c>
      <c r="AD130" s="192" t="str">
        <f t="shared" si="19"/>
        <v/>
      </c>
      <c r="AE130" s="192" t="str">
        <f t="shared" si="19"/>
        <v/>
      </c>
      <c r="AF130" s="192">
        <f t="shared" si="26"/>
        <v>0</v>
      </c>
      <c r="AG130" s="192">
        <f t="shared" si="27"/>
        <v>0</v>
      </c>
      <c r="BC130" s="192" t="str">
        <f t="shared" si="28"/>
        <v/>
      </c>
      <c r="BD130" s="192" t="str">
        <f t="shared" si="28"/>
        <v/>
      </c>
      <c r="BE130" s="192" t="str">
        <f t="shared" si="28"/>
        <v/>
      </c>
      <c r="BF130" s="192" t="str">
        <f t="shared" si="28"/>
        <v/>
      </c>
    </row>
    <row r="131" spans="2:58" ht="19.5" thickBot="1" x14ac:dyDescent="0.35">
      <c r="B131" s="555" t="s">
        <v>77</v>
      </c>
      <c r="C131" s="556"/>
      <c r="D131" s="556"/>
      <c r="E131" s="556"/>
      <c r="F131" s="557"/>
      <c r="G131" s="465"/>
      <c r="H131" s="465"/>
      <c r="I131" s="9">
        <f>SUM(I31:I130)</f>
        <v>0</v>
      </c>
      <c r="J131" s="9">
        <f>SUM(J31:J130)</f>
        <v>10</v>
      </c>
      <c r="K131" s="9">
        <f t="shared" ref="K131:R131" si="29">SUM(K31:K130)</f>
        <v>0</v>
      </c>
      <c r="L131" s="9">
        <f t="shared" si="29"/>
        <v>0</v>
      </c>
      <c r="M131" s="9">
        <f t="shared" si="29"/>
        <v>0</v>
      </c>
      <c r="N131" s="9">
        <f t="shared" si="29"/>
        <v>0</v>
      </c>
      <c r="O131" s="9">
        <f t="shared" si="29"/>
        <v>0</v>
      </c>
      <c r="P131" s="9">
        <f t="shared" si="29"/>
        <v>0</v>
      </c>
      <c r="Q131" s="9">
        <f t="shared" si="29"/>
        <v>0</v>
      </c>
      <c r="R131" s="9">
        <f t="shared" si="29"/>
        <v>0</v>
      </c>
      <c r="S131" s="9">
        <f t="shared" ref="S131:AB131" si="30">SUM(S31:S130)</f>
        <v>0</v>
      </c>
      <c r="T131" s="9">
        <f t="shared" si="30"/>
        <v>0</v>
      </c>
      <c r="U131" s="9">
        <f t="shared" si="30"/>
        <v>0</v>
      </c>
      <c r="V131" s="9">
        <f t="shared" si="30"/>
        <v>0</v>
      </c>
      <c r="W131" s="9">
        <f t="shared" si="30"/>
        <v>29</v>
      </c>
      <c r="X131" s="9">
        <f t="shared" si="30"/>
        <v>100</v>
      </c>
      <c r="Y131" s="9">
        <f t="shared" si="30"/>
        <v>29</v>
      </c>
      <c r="Z131" s="9">
        <f t="shared" si="30"/>
        <v>100</v>
      </c>
      <c r="AA131" s="9">
        <f t="shared" si="30"/>
        <v>29</v>
      </c>
      <c r="AB131" s="124">
        <f t="shared" si="30"/>
        <v>1</v>
      </c>
      <c r="AF131" s="193"/>
    </row>
    <row r="132" spans="2:58" x14ac:dyDescent="0.25">
      <c r="AF132" s="193"/>
    </row>
    <row r="133" spans="2:58" x14ac:dyDescent="0.25">
      <c r="AF133" s="193"/>
    </row>
    <row r="134" spans="2:58" x14ac:dyDescent="0.25">
      <c r="AF134" s="193"/>
    </row>
    <row r="135" spans="2:58" x14ac:dyDescent="0.25">
      <c r="AF135" s="193"/>
    </row>
    <row r="136" spans="2:58" x14ac:dyDescent="0.25">
      <c r="AF136" s="193"/>
    </row>
    <row r="137" spans="2:58" x14ac:dyDescent="0.25">
      <c r="AF137" s="193"/>
    </row>
    <row r="138" spans="2:58" x14ac:dyDescent="0.25">
      <c r="AF138" s="193"/>
    </row>
    <row r="139" spans="2:58" x14ac:dyDescent="0.25">
      <c r="AF139" s="193"/>
    </row>
    <row r="140" spans="2:58" x14ac:dyDescent="0.25">
      <c r="AF140" s="193"/>
    </row>
    <row r="141" spans="2:58" x14ac:dyDescent="0.25">
      <c r="AF141" s="193"/>
    </row>
    <row r="142" spans="2:58" x14ac:dyDescent="0.25">
      <c r="AF142" s="193"/>
    </row>
    <row r="143" spans="2:58" x14ac:dyDescent="0.25">
      <c r="AF143" s="193"/>
    </row>
    <row r="144" spans="2:58" x14ac:dyDescent="0.25">
      <c r="AF144" s="193"/>
    </row>
    <row r="145" spans="32:32" x14ac:dyDescent="0.25">
      <c r="AF145" s="193"/>
    </row>
    <row r="146" spans="32:32" x14ac:dyDescent="0.25">
      <c r="AF146" s="193"/>
    </row>
    <row r="147" spans="32:32" x14ac:dyDescent="0.25">
      <c r="AF147" s="193"/>
    </row>
    <row r="148" spans="32:32" x14ac:dyDescent="0.25">
      <c r="AF148" s="193"/>
    </row>
    <row r="149" spans="32:32" x14ac:dyDescent="0.25">
      <c r="AF149" s="193"/>
    </row>
    <row r="150" spans="32:32" x14ac:dyDescent="0.25">
      <c r="AF150" s="193"/>
    </row>
    <row r="151" spans="32:32" x14ac:dyDescent="0.25">
      <c r="AF151" s="193"/>
    </row>
    <row r="152" spans="32:32" x14ac:dyDescent="0.25">
      <c r="AF152" s="193"/>
    </row>
    <row r="153" spans="32:32" x14ac:dyDescent="0.25">
      <c r="AF153" s="193"/>
    </row>
    <row r="154" spans="32:32" x14ac:dyDescent="0.25">
      <c r="AF154" s="193"/>
    </row>
    <row r="155" spans="32:32" x14ac:dyDescent="0.25">
      <c r="AF155" s="193"/>
    </row>
    <row r="156" spans="32:32" x14ac:dyDescent="0.25">
      <c r="AF156" s="193"/>
    </row>
    <row r="157" spans="32:32" x14ac:dyDescent="0.25">
      <c r="AF157" s="193"/>
    </row>
    <row r="158" spans="32:32" x14ac:dyDescent="0.25">
      <c r="AF158" s="193"/>
    </row>
    <row r="159" spans="32:32" x14ac:dyDescent="0.25">
      <c r="AF159" s="193"/>
    </row>
    <row r="160" spans="32:32" x14ac:dyDescent="0.25">
      <c r="AF160" s="193"/>
    </row>
    <row r="161" spans="32:32" x14ac:dyDescent="0.25">
      <c r="AF161" s="193"/>
    </row>
    <row r="162" spans="32:32" x14ac:dyDescent="0.25">
      <c r="AF162" s="193"/>
    </row>
    <row r="163" spans="32:32" x14ac:dyDescent="0.25">
      <c r="AF163" s="193"/>
    </row>
    <row r="164" spans="32:32" x14ac:dyDescent="0.25">
      <c r="AF164" s="193"/>
    </row>
    <row r="165" spans="32:32" x14ac:dyDescent="0.25">
      <c r="AF165" s="193"/>
    </row>
    <row r="166" spans="32:32" x14ac:dyDescent="0.25">
      <c r="AF166" s="193"/>
    </row>
    <row r="167" spans="32:32" x14ac:dyDescent="0.25">
      <c r="AF167" s="193"/>
    </row>
    <row r="168" spans="32:32" x14ac:dyDescent="0.25">
      <c r="AF168" s="193"/>
    </row>
    <row r="169" spans="32:32" x14ac:dyDescent="0.25">
      <c r="AF169" s="193"/>
    </row>
    <row r="170" spans="32:32" x14ac:dyDescent="0.25">
      <c r="AF170" s="193"/>
    </row>
    <row r="171" spans="32:32" x14ac:dyDescent="0.25">
      <c r="AF171" s="193"/>
    </row>
    <row r="172" spans="32:32" x14ac:dyDescent="0.25">
      <c r="AF172" s="193"/>
    </row>
    <row r="173" spans="32:32" x14ac:dyDescent="0.25">
      <c r="AF173" s="193"/>
    </row>
    <row r="174" spans="32:32" x14ac:dyDescent="0.25">
      <c r="AF174" s="193"/>
    </row>
    <row r="175" spans="32:32" x14ac:dyDescent="0.25">
      <c r="AF175" s="193"/>
    </row>
    <row r="176" spans="32:32" x14ac:dyDescent="0.25">
      <c r="AF176" s="193"/>
    </row>
    <row r="177" spans="32:32" x14ac:dyDescent="0.25">
      <c r="AF177" s="193"/>
    </row>
    <row r="178" spans="32:32" x14ac:dyDescent="0.25">
      <c r="AF178" s="193"/>
    </row>
    <row r="179" spans="32:32" x14ac:dyDescent="0.25">
      <c r="AF179" s="193"/>
    </row>
    <row r="180" spans="32:32" x14ac:dyDescent="0.25">
      <c r="AF180" s="193"/>
    </row>
  </sheetData>
  <sheetProtection algorithmName="SHA-512" hashValue="xL18fm/raRbVfcohot1mzPaiqtwaQCRv7cd5RXWb3eD+61Or0oZ/GvYo7LHsBaI9ectGNnkXFWYBi22pzHIOuA==" saltValue="pM7zlUQYlbpu0dHV2DT62A==" spinCount="100000" sheet="1" scenarios="1" formatCells="0" formatColumns="0" formatRows="0" autoFilter="0"/>
  <mergeCells count="19">
    <mergeCell ref="Y29:Y30"/>
    <mergeCell ref="Z29:Z30"/>
    <mergeCell ref="AA29:AA30"/>
    <mergeCell ref="AB29:AB30"/>
    <mergeCell ref="B1:AB1"/>
    <mergeCell ref="B29:B30"/>
    <mergeCell ref="C29:C30"/>
    <mergeCell ref="D29:D30"/>
    <mergeCell ref="E29:E30"/>
    <mergeCell ref="F29:F30"/>
    <mergeCell ref="W29:W30"/>
    <mergeCell ref="X29:X30"/>
    <mergeCell ref="G29:G30"/>
    <mergeCell ref="H29:H30"/>
    <mergeCell ref="B131:F131"/>
    <mergeCell ref="S29:S30"/>
    <mergeCell ref="T29:T30"/>
    <mergeCell ref="U29:U30"/>
    <mergeCell ref="V29:V30"/>
  </mergeCells>
  <conditionalFormatting sqref="B32:H130 I73:AB130">
    <cfRule type="expression" dxfId="137" priority="1" stopIfTrue="1">
      <formula>AND($F32="",B32&lt;&gt;"")</formula>
    </cfRule>
    <cfRule type="expression" dxfId="136" priority="2">
      <formula>$F32=""</formula>
    </cfRule>
    <cfRule type="expression" dxfId="135" priority="3">
      <formula>B$30&lt;&gt;""</formula>
    </cfRule>
  </conditionalFormatting>
  <conditionalFormatting sqref="B31:AB31 I32:AB72">
    <cfRule type="expression" dxfId="134" priority="18">
      <formula>$F31=""</formula>
    </cfRule>
    <cfRule type="expression" dxfId="133" priority="19">
      <formula>B$30&lt;&gt;""</formula>
    </cfRule>
  </conditionalFormatting>
  <conditionalFormatting sqref="I45:J45">
    <cfRule type="expression" dxfId="132" priority="9" stopIfTrue="1">
      <formula>AND($F45="",I45&lt;&gt;"")</formula>
    </cfRule>
    <cfRule type="expression" dxfId="131" priority="10">
      <formula>$F45=""</formula>
    </cfRule>
    <cfRule type="expression" dxfId="130" priority="11">
      <formula>I$30&lt;&gt;""</formula>
    </cfRule>
  </conditionalFormatting>
  <conditionalFormatting sqref="I32:AB72 B31:AB31">
    <cfRule type="expression" dxfId="129" priority="17" stopIfTrue="1">
      <formula>AND($F31="",B31&lt;&gt;"")</formula>
    </cfRule>
  </conditionalFormatting>
  <dataValidations count="9">
    <dataValidation type="whole" operator="greaterThan" allowBlank="1" showInputMessage="1" showErrorMessage="1" errorTitle="נתון שגוי." error="ניתן להזין רק מספר שלם גדול מ-0" sqref="O31:O130" xr:uid="{00000000-0002-0000-0A00-000000000000}">
      <formula1>0</formula1>
    </dataValidation>
    <dataValidation type="decimal" operator="greaterThan" allowBlank="1" showInputMessage="1" showErrorMessage="1" errorTitle="נתון שגוי." error="ניתן להזין רק מספר גדול מ-0" sqref="N31:N130" xr:uid="{00000000-0002-0000-0A00-000001000000}">
      <formula1>0</formula1>
    </dataValidation>
    <dataValidation type="whole" operator="greaterThanOrEqual" allowBlank="1" showInputMessage="1" showErrorMessage="1" errorTitle="נתון שגוי." error="ניתן להזין רק מספר שלם גדול או שווה ל-0." sqref="M31:M130" xr:uid="{00000000-0002-0000-0A00-000002000000}">
      <formula1>0</formula1>
    </dataValidation>
    <dataValidation type="decimal" operator="greaterThanOrEqual" allowBlank="1" showInputMessage="1" showErrorMessage="1" errorTitle="נתון שגוי." error="ניתן להזין רק מספר גדול או שווה ל-0." sqref="L31:L130" xr:uid="{00000000-0002-0000-0A00-000003000000}">
      <formula1>0</formula1>
    </dataValidation>
    <dataValidation type="whole" operator="notBetween" allowBlank="1" showInputMessage="1" showErrorMessage="1" errorTitle="נתון שגוי." error="ניתן להזין רק מספר שלם" sqref="K31:K130" xr:uid="{00000000-0002-0000-0A00-000004000000}">
      <formula1>-999999999</formula1>
      <formula2>-999999998</formula2>
    </dataValidation>
    <dataValidation type="list" allowBlank="1" showInputMessage="1" showErrorMessage="1" sqref="I30" xr:uid="{00000000-0002-0000-0A00-000005000000}">
      <formula1>$AG$1:$BB$1</formula1>
    </dataValidation>
    <dataValidation type="list" allowBlank="1" showInputMessage="1" showErrorMessage="1" sqref="J30:R30" xr:uid="{00000000-0002-0000-0A00-000006000000}">
      <formula1>OFFSET($AG$1,0,0,1,COUNTA($AG$1:$BB$1))</formula1>
    </dataValidation>
    <dataValidation type="list" allowBlank="1" showInputMessage="1" showErrorMessage="1" errorTitle="נתון שגוי." error="ניתן להזין רק 0 או 1._x000a_0 = לא עומד בתנאי._x000a_1 = עומד בתנאי." sqref="R31:R130 J31:J130" xr:uid="{00000000-0002-0000-0A00-000007000000}">
      <formula1>$AD31:$AE31</formula1>
    </dataValidation>
    <dataValidation type="list" allowBlank="1" showInputMessage="1" showErrorMessage="1" errorTitle="נתון לא מרשימה" error="יש לבחור מתוך הרשימה הסגורה בלבד" sqref="Q31:Q130 I31:I130" xr:uid="{00000000-0002-0000-0A00-000008000000}">
      <formula1>OFFSET($BC31,0,0,1,COUNTA($BC31:$BL31))</formula1>
    </dataValidation>
  </dataValidations>
  <printOptions horizontalCentered="1"/>
  <pageMargins left="0.51181102362204722" right="0.23" top="0.74803149606299213" bottom="0.62" header="0.31496062992125984" footer="0.31496062992125984"/>
  <pageSetup paperSize="9" scale="36"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76512BC8-2608-4544-B3F3-F708BB10F22D}">
            <xm:f>NOT(ISERROR(SEARCH($AD$1,B32)))</xm:f>
            <xm:f>$AD$1</xm:f>
            <x14:dxf>
              <fill>
                <patternFill>
                  <bgColor rgb="FFFF0000"/>
                </patternFill>
              </fill>
            </x14:dxf>
          </x14:cfRule>
          <xm:sqref>B32:H130 I73:AB130</xm:sqref>
        </x14:conditionalFormatting>
        <x14:conditionalFormatting xmlns:xm="http://schemas.microsoft.com/office/excel/2006/main">
          <x14:cfRule type="containsText" priority="20" operator="containsText" id="{08D734C9-B236-4504-A927-8A4EFDA695D4}">
            <xm:f>NOT(ISERROR(SEARCH($AD$1,B31)))</xm:f>
            <xm:f>$AD$1</xm:f>
            <x14:dxf>
              <fill>
                <patternFill>
                  <bgColor rgb="FFFF0000"/>
                </patternFill>
              </fill>
            </x14:dxf>
          </x14:cfRule>
          <xm:sqref>B31:AB31 I32:AB72</xm:sqref>
        </x14:conditionalFormatting>
        <x14:conditionalFormatting xmlns:xm="http://schemas.microsoft.com/office/excel/2006/main">
          <x14:cfRule type="containsText" priority="12" operator="containsText" id="{A65DFBB6-2E6C-4AD2-967B-270AFCA65ECC}">
            <xm:f>NOT(ISERROR(SEARCH($AD$1,I45)))</xm:f>
            <xm:f>$AD$1</xm:f>
            <x14:dxf>
              <fill>
                <patternFill>
                  <bgColor rgb="FFFF0000"/>
                </patternFill>
              </fill>
            </x14:dxf>
          </x14:cfRule>
          <xm:sqref>I45:J45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נתון לא מרשימה" error="יש לבחור מתוך הרשימה הסגורה בלבד" xr:uid="{2EED40DA-D6CF-4298-9BAC-29F8B293F196}">
          <x14:formula1>
            <xm:f>הלמס!$A$2:$A$258</xm:f>
          </x14:formula1>
          <xm:sqref>G31:G129</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Worksheet______29">
    <tabColor theme="4" tint="-0.249977111117893"/>
    <pageSetUpPr fitToPage="1"/>
  </sheetPr>
  <dimension ref="A1:BJ180"/>
  <sheetViews>
    <sheetView rightToLeft="1" view="pageBreakPreview" topLeftCell="B1" zoomScaleNormal="100" zoomScaleSheetLayoutView="100"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6.7109375" style="193" customWidth="1"/>
    <col min="7" max="7" width="21.140625" style="193" customWidth="1"/>
    <col min="8" max="8" width="22.5703125" style="193" customWidth="1"/>
    <col min="9" max="15" width="21.42578125" style="193" hidden="1" customWidth="1"/>
    <col min="16" max="16" width="14.5703125" style="193" hidden="1" customWidth="1"/>
    <col min="17" max="17" width="21.42578125" style="193" hidden="1" customWidth="1"/>
    <col min="18" max="18" width="1" style="193" hidden="1" customWidth="1"/>
    <col min="19" max="19" width="5.42578125" style="193" hidden="1" customWidth="1"/>
    <col min="20" max="20" width="17.5703125" style="193" customWidth="1"/>
    <col min="21" max="21" width="14.85546875" style="193" customWidth="1"/>
    <col min="22" max="25" width="21.42578125" style="193" hidden="1" customWidth="1"/>
    <col min="26" max="26" width="14.28515625" style="193"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1" customHeight="1" thickBot="1" x14ac:dyDescent="0.3">
      <c r="B1" s="534" t="str">
        <f ca="1">MID(CELL("filename",AC2),FIND("]",CELL("filename",AC2),1)+1,99)</f>
        <v>תקציב</v>
      </c>
      <c r="C1" s="536"/>
      <c r="D1" s="536"/>
      <c r="E1" s="536"/>
      <c r="F1" s="536"/>
      <c r="G1" s="536"/>
      <c r="H1" s="536"/>
      <c r="I1" s="536"/>
      <c r="J1" s="536"/>
      <c r="K1" s="536"/>
      <c r="L1" s="536"/>
      <c r="M1" s="536"/>
      <c r="N1" s="536"/>
      <c r="O1" s="536"/>
      <c r="P1" s="536"/>
      <c r="Q1" s="536"/>
      <c r="R1" s="536"/>
      <c r="S1" s="536"/>
      <c r="T1" s="536"/>
      <c r="U1" s="536"/>
      <c r="V1" s="536"/>
      <c r="W1" s="536"/>
      <c r="X1" s="536"/>
      <c r="Y1" s="536"/>
      <c r="Z1" s="536"/>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U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0</v>
      </c>
    </row>
    <row r="3" spans="2:52" ht="38.25" thickBot="1" x14ac:dyDescent="0.3">
      <c r="U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לקריטריונים'!B161</f>
        <v>שיעור ההכנסות העצמיות מעל:</v>
      </c>
      <c r="G4" s="406" t="str">
        <f>'פרמטרים לקריטריונים'!C161</f>
        <v>ניקוד</v>
      </c>
      <c r="AD4" s="192" t="s">
        <v>128</v>
      </c>
      <c r="AE4" s="235"/>
      <c r="AF4" s="236"/>
      <c r="AG4" s="235"/>
      <c r="AH4" s="235"/>
      <c r="AI4" s="235"/>
      <c r="AJ4" s="235"/>
      <c r="AK4" s="235"/>
      <c r="AL4" s="235"/>
      <c r="AM4" s="235"/>
      <c r="AN4" s="236"/>
    </row>
    <row r="5" spans="2:52" x14ac:dyDescent="0.25">
      <c r="F5" s="414">
        <f>'פרמטרים לקריטריונים'!B162</f>
        <v>0</v>
      </c>
      <c r="G5" s="411">
        <f>'פרמטרים לקריטריונים'!C162</f>
        <v>0</v>
      </c>
    </row>
    <row r="6" spans="2:52" x14ac:dyDescent="0.25">
      <c r="F6" s="414">
        <f>'פרמטרים לקריטריונים'!B163</f>
        <v>0.2</v>
      </c>
      <c r="G6" s="411">
        <f>'פרמטרים לקריטריונים'!C163</f>
        <v>1</v>
      </c>
    </row>
    <row r="7" spans="2:52" x14ac:dyDescent="0.25">
      <c r="F7" s="414">
        <f>'פרמטרים לקריטריונים'!B164</f>
        <v>0.4</v>
      </c>
      <c r="G7" s="411">
        <f>'פרמטרים לקריטריונים'!C164</f>
        <v>2</v>
      </c>
    </row>
    <row r="8" spans="2:52" x14ac:dyDescent="0.25">
      <c r="F8" s="414">
        <f>'פרמטרים לקריטריונים'!B165</f>
        <v>0.5</v>
      </c>
      <c r="G8" s="411">
        <f>'פרמטרים לקריטריונים'!C165</f>
        <v>4</v>
      </c>
    </row>
    <row r="9" spans="2:52" x14ac:dyDescent="0.25">
      <c r="F9" s="414">
        <f>'פרמטרים לקריטריונים'!B166</f>
        <v>0.6</v>
      </c>
      <c r="G9" s="411">
        <f>'פרמטרים לקריטריונים'!C166</f>
        <v>6</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4" hidden="1" x14ac:dyDescent="0.25"/>
    <row r="18" spans="1:54" hidden="1" x14ac:dyDescent="0.25"/>
    <row r="19" spans="1:54" hidden="1" x14ac:dyDescent="0.25"/>
    <row r="20" spans="1:54" hidden="1" x14ac:dyDescent="0.25"/>
    <row r="21" spans="1:54" ht="9.75" hidden="1" customHeight="1" x14ac:dyDescent="0.25"/>
    <row r="22" spans="1:54" hidden="1" x14ac:dyDescent="0.25"/>
    <row r="23" spans="1:54" hidden="1" x14ac:dyDescent="0.25">
      <c r="F23" s="410" t="str">
        <f>'פרמטרים לקריטריונים'!$D$31</f>
        <v>החלת מקדם תלוי משתנה</v>
      </c>
      <c r="G23" s="411">
        <f ca="1">VLOOKUP(B1,'פרמטרים לקריטריונים'!$B$32:$D$46,3,0)</f>
        <v>0</v>
      </c>
    </row>
    <row r="24" spans="1:54" hidden="1" x14ac:dyDescent="0.25"/>
    <row r="25" spans="1:54" hidden="1" x14ac:dyDescent="0.25"/>
    <row r="26" spans="1:54" hidden="1" x14ac:dyDescent="0.25">
      <c r="F26" s="3"/>
      <c r="G26" s="3"/>
      <c r="H26" s="3"/>
      <c r="I26" s="3"/>
      <c r="J26" s="3"/>
      <c r="K26" s="3"/>
      <c r="L26" s="3"/>
      <c r="M26" s="3"/>
      <c r="N26" s="3"/>
      <c r="O26" s="3"/>
      <c r="P26" s="3"/>
      <c r="Q26" s="3"/>
      <c r="R26" s="3"/>
      <c r="S26" s="3"/>
      <c r="T26" s="3"/>
      <c r="U26" s="3"/>
      <c r="V26" s="3"/>
      <c r="W26" s="3"/>
      <c r="X26" s="3"/>
      <c r="Y26" s="3"/>
    </row>
    <row r="27" spans="1:54" hidden="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54" ht="16.5"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167"/>
      <c r="AD28" s="192" t="e">
        <f>MATCH(G$30,$AE$1:$AM$1,0)</f>
        <v>#N/A</v>
      </c>
      <c r="AE28" s="192">
        <f t="shared" ref="AE28:AV28" si="0">MATCH(H$30,$AE$1:$AM$1,0)</f>
        <v>4</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54" ht="44.25" customHeight="1" thickBot="1" x14ac:dyDescent="0.3">
      <c r="A29" s="221">
        <v>100</v>
      </c>
      <c r="B29" s="544" t="s">
        <v>132</v>
      </c>
      <c r="C29" s="546">
        <f>COLUMN()</f>
        <v>3</v>
      </c>
      <c r="D29" s="546">
        <f>COLUMN()</f>
        <v>4</v>
      </c>
      <c r="E29" s="546">
        <f>COLUMN()</f>
        <v>5</v>
      </c>
      <c r="F29" s="542" t="s">
        <v>133</v>
      </c>
      <c r="G29" s="542" t="s">
        <v>1095</v>
      </c>
      <c r="H29" s="239" t="s">
        <v>214</v>
      </c>
      <c r="I29" s="232" t="s">
        <v>201</v>
      </c>
      <c r="J29" s="232" t="s">
        <v>202</v>
      </c>
      <c r="K29" s="232" t="s">
        <v>203</v>
      </c>
      <c r="L29" s="232" t="s">
        <v>204</v>
      </c>
      <c r="M29" s="232" t="s">
        <v>205</v>
      </c>
      <c r="N29" s="232" t="s">
        <v>206</v>
      </c>
      <c r="O29" s="232" t="s">
        <v>207</v>
      </c>
      <c r="P29" s="232" t="s">
        <v>117</v>
      </c>
      <c r="Q29" s="546">
        <f>COLUMN()</f>
        <v>17</v>
      </c>
      <c r="R29" s="546">
        <f>COLUMN()</f>
        <v>18</v>
      </c>
      <c r="S29" s="546">
        <f>COLUMN()</f>
        <v>19</v>
      </c>
      <c r="T29" s="542" t="s">
        <v>215</v>
      </c>
      <c r="U29" s="542" t="s">
        <v>197</v>
      </c>
      <c r="V29" s="546" t="s">
        <v>190</v>
      </c>
      <c r="W29" s="546" t="s">
        <v>191</v>
      </c>
      <c r="X29" s="546" t="s">
        <v>190</v>
      </c>
      <c r="Y29" s="546" t="s">
        <v>192</v>
      </c>
      <c r="Z29" s="553" t="s">
        <v>199</v>
      </c>
      <c r="AA29" s="224" t="s">
        <v>159</v>
      </c>
      <c r="AD29" s="192" t="str">
        <f>"בקרת "&amp;G29</f>
        <v>בקרת התקציב השנתי של הקבוצה בשנת התקציב המבוקר</v>
      </c>
      <c r="AE29" s="192" t="str">
        <f>"בקרת "&amp;H29</f>
        <v>בקרת סך הכנסות עצמיות</v>
      </c>
      <c r="AF29" s="192" t="str">
        <f t="shared" ref="AF29:AV29" si="1">"בקרת "&amp;I29</f>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 t="shared" si="1"/>
        <v>בקרת 0/1</v>
      </c>
      <c r="AN29" s="192" t="str">
        <f t="shared" si="1"/>
        <v>בקרת 17</v>
      </c>
      <c r="AO29" s="192" t="str">
        <f t="shared" si="1"/>
        <v>בקרת 18</v>
      </c>
      <c r="AP29" s="192" t="str">
        <f t="shared" si="1"/>
        <v>בקרת 19</v>
      </c>
      <c r="AQ29" s="192" t="str">
        <f t="shared" si="1"/>
        <v>בקרת שיעור הכנסות עצמיות</v>
      </c>
      <c r="AR29" s="192" t="str">
        <f t="shared" si="1"/>
        <v>בקרת סה"כ ניקוד</v>
      </c>
      <c r="AS29" s="192" t="str">
        <f t="shared" si="1"/>
        <v>בקרת נתון למכפיל1</v>
      </c>
      <c r="AT29" s="192" t="str">
        <f t="shared" si="1"/>
        <v>בקרת ניקוד לאחר מכפיל1</v>
      </c>
      <c r="AU29" s="192" t="str">
        <f t="shared" si="1"/>
        <v>בקרת נתון למכפיל1</v>
      </c>
      <c r="AV29" s="192" t="str">
        <f t="shared" si="1"/>
        <v>בקרת ניקוד לאחר מכפיל2</v>
      </c>
      <c r="BA29" s="192" t="s">
        <v>128</v>
      </c>
    </row>
    <row r="30" spans="1:54" ht="23.25" customHeight="1" thickBot="1" x14ac:dyDescent="0.3">
      <c r="A30" s="225"/>
      <c r="B30" s="545"/>
      <c r="C30" s="547"/>
      <c r="D30" s="547"/>
      <c r="E30" s="547"/>
      <c r="F30" s="543"/>
      <c r="G30" s="550"/>
      <c r="H30" s="240" t="s">
        <v>120</v>
      </c>
      <c r="I30" s="233"/>
      <c r="J30" s="233"/>
      <c r="K30" s="233"/>
      <c r="L30" s="233"/>
      <c r="M30" s="233"/>
      <c r="N30" s="233"/>
      <c r="O30" s="233"/>
      <c r="P30" s="233"/>
      <c r="Q30" s="547"/>
      <c r="R30" s="547"/>
      <c r="S30" s="547"/>
      <c r="T30" s="550"/>
      <c r="U30" s="543"/>
      <c r="V30" s="547"/>
      <c r="W30" s="547"/>
      <c r="X30" s="547"/>
      <c r="Y30" s="547"/>
      <c r="Z30" s="554"/>
      <c r="AB30" s="192">
        <v>0</v>
      </c>
      <c r="AC30" s="192">
        <v>1</v>
      </c>
      <c r="AD30" s="192">
        <f>G30</f>
        <v>0</v>
      </c>
      <c r="AE30" s="192" t="str">
        <f>H30</f>
        <v>מספר שאינו שלילי</v>
      </c>
      <c r="AF30" s="192">
        <f t="shared" ref="AF30:AV30" si="2">I30</f>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0</v>
      </c>
      <c r="BB30" s="192">
        <f>AF$4</f>
        <v>0</v>
      </c>
    </row>
    <row r="31" spans="1:54" ht="34.5" customHeight="1" x14ac:dyDescent="0.25">
      <c r="B31" s="160">
        <f>IF(F31="","",ROW()-30)</f>
        <v>1</v>
      </c>
      <c r="C31" s="157"/>
      <c r="D31" s="157"/>
      <c r="E31" s="157"/>
      <c r="F31" s="349" t="str">
        <f>IF('תנאי סף'!AO31&lt;&gt;1,"",'תנאי סף'!F31)</f>
        <v>אנסמבל פרץ אליהו</v>
      </c>
      <c r="G31" s="159">
        <f>IF($F31="","",סיווג!G31)</f>
        <v>159879</v>
      </c>
      <c r="H31" s="176">
        <v>79879</v>
      </c>
      <c r="I31" s="158"/>
      <c r="J31" s="176"/>
      <c r="K31" s="158"/>
      <c r="L31" s="176"/>
      <c r="M31" s="158"/>
      <c r="N31" s="158"/>
      <c r="O31" s="158"/>
      <c r="P31" s="177"/>
      <c r="Q31" s="159"/>
      <c r="R31" s="159"/>
      <c r="S31" s="159"/>
      <c r="T31" s="343">
        <f t="shared" ref="T31:T94" si="3">IF($F31="","",IF($AA31&lt;&gt;1,$AB$1,IF(H31&gt;G31,$AB$1,H31/G31)))</f>
        <v>0.49962158882655006</v>
      </c>
      <c r="U31" s="159">
        <f>IF($F31="","",IF($AA31&lt;&gt;1,$AB$1,IF(H31=0,$G$5,INDEX($G$5:$G$9,MATCH(T31-0.00000000001,$F$5:$F$9,1)))))</f>
        <v>2</v>
      </c>
      <c r="V31" s="159">
        <v>1</v>
      </c>
      <c r="W31" s="159">
        <f>IF($F31="","",IF($AA31&lt;&gt;1,$AB$1,IFERROR(U31*V31,$AB$1)))</f>
        <v>2</v>
      </c>
      <c r="X31" s="159">
        <v>1</v>
      </c>
      <c r="Y31" s="159">
        <f>IF($F31="","",IF($AA31&lt;&gt;1,$AB$1,IFERROR(W31*X31,$AB$1)))</f>
        <v>2</v>
      </c>
      <c r="Z31" s="343">
        <f>IF($F31="","",IF(OR($AA31&lt;&gt;1,Y31=$AB$1),$AB$1,IFERROR(Y31/SUM($Y$31:$Y$130),0)))</f>
        <v>1.2269938650306749E-2</v>
      </c>
      <c r="AA31" s="192">
        <f>IF(SUM(AD31:AV31)=COUNT(AD31:AV31),1,0)</f>
        <v>1</v>
      </c>
      <c r="AB31" s="192">
        <f>IF($F31="","",AB$30)</f>
        <v>0</v>
      </c>
      <c r="AC31" s="192">
        <f>IF($F31="","",AC$30)</f>
        <v>1</v>
      </c>
      <c r="AE31" s="192">
        <f t="shared" ref="AE31:AE45" si="4">IF(H$30="",1,IF(H31="",0,IFERROR(CHOOSE(AE$28,IF(ISNA(MATCH(H31,$AB$30:$AC$30,0)),0,1),IF(ISNUMBER(H31),1,0),IF(H31=TRUNC(H31),1,0),IF(AND(H31*1=H31,H31&gt;=0),1,0),IF(AND(H31=TRUNC(H31),H31&gt;=0),1,0),IF(AND(H31*1=H31,H31&gt;0),1,0),IF(AND(H31=TRUNC(H31),H31&gt;0),1,0),1,IF(ISNA(HLOOKUP(H31,$AE$4:$AN$4,1,0)),0,1)),0)))</f>
        <v>1</v>
      </c>
      <c r="BA31" s="192">
        <f t="shared" ref="BA31:BB50" si="5">IF($F31="","",BA$30)</f>
        <v>0</v>
      </c>
      <c r="BB31" s="192">
        <f t="shared" si="5"/>
        <v>0</v>
      </c>
    </row>
    <row r="32" spans="1:54" ht="24.75" customHeight="1" x14ac:dyDescent="0.25">
      <c r="B32" s="242" t="str">
        <f t="shared" ref="B32:B95" si="6">IF(F32="","",ROW()-30)</f>
        <v/>
      </c>
      <c r="C32" s="4"/>
      <c r="D32" s="4"/>
      <c r="E32" s="4"/>
      <c r="F32" s="350" t="str">
        <f>IF('תנאי סף'!AO32&lt;&gt;1,"",'תנאי סף'!F32)</f>
        <v/>
      </c>
      <c r="G32" s="159" t="str">
        <f>IF($F32="","",סיווג!G32)</f>
        <v/>
      </c>
      <c r="H32" s="5"/>
      <c r="I32" s="6"/>
      <c r="J32" s="5"/>
      <c r="K32" s="6"/>
      <c r="L32" s="5"/>
      <c r="M32" s="6"/>
      <c r="N32" s="6"/>
      <c r="O32" s="158"/>
      <c r="P32" s="177"/>
      <c r="Q32" s="8"/>
      <c r="R32" s="8"/>
      <c r="S32" s="8"/>
      <c r="T32" s="343" t="str">
        <f t="shared" si="3"/>
        <v/>
      </c>
      <c r="U32" s="159" t="str">
        <f t="shared" ref="U32:U95" si="7">IF($F32="","",IF($AA32&lt;&gt;1,$AB$1,IF(H32=0,$G$5,INDEX($G$5:$G$9,MATCH(T32-0.00000000001,$F$5:$F$9,1)))))</f>
        <v/>
      </c>
      <c r="V32" s="8">
        <v>1</v>
      </c>
      <c r="W32" s="8" t="str">
        <f t="shared" ref="W32:W95" si="8">IF($F32="","",IF($AA32&lt;&gt;1,$AB$1,IFERROR(U32*V32,$AB$1)))</f>
        <v/>
      </c>
      <c r="X32" s="8">
        <v>1</v>
      </c>
      <c r="Y32" s="8" t="str">
        <f t="shared" ref="Y32:Y95" si="9">IF($F32="","",IF($AA32&lt;&gt;1,$AB$1,IFERROR(W32*X32,$AB$1)))</f>
        <v/>
      </c>
      <c r="Z32" s="351" t="str">
        <f t="shared" ref="Z32:Z95" si="10">IF($F32="","",IF(OR($AA32&lt;&gt;1,Y32=$AB$1),$AB$1,IFERROR(Y32/SUM($Y$31:$Y$130),0)))</f>
        <v/>
      </c>
      <c r="AA32" s="192">
        <f t="shared" ref="AA32:AA95" si="11">IF(SUM(AD32:AV32)=COUNT(AD32:AV32),1,0)</f>
        <v>0</v>
      </c>
      <c r="AB32" s="192" t="str">
        <f t="shared" ref="AB32:AC63" si="12">IF($F32="","",AB$30)</f>
        <v/>
      </c>
      <c r="AC32" s="192" t="str">
        <f t="shared" si="12"/>
        <v/>
      </c>
      <c r="AE32" s="192">
        <f t="shared" si="4"/>
        <v>0</v>
      </c>
      <c r="BA32" s="192" t="str">
        <f t="shared" si="5"/>
        <v/>
      </c>
      <c r="BB32" s="192" t="str">
        <f t="shared" si="5"/>
        <v/>
      </c>
    </row>
    <row r="33" spans="2:54" ht="25.5" customHeight="1" x14ac:dyDescent="0.25">
      <c r="B33" s="242" t="str">
        <f t="shared" si="6"/>
        <v/>
      </c>
      <c r="C33" s="4"/>
      <c r="D33" s="4"/>
      <c r="E33" s="4"/>
      <c r="F33" s="350" t="str">
        <f>IF('תנאי סף'!AO33&lt;&gt;1,"",'תנאי סף'!F33)</f>
        <v/>
      </c>
      <c r="G33" s="159" t="str">
        <f>IF($F33="","",סיווג!G33)</f>
        <v/>
      </c>
      <c r="H33" s="5"/>
      <c r="I33" s="6"/>
      <c r="J33" s="5"/>
      <c r="K33" s="6"/>
      <c r="L33" s="5"/>
      <c r="M33" s="6"/>
      <c r="N33" s="6"/>
      <c r="O33" s="158"/>
      <c r="P33" s="177"/>
      <c r="Q33" s="8"/>
      <c r="R33" s="8"/>
      <c r="S33" s="8"/>
      <c r="T33" s="343" t="str">
        <f t="shared" si="3"/>
        <v/>
      </c>
      <c r="U33" s="159" t="str">
        <f t="shared" si="7"/>
        <v/>
      </c>
      <c r="V33" s="8">
        <v>1</v>
      </c>
      <c r="W33" s="8" t="str">
        <f t="shared" si="8"/>
        <v/>
      </c>
      <c r="X33" s="8">
        <v>1</v>
      </c>
      <c r="Y33" s="8" t="str">
        <f t="shared" si="9"/>
        <v/>
      </c>
      <c r="Z33" s="351" t="str">
        <f t="shared" si="10"/>
        <v/>
      </c>
      <c r="AA33" s="192">
        <f t="shared" si="11"/>
        <v>0</v>
      </c>
      <c r="AB33" s="192" t="str">
        <f t="shared" si="12"/>
        <v/>
      </c>
      <c r="AC33" s="192" t="str">
        <f t="shared" si="12"/>
        <v/>
      </c>
      <c r="AE33" s="192">
        <f t="shared" si="4"/>
        <v>0</v>
      </c>
      <c r="BA33" s="192" t="str">
        <f t="shared" si="5"/>
        <v/>
      </c>
      <c r="BB33" s="192" t="str">
        <f t="shared" si="5"/>
        <v/>
      </c>
    </row>
    <row r="34" spans="2:54" ht="33" customHeight="1" x14ac:dyDescent="0.25">
      <c r="B34" s="242">
        <f t="shared" si="6"/>
        <v>4</v>
      </c>
      <c r="C34" s="4"/>
      <c r="D34" s="4"/>
      <c r="E34" s="4"/>
      <c r="F34" s="350" t="str">
        <f>IF('תנאי סף'!AO34&lt;&gt;1,"",'תנאי סף'!F34)</f>
        <v>יניב ד'אור - אנסמבל נאיה</v>
      </c>
      <c r="G34" s="159">
        <f>IF($F34="","",סיווג!G34)</f>
        <v>124104</v>
      </c>
      <c r="H34" s="5">
        <v>48542</v>
      </c>
      <c r="I34" s="6"/>
      <c r="J34" s="5"/>
      <c r="K34" s="6"/>
      <c r="L34" s="5"/>
      <c r="M34" s="6"/>
      <c r="N34" s="6"/>
      <c r="O34" s="158"/>
      <c r="P34" s="177"/>
      <c r="Q34" s="8"/>
      <c r="R34" s="8"/>
      <c r="S34" s="8"/>
      <c r="T34" s="343">
        <f t="shared" si="3"/>
        <v>0.39113968929285114</v>
      </c>
      <c r="U34" s="159">
        <f t="shared" si="7"/>
        <v>1</v>
      </c>
      <c r="V34" s="8">
        <v>1</v>
      </c>
      <c r="W34" s="8">
        <f t="shared" si="8"/>
        <v>1</v>
      </c>
      <c r="X34" s="8">
        <v>1</v>
      </c>
      <c r="Y34" s="8">
        <f t="shared" si="9"/>
        <v>1</v>
      </c>
      <c r="Z34" s="351">
        <f t="shared" si="10"/>
        <v>6.1349693251533744E-3</v>
      </c>
      <c r="AA34" s="192">
        <f t="shared" si="11"/>
        <v>1</v>
      </c>
      <c r="AB34" s="192">
        <f t="shared" si="12"/>
        <v>0</v>
      </c>
      <c r="AC34" s="192">
        <f t="shared" si="12"/>
        <v>1</v>
      </c>
      <c r="AE34" s="192">
        <f t="shared" si="4"/>
        <v>1</v>
      </c>
      <c r="BA34" s="192">
        <f t="shared" si="5"/>
        <v>0</v>
      </c>
      <c r="BB34" s="192">
        <f t="shared" si="5"/>
        <v>0</v>
      </c>
    </row>
    <row r="35" spans="2:54" x14ac:dyDescent="0.25">
      <c r="B35" s="242" t="str">
        <f t="shared" si="6"/>
        <v/>
      </c>
      <c r="C35" s="4"/>
      <c r="D35" s="4"/>
      <c r="E35" s="4"/>
      <c r="F35" s="350" t="str">
        <f>IF('תנאי סף'!AO35&lt;&gt;1,"",'תנאי סף'!F35)</f>
        <v/>
      </c>
      <c r="G35" s="159" t="str">
        <f>IF($F35="","",סיווג!G35)</f>
        <v/>
      </c>
      <c r="H35" s="5"/>
      <c r="I35" s="6"/>
      <c r="J35" s="5"/>
      <c r="K35" s="6"/>
      <c r="L35" s="5"/>
      <c r="M35" s="6"/>
      <c r="N35" s="6"/>
      <c r="O35" s="158"/>
      <c r="P35" s="177"/>
      <c r="Q35" s="8"/>
      <c r="R35" s="8"/>
      <c r="S35" s="8"/>
      <c r="T35" s="343" t="str">
        <f t="shared" si="3"/>
        <v/>
      </c>
      <c r="U35" s="159" t="str">
        <f t="shared" si="7"/>
        <v/>
      </c>
      <c r="V35" s="8">
        <v>1</v>
      </c>
      <c r="W35" s="8" t="str">
        <f t="shared" si="8"/>
        <v/>
      </c>
      <c r="X35" s="8">
        <v>1</v>
      </c>
      <c r="Y35" s="8" t="str">
        <f t="shared" si="9"/>
        <v/>
      </c>
      <c r="Z35" s="351" t="str">
        <f t="shared" si="10"/>
        <v/>
      </c>
      <c r="AA35" s="192">
        <f t="shared" si="11"/>
        <v>0</v>
      </c>
      <c r="AB35" s="192" t="str">
        <f t="shared" si="12"/>
        <v/>
      </c>
      <c r="AC35" s="192" t="str">
        <f t="shared" si="12"/>
        <v/>
      </c>
      <c r="AE35" s="192">
        <f t="shared" si="4"/>
        <v>0</v>
      </c>
      <c r="BA35" s="192" t="str">
        <f t="shared" si="5"/>
        <v/>
      </c>
      <c r="BB35" s="192" t="str">
        <f t="shared" si="5"/>
        <v/>
      </c>
    </row>
    <row r="36" spans="2:54" ht="27" customHeight="1" x14ac:dyDescent="0.25">
      <c r="B36" s="242">
        <f t="shared" si="6"/>
        <v>6</v>
      </c>
      <c r="C36" s="4"/>
      <c r="D36" s="4"/>
      <c r="E36" s="4"/>
      <c r="F36" s="350" t="str">
        <f>IF('תנאי סף'!AO36&lt;&gt;1,"",'תנאי סף'!F36)</f>
        <v>הפרויקט הקאמרי הישראלי</v>
      </c>
      <c r="G36" s="159">
        <f>IF($F36="","",סיווג!G36)</f>
        <v>276882</v>
      </c>
      <c r="H36" s="5">
        <v>182060</v>
      </c>
      <c r="I36" s="6"/>
      <c r="J36" s="5"/>
      <c r="K36" s="6"/>
      <c r="L36" s="5"/>
      <c r="M36" s="6"/>
      <c r="N36" s="6"/>
      <c r="O36" s="158"/>
      <c r="P36" s="177"/>
      <c r="Q36" s="8"/>
      <c r="R36" s="8"/>
      <c r="S36" s="8"/>
      <c r="T36" s="343">
        <f t="shared" si="3"/>
        <v>0.6575364234583686</v>
      </c>
      <c r="U36" s="159">
        <f t="shared" si="7"/>
        <v>6</v>
      </c>
      <c r="V36" s="8">
        <v>1</v>
      </c>
      <c r="W36" s="8">
        <f t="shared" si="8"/>
        <v>6</v>
      </c>
      <c r="X36" s="8">
        <v>1</v>
      </c>
      <c r="Y36" s="8">
        <f t="shared" si="9"/>
        <v>6</v>
      </c>
      <c r="Z36" s="351">
        <f t="shared" si="10"/>
        <v>3.6809815950920248E-2</v>
      </c>
      <c r="AA36" s="192">
        <f t="shared" si="11"/>
        <v>1</v>
      </c>
      <c r="AB36" s="192">
        <f t="shared" si="12"/>
        <v>0</v>
      </c>
      <c r="AC36" s="192">
        <f t="shared" si="12"/>
        <v>1</v>
      </c>
      <c r="AE36" s="192">
        <f t="shared" si="4"/>
        <v>1</v>
      </c>
      <c r="BA36" s="192">
        <f t="shared" si="5"/>
        <v>0</v>
      </c>
      <c r="BB36" s="192">
        <f t="shared" si="5"/>
        <v>0</v>
      </c>
    </row>
    <row r="37" spans="2:54" ht="27" customHeight="1" x14ac:dyDescent="0.25">
      <c r="B37" s="242">
        <f t="shared" si="6"/>
        <v>7</v>
      </c>
      <c r="C37" s="4"/>
      <c r="D37" s="4"/>
      <c r="E37" s="4"/>
      <c r="F37" s="350" t="str">
        <f>IF('תנאי סף'!AO37&lt;&gt;1,"",'תנאי סף'!F37)</f>
        <v>מארש דונדורמה</v>
      </c>
      <c r="G37" s="159">
        <f>IF($F37="","",סיווג!G37)</f>
        <v>395082</v>
      </c>
      <c r="H37" s="5">
        <v>305082</v>
      </c>
      <c r="I37" s="6"/>
      <c r="J37" s="5"/>
      <c r="K37" s="6"/>
      <c r="L37" s="5"/>
      <c r="M37" s="6"/>
      <c r="N37" s="6"/>
      <c r="O37" s="158"/>
      <c r="P37" s="177"/>
      <c r="Q37" s="8"/>
      <c r="R37" s="8"/>
      <c r="S37" s="8"/>
      <c r="T37" s="343">
        <f t="shared" si="3"/>
        <v>0.772199189029113</v>
      </c>
      <c r="U37" s="159">
        <f t="shared" si="7"/>
        <v>6</v>
      </c>
      <c r="V37" s="8">
        <v>1</v>
      </c>
      <c r="W37" s="8">
        <f t="shared" si="8"/>
        <v>6</v>
      </c>
      <c r="X37" s="8">
        <v>1</v>
      </c>
      <c r="Y37" s="8">
        <f t="shared" si="9"/>
        <v>6</v>
      </c>
      <c r="Z37" s="351">
        <f t="shared" si="10"/>
        <v>3.6809815950920248E-2</v>
      </c>
      <c r="AA37" s="192">
        <f t="shared" si="11"/>
        <v>1</v>
      </c>
      <c r="AB37" s="192">
        <f t="shared" si="12"/>
        <v>0</v>
      </c>
      <c r="AC37" s="192">
        <f t="shared" si="12"/>
        <v>1</v>
      </c>
      <c r="AE37" s="192">
        <f t="shared" si="4"/>
        <v>1</v>
      </c>
      <c r="BA37" s="192">
        <f t="shared" si="5"/>
        <v>0</v>
      </c>
      <c r="BB37" s="192">
        <f t="shared" si="5"/>
        <v>0</v>
      </c>
    </row>
    <row r="38" spans="2:54" ht="27" customHeight="1" x14ac:dyDescent="0.25">
      <c r="B38" s="242">
        <f t="shared" si="6"/>
        <v>8</v>
      </c>
      <c r="C38" s="4"/>
      <c r="D38" s="4"/>
      <c r="E38" s="4"/>
      <c r="F38" s="350" t="str">
        <f>IF('תנאי סף'!AO38&lt;&gt;1,"",'תנאי סף'!F38)</f>
        <v>להקת מורין נהדר</v>
      </c>
      <c r="G38" s="159">
        <f>IF($F38="","",סיווג!G38)</f>
        <v>44838</v>
      </c>
      <c r="H38" s="5">
        <v>9614</v>
      </c>
      <c r="I38" s="6"/>
      <c r="J38" s="5"/>
      <c r="K38" s="6"/>
      <c r="L38" s="5"/>
      <c r="M38" s="6"/>
      <c r="N38" s="6"/>
      <c r="O38" s="158"/>
      <c r="P38" s="177"/>
      <c r="Q38" s="8"/>
      <c r="R38" s="8"/>
      <c r="S38" s="8"/>
      <c r="T38" s="343">
        <f t="shared" si="3"/>
        <v>0.21441634328025336</v>
      </c>
      <c r="U38" s="159">
        <f t="shared" si="7"/>
        <v>1</v>
      </c>
      <c r="V38" s="8">
        <v>1</v>
      </c>
      <c r="W38" s="8">
        <f t="shared" si="8"/>
        <v>1</v>
      </c>
      <c r="X38" s="8">
        <v>1</v>
      </c>
      <c r="Y38" s="8">
        <f t="shared" si="9"/>
        <v>1</v>
      </c>
      <c r="Z38" s="351">
        <f t="shared" si="10"/>
        <v>6.1349693251533744E-3</v>
      </c>
      <c r="AA38" s="192">
        <f t="shared" si="11"/>
        <v>1</v>
      </c>
      <c r="AB38" s="192">
        <f t="shared" si="12"/>
        <v>0</v>
      </c>
      <c r="AC38" s="192">
        <f t="shared" si="12"/>
        <v>1</v>
      </c>
      <c r="AE38" s="192">
        <f t="shared" si="4"/>
        <v>1</v>
      </c>
      <c r="BA38" s="192">
        <f t="shared" si="5"/>
        <v>0</v>
      </c>
      <c r="BB38" s="192">
        <f t="shared" si="5"/>
        <v>0</v>
      </c>
    </row>
    <row r="39" spans="2:54" x14ac:dyDescent="0.25">
      <c r="B39" s="242" t="str">
        <f t="shared" si="6"/>
        <v/>
      </c>
      <c r="C39" s="4"/>
      <c r="D39" s="4"/>
      <c r="E39" s="4"/>
      <c r="F39" s="350" t="str">
        <f>IF('תנאי סף'!AO39&lt;&gt;1,"",'תנאי סף'!F39)</f>
        <v/>
      </c>
      <c r="G39" s="159" t="str">
        <f>IF($F39="","",סיווג!G39)</f>
        <v/>
      </c>
      <c r="H39" s="5"/>
      <c r="I39" s="6"/>
      <c r="J39" s="5"/>
      <c r="K39" s="6"/>
      <c r="L39" s="5"/>
      <c r="M39" s="6"/>
      <c r="N39" s="6"/>
      <c r="O39" s="158"/>
      <c r="P39" s="177"/>
      <c r="Q39" s="8"/>
      <c r="R39" s="8"/>
      <c r="S39" s="8"/>
      <c r="T39" s="343" t="str">
        <f t="shared" si="3"/>
        <v/>
      </c>
      <c r="U39" s="159" t="str">
        <f t="shared" si="7"/>
        <v/>
      </c>
      <c r="V39" s="8">
        <v>1</v>
      </c>
      <c r="W39" s="8" t="str">
        <f t="shared" si="8"/>
        <v/>
      </c>
      <c r="X39" s="8">
        <v>1</v>
      </c>
      <c r="Y39" s="8" t="str">
        <f t="shared" si="9"/>
        <v/>
      </c>
      <c r="Z39" s="351" t="str">
        <f t="shared" si="10"/>
        <v/>
      </c>
      <c r="AA39" s="192">
        <f t="shared" si="11"/>
        <v>0</v>
      </c>
      <c r="AB39" s="192" t="str">
        <f t="shared" si="12"/>
        <v/>
      </c>
      <c r="AC39" s="192" t="str">
        <f t="shared" si="12"/>
        <v/>
      </c>
      <c r="AE39" s="192">
        <f t="shared" si="4"/>
        <v>0</v>
      </c>
      <c r="BA39" s="192" t="str">
        <f t="shared" si="5"/>
        <v/>
      </c>
      <c r="BB39" s="192" t="str">
        <f t="shared" si="5"/>
        <v/>
      </c>
    </row>
    <row r="40" spans="2:54" ht="27" customHeight="1" x14ac:dyDescent="0.25">
      <c r="B40" s="243">
        <f t="shared" si="6"/>
        <v>10</v>
      </c>
      <c r="C40" s="365"/>
      <c r="D40" s="365"/>
      <c r="E40" s="365"/>
      <c r="F40" s="366" t="str">
        <f>IF('תנאי סף'!AO40&lt;&gt;1,"",'תנאי סף'!F40)</f>
        <v>אנסמבל גלעד אפרת</v>
      </c>
      <c r="G40" s="159">
        <f>IF($F40="","",סיווג!G40)</f>
        <v>147011</v>
      </c>
      <c r="H40" s="368">
        <v>92011</v>
      </c>
      <c r="I40" s="367"/>
      <c r="J40" s="368"/>
      <c r="K40" s="367"/>
      <c r="L40" s="368"/>
      <c r="M40" s="367"/>
      <c r="N40" s="367"/>
      <c r="O40" s="412"/>
      <c r="P40" s="413"/>
      <c r="Q40" s="369"/>
      <c r="R40" s="369"/>
      <c r="S40" s="369"/>
      <c r="T40" s="343">
        <f t="shared" si="3"/>
        <v>0.62587833563474837</v>
      </c>
      <c r="U40" s="159">
        <f t="shared" si="7"/>
        <v>6</v>
      </c>
      <c r="V40" s="369">
        <v>1</v>
      </c>
      <c r="W40" s="369">
        <f t="shared" si="8"/>
        <v>6</v>
      </c>
      <c r="X40" s="369">
        <v>1</v>
      </c>
      <c r="Y40" s="369">
        <f t="shared" si="9"/>
        <v>6</v>
      </c>
      <c r="Z40" s="370">
        <f t="shared" si="10"/>
        <v>3.6809815950920248E-2</v>
      </c>
      <c r="AA40" s="192">
        <f t="shared" si="11"/>
        <v>1</v>
      </c>
      <c r="AB40" s="192">
        <f t="shared" si="12"/>
        <v>0</v>
      </c>
      <c r="AC40" s="192">
        <f t="shared" si="12"/>
        <v>1</v>
      </c>
      <c r="AE40" s="192">
        <f t="shared" si="4"/>
        <v>1</v>
      </c>
      <c r="BA40" s="192">
        <f t="shared" si="5"/>
        <v>0</v>
      </c>
      <c r="BB40" s="192">
        <f t="shared" si="5"/>
        <v>0</v>
      </c>
    </row>
    <row r="41" spans="2:54" ht="30.75" customHeight="1" x14ac:dyDescent="0.25">
      <c r="B41" s="7">
        <f t="shared" si="6"/>
        <v>11</v>
      </c>
      <c r="C41" s="4"/>
      <c r="D41" s="4"/>
      <c r="E41" s="4"/>
      <c r="F41" s="350" t="str">
        <f>IF('תנאי סף'!AO41&lt;&gt;1,"",'תנאי סף'!F41)</f>
        <v>רביעיית כרמל</v>
      </c>
      <c r="G41" s="159">
        <f>IF($F41="","",סיווג!G41)</f>
        <v>393861</v>
      </c>
      <c r="H41" s="5">
        <v>274473</v>
      </c>
      <c r="I41" s="6"/>
      <c r="J41" s="5"/>
      <c r="K41" s="6"/>
      <c r="L41" s="5"/>
      <c r="M41" s="6"/>
      <c r="N41" s="6"/>
      <c r="O41" s="158"/>
      <c r="P41" s="177"/>
      <c r="Q41" s="8"/>
      <c r="R41" s="8"/>
      <c r="S41" s="8"/>
      <c r="T41" s="343">
        <f t="shared" si="3"/>
        <v>0.69687783253482827</v>
      </c>
      <c r="U41" s="159">
        <f t="shared" si="7"/>
        <v>6</v>
      </c>
      <c r="V41" s="8">
        <v>1</v>
      </c>
      <c r="W41" s="8">
        <f t="shared" si="8"/>
        <v>6</v>
      </c>
      <c r="X41" s="8">
        <v>1</v>
      </c>
      <c r="Y41" s="8">
        <f t="shared" si="9"/>
        <v>6</v>
      </c>
      <c r="Z41" s="352">
        <f t="shared" si="10"/>
        <v>3.6809815950920248E-2</v>
      </c>
      <c r="AA41" s="192">
        <f t="shared" si="11"/>
        <v>1</v>
      </c>
      <c r="AB41" s="192">
        <f t="shared" si="12"/>
        <v>0</v>
      </c>
      <c r="AC41" s="192">
        <f t="shared" si="12"/>
        <v>1</v>
      </c>
      <c r="AE41" s="192">
        <f t="shared" si="4"/>
        <v>1</v>
      </c>
      <c r="BA41" s="192">
        <f t="shared" si="5"/>
        <v>0</v>
      </c>
      <c r="BB41" s="192">
        <f t="shared" si="5"/>
        <v>0</v>
      </c>
    </row>
    <row r="42" spans="2:54" ht="28.5" customHeight="1" x14ac:dyDescent="0.25">
      <c r="B42" s="7">
        <f t="shared" si="6"/>
        <v>12</v>
      </c>
      <c r="C42" s="4"/>
      <c r="D42" s="4"/>
      <c r="E42" s="4"/>
      <c r="F42" s="350" t="str">
        <f>IF('תנאי סף'!AO42&lt;&gt;1,"",'תנאי סף'!F42)</f>
        <v>שורולה</v>
      </c>
      <c r="G42" s="159">
        <f>IF($F42="","",סיווג!G42)</f>
        <v>81986</v>
      </c>
      <c r="H42" s="5">
        <v>47801</v>
      </c>
      <c r="I42" s="6"/>
      <c r="J42" s="5"/>
      <c r="K42" s="6"/>
      <c r="L42" s="5"/>
      <c r="M42" s="6"/>
      <c r="N42" s="6"/>
      <c r="O42" s="158"/>
      <c r="P42" s="177"/>
      <c r="Q42" s="8"/>
      <c r="R42" s="8"/>
      <c r="S42" s="8"/>
      <c r="T42" s="343">
        <f t="shared" si="3"/>
        <v>0.58303856756031514</v>
      </c>
      <c r="U42" s="159">
        <f t="shared" si="7"/>
        <v>4</v>
      </c>
      <c r="V42" s="8">
        <v>1</v>
      </c>
      <c r="W42" s="8">
        <f t="shared" si="8"/>
        <v>4</v>
      </c>
      <c r="X42" s="8">
        <v>1</v>
      </c>
      <c r="Y42" s="8">
        <f t="shared" si="9"/>
        <v>4</v>
      </c>
      <c r="Z42" s="352">
        <f t="shared" si="10"/>
        <v>2.4539877300613498E-2</v>
      </c>
      <c r="AA42" s="192">
        <f t="shared" si="11"/>
        <v>1</v>
      </c>
      <c r="AB42" s="192">
        <f t="shared" si="12"/>
        <v>0</v>
      </c>
      <c r="AC42" s="192">
        <f t="shared" si="12"/>
        <v>1</v>
      </c>
      <c r="AE42" s="192">
        <f t="shared" si="4"/>
        <v>1</v>
      </c>
      <c r="BA42" s="192">
        <f t="shared" si="5"/>
        <v>0</v>
      </c>
      <c r="BB42" s="192">
        <f t="shared" si="5"/>
        <v>0</v>
      </c>
    </row>
    <row r="43" spans="2:54" ht="20.25" customHeight="1" x14ac:dyDescent="0.25">
      <c r="B43" s="7" t="str">
        <f t="shared" si="6"/>
        <v/>
      </c>
      <c r="C43" s="4"/>
      <c r="D43" s="4"/>
      <c r="E43" s="4"/>
      <c r="F43" s="350" t="str">
        <f>IF('תנאי סף'!AO43&lt;&gt;1,"",'תנאי סף'!F43)</f>
        <v/>
      </c>
      <c r="G43" s="159" t="str">
        <f>IF($F43="","",סיווג!G43)</f>
        <v/>
      </c>
      <c r="H43" s="5"/>
      <c r="I43" s="6"/>
      <c r="J43" s="5"/>
      <c r="K43" s="6"/>
      <c r="L43" s="5"/>
      <c r="M43" s="6"/>
      <c r="N43" s="6"/>
      <c r="O43" s="158"/>
      <c r="P43" s="177"/>
      <c r="Q43" s="8"/>
      <c r="R43" s="8"/>
      <c r="S43" s="8"/>
      <c r="T43" s="343" t="str">
        <f t="shared" si="3"/>
        <v/>
      </c>
      <c r="U43" s="159" t="str">
        <f t="shared" si="7"/>
        <v/>
      </c>
      <c r="V43" s="8">
        <v>1</v>
      </c>
      <c r="W43" s="8" t="str">
        <f t="shared" si="8"/>
        <v/>
      </c>
      <c r="X43" s="8">
        <v>1</v>
      </c>
      <c r="Y43" s="8" t="str">
        <f t="shared" si="9"/>
        <v/>
      </c>
      <c r="Z43" s="352" t="str">
        <f t="shared" si="10"/>
        <v/>
      </c>
      <c r="AA43" s="192">
        <f t="shared" si="11"/>
        <v>0</v>
      </c>
      <c r="AB43" s="192" t="str">
        <f t="shared" si="12"/>
        <v/>
      </c>
      <c r="AC43" s="192" t="str">
        <f t="shared" si="12"/>
        <v/>
      </c>
      <c r="AE43" s="192">
        <f t="shared" si="4"/>
        <v>0</v>
      </c>
      <c r="BA43" s="192" t="str">
        <f t="shared" si="5"/>
        <v/>
      </c>
      <c r="BB43" s="192" t="str">
        <f t="shared" si="5"/>
        <v/>
      </c>
    </row>
    <row r="44" spans="2:54" ht="20.25" customHeight="1" x14ac:dyDescent="0.25">
      <c r="B44" s="7" t="str">
        <f t="shared" si="6"/>
        <v/>
      </c>
      <c r="C44" s="4"/>
      <c r="D44" s="4"/>
      <c r="E44" s="4"/>
      <c r="F44" s="350" t="str">
        <f>IF('תנאי סף'!AO44&lt;&gt;1,"",'תנאי סף'!F44)</f>
        <v/>
      </c>
      <c r="G44" s="159" t="str">
        <f>IF($F44="","",סיווג!G44)</f>
        <v/>
      </c>
      <c r="H44" s="5"/>
      <c r="I44" s="6"/>
      <c r="J44" s="5"/>
      <c r="K44" s="6"/>
      <c r="L44" s="5"/>
      <c r="M44" s="6"/>
      <c r="N44" s="6"/>
      <c r="O44" s="158"/>
      <c r="P44" s="177"/>
      <c r="Q44" s="8"/>
      <c r="R44" s="8"/>
      <c r="S44" s="8"/>
      <c r="T44" s="343" t="str">
        <f t="shared" si="3"/>
        <v/>
      </c>
      <c r="U44" s="159" t="str">
        <f t="shared" si="7"/>
        <v/>
      </c>
      <c r="V44" s="8">
        <v>1</v>
      </c>
      <c r="W44" s="8" t="str">
        <f t="shared" si="8"/>
        <v/>
      </c>
      <c r="X44" s="8">
        <v>1</v>
      </c>
      <c r="Y44" s="8" t="str">
        <f t="shared" si="9"/>
        <v/>
      </c>
      <c r="Z44" s="352" t="str">
        <f t="shared" si="10"/>
        <v/>
      </c>
      <c r="AA44" s="192">
        <f t="shared" si="11"/>
        <v>0</v>
      </c>
      <c r="AB44" s="192" t="str">
        <f t="shared" si="12"/>
        <v/>
      </c>
      <c r="AC44" s="192" t="str">
        <f t="shared" si="12"/>
        <v/>
      </c>
      <c r="AE44" s="192">
        <f t="shared" si="4"/>
        <v>0</v>
      </c>
      <c r="BA44" s="192" t="str">
        <f t="shared" si="5"/>
        <v/>
      </c>
      <c r="BB44" s="192" t="str">
        <f t="shared" si="5"/>
        <v/>
      </c>
    </row>
    <row r="45" spans="2:54" ht="37.5" customHeight="1" x14ac:dyDescent="0.25">
      <c r="B45" s="7" t="str">
        <f t="shared" si="6"/>
        <v/>
      </c>
      <c r="C45" s="4"/>
      <c r="D45" s="4"/>
      <c r="E45" s="4"/>
      <c r="F45" s="350" t="str">
        <f>IF('תנאי סף'!AO45&lt;&gt;1,"",'תנאי סף'!F45)</f>
        <v/>
      </c>
      <c r="G45" s="159" t="str">
        <f>IF($F45="","",סיווג!G45)</f>
        <v/>
      </c>
      <c r="H45" s="5"/>
      <c r="I45" s="6"/>
      <c r="J45" s="5"/>
      <c r="K45" s="6"/>
      <c r="L45" s="5"/>
      <c r="M45" s="6"/>
      <c r="N45" s="6"/>
      <c r="O45" s="158"/>
      <c r="P45" s="177"/>
      <c r="Q45" s="8"/>
      <c r="R45" s="8"/>
      <c r="S45" s="8"/>
      <c r="T45" s="343" t="str">
        <f t="shared" si="3"/>
        <v/>
      </c>
      <c r="U45" s="159" t="str">
        <f t="shared" si="7"/>
        <v/>
      </c>
      <c r="V45" s="8">
        <v>1</v>
      </c>
      <c r="W45" s="8" t="str">
        <f t="shared" si="8"/>
        <v/>
      </c>
      <c r="X45" s="8">
        <v>1</v>
      </c>
      <c r="Y45" s="8" t="str">
        <f t="shared" si="9"/>
        <v/>
      </c>
      <c r="Z45" s="352" t="str">
        <f t="shared" si="10"/>
        <v/>
      </c>
      <c r="AA45" s="192">
        <f t="shared" si="11"/>
        <v>0</v>
      </c>
      <c r="AB45" s="192" t="str">
        <f t="shared" si="12"/>
        <v/>
      </c>
      <c r="AC45" s="192" t="str">
        <f t="shared" si="12"/>
        <v/>
      </c>
      <c r="AE45" s="192">
        <f t="shared" si="4"/>
        <v>0</v>
      </c>
      <c r="BA45" s="192" t="str">
        <f t="shared" si="5"/>
        <v/>
      </c>
      <c r="BB45" s="192" t="str">
        <f t="shared" si="5"/>
        <v/>
      </c>
    </row>
    <row r="46" spans="2:54" ht="39" customHeight="1" x14ac:dyDescent="0.25">
      <c r="B46" s="7" t="str">
        <f t="shared" si="6"/>
        <v/>
      </c>
      <c r="C46" s="4"/>
      <c r="D46" s="4"/>
      <c r="E46" s="4"/>
      <c r="F46" s="350" t="str">
        <f>IF('תנאי סף'!AO46&lt;&gt;1,"",'תנאי סף'!F46)</f>
        <v/>
      </c>
      <c r="G46" s="159" t="str">
        <f>IF($F46="","",סיווג!G46)</f>
        <v/>
      </c>
      <c r="H46" s="5"/>
      <c r="I46" s="6"/>
      <c r="J46" s="5"/>
      <c r="K46" s="6"/>
      <c r="L46" s="5"/>
      <c r="M46" s="6"/>
      <c r="N46" s="6"/>
      <c r="O46" s="158"/>
      <c r="P46" s="177"/>
      <c r="Q46" s="8"/>
      <c r="R46" s="8"/>
      <c r="S46" s="8"/>
      <c r="T46" s="343" t="str">
        <f t="shared" si="3"/>
        <v/>
      </c>
      <c r="U46" s="159" t="str">
        <f t="shared" si="7"/>
        <v/>
      </c>
      <c r="V46" s="8">
        <v>1</v>
      </c>
      <c r="W46" s="8" t="str">
        <f t="shared" si="8"/>
        <v/>
      </c>
      <c r="X46" s="8">
        <v>1</v>
      </c>
      <c r="Y46" s="8" t="str">
        <f t="shared" si="9"/>
        <v/>
      </c>
      <c r="Z46" s="352" t="str">
        <f t="shared" si="10"/>
        <v/>
      </c>
      <c r="AA46" s="192">
        <f t="shared" si="11"/>
        <v>0</v>
      </c>
      <c r="AB46" s="192" t="str">
        <f t="shared" si="12"/>
        <v/>
      </c>
      <c r="AC46" s="192" t="str">
        <f t="shared" si="12"/>
        <v/>
      </c>
      <c r="AE46" s="192">
        <f t="shared" ref="AE46:AE109" si="13">IF(H$30="",1,IF(H46="",0,IFERROR(CHOOSE(AE$28,IF(ISNA(MATCH(H46,$AB$30:$AC$30,0)),0,1),IF(ISNUMBER(H46),1,0),IF(H46=TRUNC(H46),1,0),IF(AND(H46*1=H46,H46&gt;=0),1,0),IF(AND(H46=TRUNC(H46),H46&gt;=0),1,0),IF(AND(H46*1=H46,H46&gt;0),1,0),IF(AND(H46=TRUNC(H46),H46&gt;0),1,0),1,IF(ISNA(HLOOKUP(H46,$AE$4:$AN$4,1,0)),0,1)),0)))</f>
        <v>0</v>
      </c>
      <c r="BA46" s="192" t="str">
        <f t="shared" si="5"/>
        <v/>
      </c>
      <c r="BB46" s="192" t="str">
        <f t="shared" si="5"/>
        <v/>
      </c>
    </row>
    <row r="47" spans="2:54" ht="26.25" customHeight="1" x14ac:dyDescent="0.25">
      <c r="B47" s="7">
        <f t="shared" si="6"/>
        <v>17</v>
      </c>
      <c r="C47" s="4"/>
      <c r="D47" s="4"/>
      <c r="E47" s="4"/>
      <c r="F47" s="350" t="str">
        <f>IF('תנאי סף'!AO47&lt;&gt;1,"",'תנאי סף'!F47)</f>
        <v>הרכב עמית פרידמן</v>
      </c>
      <c r="G47" s="159">
        <f>IF($F47="","",סיווג!G47)</f>
        <v>108363</v>
      </c>
      <c r="H47" s="5">
        <v>56363</v>
      </c>
      <c r="I47" s="6"/>
      <c r="J47" s="5"/>
      <c r="K47" s="6"/>
      <c r="L47" s="5"/>
      <c r="M47" s="6"/>
      <c r="N47" s="6"/>
      <c r="O47" s="158"/>
      <c r="P47" s="177"/>
      <c r="Q47" s="8"/>
      <c r="R47" s="8"/>
      <c r="S47" s="8"/>
      <c r="T47" s="343">
        <f t="shared" si="3"/>
        <v>0.52013141016767717</v>
      </c>
      <c r="U47" s="159">
        <f t="shared" si="7"/>
        <v>4</v>
      </c>
      <c r="V47" s="8">
        <v>1</v>
      </c>
      <c r="W47" s="8">
        <f t="shared" si="8"/>
        <v>4</v>
      </c>
      <c r="X47" s="8">
        <v>1</v>
      </c>
      <c r="Y47" s="8">
        <f t="shared" si="9"/>
        <v>4</v>
      </c>
      <c r="Z47" s="352">
        <f t="shared" si="10"/>
        <v>2.4539877300613498E-2</v>
      </c>
      <c r="AA47" s="192">
        <f t="shared" si="11"/>
        <v>1</v>
      </c>
      <c r="AB47" s="192">
        <f t="shared" si="12"/>
        <v>0</v>
      </c>
      <c r="AC47" s="192">
        <f t="shared" si="12"/>
        <v>1</v>
      </c>
      <c r="AE47" s="192">
        <f t="shared" si="13"/>
        <v>1</v>
      </c>
      <c r="BA47" s="192">
        <f t="shared" si="5"/>
        <v>0</v>
      </c>
      <c r="BB47" s="192">
        <f t="shared" si="5"/>
        <v>0</v>
      </c>
    </row>
    <row r="48" spans="2:54" ht="21.75" customHeight="1" x14ac:dyDescent="0.25">
      <c r="B48" s="7" t="str">
        <f t="shared" si="6"/>
        <v/>
      </c>
      <c r="C48" s="4"/>
      <c r="D48" s="4"/>
      <c r="E48" s="4"/>
      <c r="F48" s="350" t="str">
        <f>IF('תנאי סף'!AO48&lt;&gt;1,"",'תנאי סף'!F48)</f>
        <v/>
      </c>
      <c r="G48" s="159" t="str">
        <f>IF($F48="","",סיווג!G48)</f>
        <v/>
      </c>
      <c r="H48" s="5"/>
      <c r="I48" s="6"/>
      <c r="J48" s="5"/>
      <c r="K48" s="6"/>
      <c r="L48" s="5"/>
      <c r="M48" s="6"/>
      <c r="N48" s="6"/>
      <c r="O48" s="158"/>
      <c r="P48" s="177"/>
      <c r="Q48" s="8"/>
      <c r="R48" s="8"/>
      <c r="S48" s="8"/>
      <c r="T48" s="343" t="str">
        <f t="shared" si="3"/>
        <v/>
      </c>
      <c r="U48" s="159" t="str">
        <f t="shared" si="7"/>
        <v/>
      </c>
      <c r="V48" s="8">
        <v>1</v>
      </c>
      <c r="W48" s="8" t="str">
        <f t="shared" si="8"/>
        <v/>
      </c>
      <c r="X48" s="8">
        <v>1</v>
      </c>
      <c r="Y48" s="8" t="str">
        <f t="shared" si="9"/>
        <v/>
      </c>
      <c r="Z48" s="352" t="str">
        <f t="shared" si="10"/>
        <v/>
      </c>
      <c r="AA48" s="192">
        <f t="shared" si="11"/>
        <v>0</v>
      </c>
      <c r="AB48" s="192" t="str">
        <f t="shared" si="12"/>
        <v/>
      </c>
      <c r="AC48" s="192" t="str">
        <f t="shared" si="12"/>
        <v/>
      </c>
      <c r="AE48" s="192">
        <f t="shared" si="13"/>
        <v>0</v>
      </c>
      <c r="BA48" s="192" t="str">
        <f t="shared" si="5"/>
        <v/>
      </c>
      <c r="BB48" s="192" t="str">
        <f t="shared" si="5"/>
        <v/>
      </c>
    </row>
    <row r="49" spans="2:54" ht="21.75" customHeight="1" x14ac:dyDescent="0.25">
      <c r="B49" s="7" t="str">
        <f t="shared" si="6"/>
        <v/>
      </c>
      <c r="C49" s="4"/>
      <c r="D49" s="4"/>
      <c r="E49" s="4"/>
      <c r="F49" s="350" t="str">
        <f>IF('תנאי סף'!AO49&lt;&gt;1,"",'תנאי סף'!F49)</f>
        <v/>
      </c>
      <c r="G49" s="159" t="str">
        <f>IF($F49="","",סיווג!G49)</f>
        <v/>
      </c>
      <c r="H49" s="5"/>
      <c r="I49" s="6"/>
      <c r="J49" s="5"/>
      <c r="K49" s="6"/>
      <c r="L49" s="5"/>
      <c r="M49" s="6"/>
      <c r="N49" s="6"/>
      <c r="O49" s="158"/>
      <c r="P49" s="177"/>
      <c r="Q49" s="8"/>
      <c r="R49" s="8"/>
      <c r="S49" s="8"/>
      <c r="T49" s="343" t="str">
        <f t="shared" si="3"/>
        <v/>
      </c>
      <c r="U49" s="159" t="str">
        <f t="shared" si="7"/>
        <v/>
      </c>
      <c r="V49" s="8">
        <v>1</v>
      </c>
      <c r="W49" s="8" t="str">
        <f t="shared" si="8"/>
        <v/>
      </c>
      <c r="X49" s="8">
        <v>1</v>
      </c>
      <c r="Y49" s="8" t="str">
        <f t="shared" si="9"/>
        <v/>
      </c>
      <c r="Z49" s="352" t="str">
        <f t="shared" si="10"/>
        <v/>
      </c>
      <c r="AA49" s="192">
        <f t="shared" si="11"/>
        <v>0</v>
      </c>
      <c r="AB49" s="192" t="str">
        <f t="shared" si="12"/>
        <v/>
      </c>
      <c r="AC49" s="192" t="str">
        <f t="shared" si="12"/>
        <v/>
      </c>
      <c r="AE49" s="192">
        <f t="shared" si="13"/>
        <v>0</v>
      </c>
      <c r="BA49" s="192" t="str">
        <f t="shared" si="5"/>
        <v/>
      </c>
      <c r="BB49" s="192" t="str">
        <f t="shared" si="5"/>
        <v/>
      </c>
    </row>
    <row r="50" spans="2:54" ht="21.75" customHeight="1" x14ac:dyDescent="0.25">
      <c r="B50" s="7" t="str">
        <f t="shared" si="6"/>
        <v/>
      </c>
      <c r="C50" s="4"/>
      <c r="D50" s="4"/>
      <c r="E50" s="4"/>
      <c r="F50" s="350" t="str">
        <f>IF('תנאי סף'!AO50&lt;&gt;1,"",'תנאי סף'!F50)</f>
        <v/>
      </c>
      <c r="G50" s="159" t="str">
        <f>IF($F50="","",סיווג!G50)</f>
        <v/>
      </c>
      <c r="H50" s="5"/>
      <c r="I50" s="6"/>
      <c r="J50" s="5"/>
      <c r="K50" s="6"/>
      <c r="L50" s="5"/>
      <c r="M50" s="6"/>
      <c r="N50" s="6"/>
      <c r="O50" s="158"/>
      <c r="P50" s="177"/>
      <c r="Q50" s="8"/>
      <c r="R50" s="8"/>
      <c r="S50" s="8"/>
      <c r="T50" s="343" t="str">
        <f t="shared" si="3"/>
        <v/>
      </c>
      <c r="U50" s="159" t="str">
        <f t="shared" si="7"/>
        <v/>
      </c>
      <c r="V50" s="8">
        <v>1</v>
      </c>
      <c r="W50" s="8" t="str">
        <f t="shared" si="8"/>
        <v/>
      </c>
      <c r="X50" s="8">
        <v>1</v>
      </c>
      <c r="Y50" s="8" t="str">
        <f t="shared" si="9"/>
        <v/>
      </c>
      <c r="Z50" s="352" t="str">
        <f t="shared" si="10"/>
        <v/>
      </c>
      <c r="AA50" s="192">
        <f t="shared" si="11"/>
        <v>0</v>
      </c>
      <c r="AB50" s="192" t="str">
        <f t="shared" si="12"/>
        <v/>
      </c>
      <c r="AC50" s="192" t="str">
        <f t="shared" si="12"/>
        <v/>
      </c>
      <c r="AE50" s="192">
        <f t="shared" si="13"/>
        <v>0</v>
      </c>
      <c r="BA50" s="192" t="str">
        <f t="shared" si="5"/>
        <v/>
      </c>
      <c r="BB50" s="192" t="str">
        <f t="shared" si="5"/>
        <v/>
      </c>
    </row>
    <row r="51" spans="2:54" ht="34.5" customHeight="1" x14ac:dyDescent="0.25">
      <c r="B51" s="7">
        <f t="shared" si="6"/>
        <v>21</v>
      </c>
      <c r="C51" s="4"/>
      <c r="D51" s="4"/>
      <c r="E51" s="4"/>
      <c r="F51" s="350" t="str">
        <f>IF('תנאי סף'!AO51&lt;&gt;1,"",'תנאי סף'!F51)</f>
        <v>חמישיית תל אביב לכלי נשיפה</v>
      </c>
      <c r="G51" s="159">
        <f>IF($F51="","",סיווג!G51)</f>
        <v>321375</v>
      </c>
      <c r="H51" s="5">
        <v>256375</v>
      </c>
      <c r="I51" s="6"/>
      <c r="J51" s="5"/>
      <c r="K51" s="6"/>
      <c r="L51" s="5"/>
      <c r="M51" s="6"/>
      <c r="N51" s="6"/>
      <c r="O51" s="158"/>
      <c r="P51" s="177"/>
      <c r="Q51" s="8"/>
      <c r="R51" s="8"/>
      <c r="S51" s="8"/>
      <c r="T51" s="343">
        <f t="shared" si="3"/>
        <v>0.79774406845585377</v>
      </c>
      <c r="U51" s="159">
        <f t="shared" si="7"/>
        <v>6</v>
      </c>
      <c r="V51" s="8">
        <v>1</v>
      </c>
      <c r="W51" s="8">
        <f t="shared" si="8"/>
        <v>6</v>
      </c>
      <c r="X51" s="8">
        <v>1</v>
      </c>
      <c r="Y51" s="8">
        <f t="shared" si="9"/>
        <v>6</v>
      </c>
      <c r="Z51" s="352">
        <f t="shared" si="10"/>
        <v>3.6809815950920248E-2</v>
      </c>
      <c r="AA51" s="192">
        <f t="shared" si="11"/>
        <v>1</v>
      </c>
      <c r="AB51" s="192">
        <f t="shared" si="12"/>
        <v>0</v>
      </c>
      <c r="AC51" s="192">
        <f t="shared" si="12"/>
        <v>1</v>
      </c>
      <c r="AE51" s="192">
        <f t="shared" si="13"/>
        <v>1</v>
      </c>
      <c r="BA51" s="192">
        <f t="shared" ref="BA51:BB70" si="14">IF($F51="","",BA$30)</f>
        <v>0</v>
      </c>
      <c r="BB51" s="192">
        <f t="shared" si="14"/>
        <v>0</v>
      </c>
    </row>
    <row r="52" spans="2:54" ht="31.5" customHeight="1" x14ac:dyDescent="0.25">
      <c r="B52" s="7">
        <f t="shared" si="6"/>
        <v>22</v>
      </c>
      <c r="C52" s="4"/>
      <c r="D52" s="4"/>
      <c r="E52" s="4"/>
      <c r="F52" s="350" t="str">
        <f>IF('תנאי סף'!AO52&lt;&gt;1,"",'תנאי סף'!F52)</f>
        <v>הרכב אקוט</v>
      </c>
      <c r="G52" s="159">
        <f>IF($F52="","",סיווג!G52)</f>
        <v>290193</v>
      </c>
      <c r="H52" s="5">
        <v>171639</v>
      </c>
      <c r="I52" s="6"/>
      <c r="J52" s="5"/>
      <c r="K52" s="6"/>
      <c r="L52" s="5"/>
      <c r="M52" s="6"/>
      <c r="N52" s="6"/>
      <c r="O52" s="158"/>
      <c r="P52" s="177"/>
      <c r="Q52" s="8"/>
      <c r="R52" s="8"/>
      <c r="S52" s="8"/>
      <c r="T52" s="343">
        <f t="shared" si="3"/>
        <v>0.59146499054077806</v>
      </c>
      <c r="U52" s="159">
        <f t="shared" si="7"/>
        <v>4</v>
      </c>
      <c r="V52" s="8">
        <v>1</v>
      </c>
      <c r="W52" s="8">
        <f t="shared" si="8"/>
        <v>4</v>
      </c>
      <c r="X52" s="8">
        <v>1</v>
      </c>
      <c r="Y52" s="8">
        <f t="shared" si="9"/>
        <v>4</v>
      </c>
      <c r="Z52" s="352">
        <f t="shared" si="10"/>
        <v>2.4539877300613498E-2</v>
      </c>
      <c r="AA52" s="192">
        <f t="shared" si="11"/>
        <v>1</v>
      </c>
      <c r="AB52" s="192">
        <f t="shared" si="12"/>
        <v>0</v>
      </c>
      <c r="AC52" s="192">
        <f t="shared" si="12"/>
        <v>1</v>
      </c>
      <c r="AE52" s="192">
        <f t="shared" si="13"/>
        <v>1</v>
      </c>
      <c r="BA52" s="192">
        <f t="shared" si="14"/>
        <v>0</v>
      </c>
      <c r="BB52" s="192">
        <f t="shared" si="14"/>
        <v>0</v>
      </c>
    </row>
    <row r="53" spans="2:54" ht="21.75" customHeight="1" x14ac:dyDescent="0.25">
      <c r="B53" s="7">
        <f t="shared" si="6"/>
        <v>23</v>
      </c>
      <c r="C53" s="4"/>
      <c r="D53" s="4"/>
      <c r="E53" s="4"/>
      <c r="F53" s="350" t="str">
        <f>IF('תנאי סף'!AO53&lt;&gt;1,"",'תנאי סף'!F53)</f>
        <v>שלישיית עתר</v>
      </c>
      <c r="G53" s="159">
        <f>IF($F53="","",סיווג!G53)</f>
        <v>83561</v>
      </c>
      <c r="H53" s="5">
        <v>33561</v>
      </c>
      <c r="I53" s="6"/>
      <c r="J53" s="5"/>
      <c r="K53" s="6"/>
      <c r="L53" s="5"/>
      <c r="M53" s="6"/>
      <c r="N53" s="6"/>
      <c r="O53" s="158"/>
      <c r="P53" s="177"/>
      <c r="Q53" s="8"/>
      <c r="R53" s="8"/>
      <c r="S53" s="8"/>
      <c r="T53" s="343">
        <f t="shared" si="3"/>
        <v>0.40163473390696619</v>
      </c>
      <c r="U53" s="159">
        <f t="shared" si="7"/>
        <v>2</v>
      </c>
      <c r="V53" s="8">
        <v>1</v>
      </c>
      <c r="W53" s="8">
        <f t="shared" si="8"/>
        <v>2</v>
      </c>
      <c r="X53" s="8">
        <v>1</v>
      </c>
      <c r="Y53" s="8">
        <f t="shared" si="9"/>
        <v>2</v>
      </c>
      <c r="Z53" s="352">
        <f t="shared" si="10"/>
        <v>1.2269938650306749E-2</v>
      </c>
      <c r="AA53" s="192">
        <f t="shared" si="11"/>
        <v>1</v>
      </c>
      <c r="AB53" s="192">
        <f t="shared" si="12"/>
        <v>0</v>
      </c>
      <c r="AC53" s="192">
        <f t="shared" si="12"/>
        <v>1</v>
      </c>
      <c r="AE53" s="192">
        <f t="shared" si="13"/>
        <v>1</v>
      </c>
      <c r="BA53" s="192">
        <f t="shared" si="14"/>
        <v>0</v>
      </c>
      <c r="BB53" s="192">
        <f t="shared" si="14"/>
        <v>0</v>
      </c>
    </row>
    <row r="54" spans="2:54" ht="32.25" customHeight="1" x14ac:dyDescent="0.25">
      <c r="B54" s="7" t="str">
        <f t="shared" si="6"/>
        <v/>
      </c>
      <c r="C54" s="4"/>
      <c r="D54" s="4"/>
      <c r="E54" s="4"/>
      <c r="F54" s="350" t="str">
        <f>IF('תנאי סף'!AO54&lt;&gt;1,"",'תנאי סף'!F54)</f>
        <v/>
      </c>
      <c r="G54" s="159" t="str">
        <f>IF($F54="","",סיווג!G54)</f>
        <v/>
      </c>
      <c r="H54" s="5"/>
      <c r="I54" s="6"/>
      <c r="J54" s="5"/>
      <c r="K54" s="6"/>
      <c r="L54" s="5"/>
      <c r="M54" s="6"/>
      <c r="N54" s="6"/>
      <c r="O54" s="158"/>
      <c r="P54" s="177"/>
      <c r="Q54" s="8"/>
      <c r="R54" s="8"/>
      <c r="S54" s="8"/>
      <c r="T54" s="343" t="str">
        <f t="shared" si="3"/>
        <v/>
      </c>
      <c r="U54" s="159" t="str">
        <f t="shared" si="7"/>
        <v/>
      </c>
      <c r="V54" s="8">
        <v>1</v>
      </c>
      <c r="W54" s="8" t="str">
        <f t="shared" si="8"/>
        <v/>
      </c>
      <c r="X54" s="8">
        <v>1</v>
      </c>
      <c r="Y54" s="8" t="str">
        <f t="shared" si="9"/>
        <v/>
      </c>
      <c r="Z54" s="352" t="str">
        <f t="shared" si="10"/>
        <v/>
      </c>
      <c r="AA54" s="192">
        <f t="shared" si="11"/>
        <v>0</v>
      </c>
      <c r="AB54" s="192" t="str">
        <f t="shared" si="12"/>
        <v/>
      </c>
      <c r="AC54" s="192" t="str">
        <f t="shared" si="12"/>
        <v/>
      </c>
      <c r="AE54" s="192">
        <f t="shared" si="13"/>
        <v>0</v>
      </c>
      <c r="BA54" s="192" t="str">
        <f t="shared" si="14"/>
        <v/>
      </c>
      <c r="BB54" s="192" t="str">
        <f t="shared" si="14"/>
        <v/>
      </c>
    </row>
    <row r="55" spans="2:54" x14ac:dyDescent="0.25">
      <c r="B55" s="7" t="str">
        <f t="shared" si="6"/>
        <v/>
      </c>
      <c r="C55" s="4"/>
      <c r="D55" s="4"/>
      <c r="E55" s="4"/>
      <c r="F55" s="350" t="str">
        <f>IF('תנאי סף'!AO55&lt;&gt;1,"",'תנאי סף'!F55)</f>
        <v/>
      </c>
      <c r="G55" s="159" t="str">
        <f>IF($F55="","",סיווג!G55)</f>
        <v/>
      </c>
      <c r="H55" s="5"/>
      <c r="I55" s="6"/>
      <c r="J55" s="5"/>
      <c r="K55" s="6"/>
      <c r="L55" s="5"/>
      <c r="M55" s="6"/>
      <c r="N55" s="6"/>
      <c r="O55" s="158"/>
      <c r="P55" s="177"/>
      <c r="Q55" s="8"/>
      <c r="R55" s="8"/>
      <c r="S55" s="8"/>
      <c r="T55" s="343" t="str">
        <f t="shared" si="3"/>
        <v/>
      </c>
      <c r="U55" s="159" t="str">
        <f t="shared" si="7"/>
        <v/>
      </c>
      <c r="V55" s="8">
        <v>1</v>
      </c>
      <c r="W55" s="8" t="str">
        <f t="shared" si="8"/>
        <v/>
      </c>
      <c r="X55" s="8">
        <v>1</v>
      </c>
      <c r="Y55" s="8" t="str">
        <f t="shared" si="9"/>
        <v/>
      </c>
      <c r="Z55" s="352" t="str">
        <f t="shared" si="10"/>
        <v/>
      </c>
      <c r="AA55" s="192">
        <f t="shared" si="11"/>
        <v>0</v>
      </c>
      <c r="AB55" s="192" t="str">
        <f t="shared" si="12"/>
        <v/>
      </c>
      <c r="AC55" s="192" t="str">
        <f t="shared" si="12"/>
        <v/>
      </c>
      <c r="AE55" s="192">
        <f t="shared" si="13"/>
        <v>0</v>
      </c>
      <c r="BA55" s="192" t="str">
        <f t="shared" si="14"/>
        <v/>
      </c>
      <c r="BB55" s="192" t="str">
        <f t="shared" si="14"/>
        <v/>
      </c>
    </row>
    <row r="56" spans="2:54" ht="23.25" customHeight="1" x14ac:dyDescent="0.25">
      <c r="B56" s="7">
        <f t="shared" si="6"/>
        <v>26</v>
      </c>
      <c r="C56" s="4"/>
      <c r="D56" s="4"/>
      <c r="E56" s="4"/>
      <c r="F56" s="350" t="str">
        <f>IF('תנאי סף'!AO56&lt;&gt;1,"",'תנאי סף'!F56)</f>
        <v>אנסמבל מצו</v>
      </c>
      <c r="G56" s="159">
        <f>IF($F56="","",סיווג!G56)</f>
        <v>212902</v>
      </c>
      <c r="H56" s="5">
        <v>170711</v>
      </c>
      <c r="I56" s="6"/>
      <c r="J56" s="5"/>
      <c r="K56" s="6"/>
      <c r="L56" s="5"/>
      <c r="M56" s="6"/>
      <c r="N56" s="6"/>
      <c r="O56" s="158"/>
      <c r="P56" s="177"/>
      <c r="Q56" s="8"/>
      <c r="R56" s="8"/>
      <c r="S56" s="8"/>
      <c r="T56" s="343">
        <f t="shared" si="3"/>
        <v>0.80182901053066669</v>
      </c>
      <c r="U56" s="159">
        <f t="shared" si="7"/>
        <v>6</v>
      </c>
      <c r="V56" s="8">
        <v>1</v>
      </c>
      <c r="W56" s="8">
        <f t="shared" si="8"/>
        <v>6</v>
      </c>
      <c r="X56" s="8">
        <v>1</v>
      </c>
      <c r="Y56" s="8">
        <f t="shared" si="9"/>
        <v>6</v>
      </c>
      <c r="Z56" s="352">
        <f t="shared" si="10"/>
        <v>3.6809815950920248E-2</v>
      </c>
      <c r="AA56" s="192">
        <f t="shared" si="11"/>
        <v>1</v>
      </c>
      <c r="AB56" s="192">
        <f t="shared" si="12"/>
        <v>0</v>
      </c>
      <c r="AC56" s="192">
        <f t="shared" si="12"/>
        <v>1</v>
      </c>
      <c r="AE56" s="192">
        <f t="shared" si="13"/>
        <v>1</v>
      </c>
      <c r="BA56" s="192">
        <f t="shared" si="14"/>
        <v>0</v>
      </c>
      <c r="BB56" s="192">
        <f t="shared" si="14"/>
        <v>0</v>
      </c>
    </row>
    <row r="57" spans="2:54" ht="30" customHeight="1" x14ac:dyDescent="0.25">
      <c r="B57" s="7" t="str">
        <f t="shared" si="6"/>
        <v/>
      </c>
      <c r="C57" s="4"/>
      <c r="D57" s="4"/>
      <c r="E57" s="4"/>
      <c r="F57" s="350" t="str">
        <f>IF('תנאי סף'!AO57&lt;&gt;1,"",'תנאי סף'!F57)</f>
        <v/>
      </c>
      <c r="G57" s="159" t="str">
        <f>IF($F57="","",סיווג!G57)</f>
        <v/>
      </c>
      <c r="H57" s="5"/>
      <c r="I57" s="6"/>
      <c r="J57" s="5"/>
      <c r="K57" s="6"/>
      <c r="L57" s="5"/>
      <c r="M57" s="6"/>
      <c r="N57" s="6"/>
      <c r="O57" s="158"/>
      <c r="P57" s="177"/>
      <c r="Q57" s="8"/>
      <c r="R57" s="8"/>
      <c r="S57" s="8"/>
      <c r="T57" s="343" t="str">
        <f t="shared" si="3"/>
        <v/>
      </c>
      <c r="U57" s="159" t="str">
        <f t="shared" si="7"/>
        <v/>
      </c>
      <c r="V57" s="8">
        <v>1</v>
      </c>
      <c r="W57" s="8" t="str">
        <f t="shared" si="8"/>
        <v/>
      </c>
      <c r="X57" s="8">
        <v>1</v>
      </c>
      <c r="Y57" s="8" t="str">
        <f t="shared" si="9"/>
        <v/>
      </c>
      <c r="Z57" s="352" t="str">
        <f t="shared" si="10"/>
        <v/>
      </c>
      <c r="AA57" s="192">
        <f t="shared" si="11"/>
        <v>0</v>
      </c>
      <c r="AB57" s="192" t="str">
        <f t="shared" si="12"/>
        <v/>
      </c>
      <c r="AC57" s="192" t="str">
        <f t="shared" si="12"/>
        <v/>
      </c>
      <c r="AE57" s="192">
        <f t="shared" si="13"/>
        <v>0</v>
      </c>
      <c r="BA57" s="192" t="str">
        <f t="shared" si="14"/>
        <v/>
      </c>
      <c r="BB57" s="192" t="str">
        <f t="shared" si="14"/>
        <v/>
      </c>
    </row>
    <row r="58" spans="2:54" ht="27.75" customHeight="1" x14ac:dyDescent="0.25">
      <c r="B58" s="7">
        <f t="shared" si="6"/>
        <v>28</v>
      </c>
      <c r="C58" s="4"/>
      <c r="D58" s="4"/>
      <c r="E58" s="4"/>
      <c r="F58" s="350" t="str">
        <f>IF('תנאי סף'!AO58&lt;&gt;1,"",'תנאי סף'!F58)</f>
        <v>תמיכה שותפת- קבוצת מוסיקה נובה</v>
      </c>
      <c r="G58" s="159">
        <f>IF($F58="","",סיווג!G58)</f>
        <v>252430</v>
      </c>
      <c r="H58" s="5">
        <v>51122</v>
      </c>
      <c r="I58" s="6"/>
      <c r="J58" s="5"/>
      <c r="K58" s="6"/>
      <c r="L58" s="5"/>
      <c r="M58" s="6"/>
      <c r="N58" s="6"/>
      <c r="O58" s="158"/>
      <c r="P58" s="177"/>
      <c r="Q58" s="8"/>
      <c r="R58" s="8"/>
      <c r="S58" s="8"/>
      <c r="T58" s="343">
        <f t="shared" si="3"/>
        <v>0.20251951035930754</v>
      </c>
      <c r="U58" s="159">
        <f t="shared" si="7"/>
        <v>1</v>
      </c>
      <c r="V58" s="8">
        <v>1</v>
      </c>
      <c r="W58" s="8">
        <f t="shared" si="8"/>
        <v>1</v>
      </c>
      <c r="X58" s="8">
        <v>1</v>
      </c>
      <c r="Y58" s="8">
        <f t="shared" si="9"/>
        <v>1</v>
      </c>
      <c r="Z58" s="352">
        <f t="shared" si="10"/>
        <v>6.1349693251533744E-3</v>
      </c>
      <c r="AA58" s="192">
        <f t="shared" si="11"/>
        <v>1</v>
      </c>
      <c r="AB58" s="192">
        <f t="shared" si="12"/>
        <v>0</v>
      </c>
      <c r="AC58" s="192">
        <f t="shared" si="12"/>
        <v>1</v>
      </c>
      <c r="AE58" s="192">
        <f t="shared" si="13"/>
        <v>1</v>
      </c>
      <c r="BA58" s="192">
        <f t="shared" si="14"/>
        <v>0</v>
      </c>
      <c r="BB58" s="192">
        <f t="shared" si="14"/>
        <v>0</v>
      </c>
    </row>
    <row r="59" spans="2:54" x14ac:dyDescent="0.25">
      <c r="B59" s="7" t="str">
        <f t="shared" si="6"/>
        <v/>
      </c>
      <c r="C59" s="4"/>
      <c r="D59" s="4"/>
      <c r="E59" s="4"/>
      <c r="F59" s="350" t="str">
        <f>IF('תנאי סף'!AO59&lt;&gt;1,"",'תנאי סף'!F59)</f>
        <v/>
      </c>
      <c r="G59" s="159" t="str">
        <f>IF($F59="","",סיווג!G59)</f>
        <v/>
      </c>
      <c r="H59" s="5"/>
      <c r="I59" s="6"/>
      <c r="J59" s="5"/>
      <c r="K59" s="6"/>
      <c r="L59" s="5"/>
      <c r="M59" s="6"/>
      <c r="N59" s="6"/>
      <c r="O59" s="158"/>
      <c r="P59" s="177"/>
      <c r="Q59" s="8"/>
      <c r="R59" s="8"/>
      <c r="S59" s="8"/>
      <c r="T59" s="343" t="str">
        <f t="shared" si="3"/>
        <v/>
      </c>
      <c r="U59" s="159" t="str">
        <f t="shared" si="7"/>
        <v/>
      </c>
      <c r="V59" s="8">
        <v>1</v>
      </c>
      <c r="W59" s="8" t="str">
        <f t="shared" si="8"/>
        <v/>
      </c>
      <c r="X59" s="8">
        <v>1</v>
      </c>
      <c r="Y59" s="8" t="str">
        <f t="shared" si="9"/>
        <v/>
      </c>
      <c r="Z59" s="352" t="str">
        <f t="shared" si="10"/>
        <v/>
      </c>
      <c r="AA59" s="192">
        <f t="shared" si="11"/>
        <v>0</v>
      </c>
      <c r="AB59" s="192" t="str">
        <f t="shared" si="12"/>
        <v/>
      </c>
      <c r="AC59" s="192" t="str">
        <f t="shared" si="12"/>
        <v/>
      </c>
      <c r="AE59" s="192">
        <f t="shared" si="13"/>
        <v>0</v>
      </c>
      <c r="BA59" s="192" t="str">
        <f t="shared" si="14"/>
        <v/>
      </c>
      <c r="BB59" s="192" t="str">
        <f t="shared" si="14"/>
        <v/>
      </c>
    </row>
    <row r="60" spans="2:54" x14ac:dyDescent="0.25">
      <c r="B60" s="7" t="str">
        <f t="shared" si="6"/>
        <v/>
      </c>
      <c r="C60" s="4"/>
      <c r="D60" s="4"/>
      <c r="E60" s="4"/>
      <c r="F60" s="350" t="str">
        <f>IF('תנאי סף'!AO60&lt;&gt;1,"",'תנאי סף'!F60)</f>
        <v/>
      </c>
      <c r="G60" s="159" t="str">
        <f>IF($F60="","",סיווג!G60)</f>
        <v/>
      </c>
      <c r="H60" s="5"/>
      <c r="I60" s="6"/>
      <c r="J60" s="5"/>
      <c r="K60" s="6"/>
      <c r="L60" s="5"/>
      <c r="M60" s="6"/>
      <c r="N60" s="6"/>
      <c r="O60" s="158"/>
      <c r="P60" s="177"/>
      <c r="Q60" s="8"/>
      <c r="R60" s="8"/>
      <c r="S60" s="8"/>
      <c r="T60" s="343" t="str">
        <f t="shared" si="3"/>
        <v/>
      </c>
      <c r="U60" s="159" t="str">
        <f t="shared" si="7"/>
        <v/>
      </c>
      <c r="V60" s="8">
        <v>1</v>
      </c>
      <c r="W60" s="8" t="str">
        <f t="shared" si="8"/>
        <v/>
      </c>
      <c r="X60" s="8">
        <v>1</v>
      </c>
      <c r="Y60" s="8" t="str">
        <f t="shared" si="9"/>
        <v/>
      </c>
      <c r="Z60" s="352" t="str">
        <f t="shared" si="10"/>
        <v/>
      </c>
      <c r="AA60" s="192">
        <f t="shared" si="11"/>
        <v>0</v>
      </c>
      <c r="AB60" s="192" t="str">
        <f t="shared" si="12"/>
        <v/>
      </c>
      <c r="AC60" s="192" t="str">
        <f t="shared" si="12"/>
        <v/>
      </c>
      <c r="AE60" s="192">
        <f t="shared" si="13"/>
        <v>0</v>
      </c>
      <c r="BA60" s="192" t="str">
        <f t="shared" si="14"/>
        <v/>
      </c>
      <c r="BB60" s="192" t="str">
        <f t="shared" si="14"/>
        <v/>
      </c>
    </row>
    <row r="61" spans="2:54" x14ac:dyDescent="0.25">
      <c r="B61" s="7" t="str">
        <f t="shared" si="6"/>
        <v/>
      </c>
      <c r="C61" s="4"/>
      <c r="D61" s="4"/>
      <c r="E61" s="4"/>
      <c r="F61" s="350" t="str">
        <f>IF('תנאי סף'!AO61&lt;&gt;1,"",'תנאי סף'!F61)</f>
        <v/>
      </c>
      <c r="G61" s="159" t="str">
        <f>IF($F61="","",סיווג!G61)</f>
        <v/>
      </c>
      <c r="H61" s="5"/>
      <c r="I61" s="6"/>
      <c r="J61" s="5"/>
      <c r="K61" s="6"/>
      <c r="L61" s="5"/>
      <c r="M61" s="6"/>
      <c r="N61" s="6"/>
      <c r="O61" s="158"/>
      <c r="P61" s="177"/>
      <c r="Q61" s="8"/>
      <c r="R61" s="8"/>
      <c r="S61" s="8"/>
      <c r="T61" s="343" t="str">
        <f t="shared" si="3"/>
        <v/>
      </c>
      <c r="U61" s="159" t="str">
        <f t="shared" si="7"/>
        <v/>
      </c>
      <c r="V61" s="8">
        <v>1</v>
      </c>
      <c r="W61" s="8" t="str">
        <f t="shared" si="8"/>
        <v/>
      </c>
      <c r="X61" s="8">
        <v>1</v>
      </c>
      <c r="Y61" s="8" t="str">
        <f t="shared" si="9"/>
        <v/>
      </c>
      <c r="Z61" s="352" t="str">
        <f t="shared" si="10"/>
        <v/>
      </c>
      <c r="AA61" s="192">
        <f t="shared" si="11"/>
        <v>0</v>
      </c>
      <c r="AB61" s="192" t="str">
        <f t="shared" si="12"/>
        <v/>
      </c>
      <c r="AC61" s="192" t="str">
        <f t="shared" si="12"/>
        <v/>
      </c>
      <c r="AE61" s="192">
        <f t="shared" si="13"/>
        <v>0</v>
      </c>
      <c r="BA61" s="192" t="str">
        <f t="shared" si="14"/>
        <v/>
      </c>
      <c r="BB61" s="192" t="str">
        <f t="shared" si="14"/>
        <v/>
      </c>
    </row>
    <row r="62" spans="2:54" ht="32.25" customHeight="1" x14ac:dyDescent="0.25">
      <c r="B62" s="7" t="str">
        <f t="shared" si="6"/>
        <v/>
      </c>
      <c r="C62" s="4"/>
      <c r="D62" s="4"/>
      <c r="E62" s="4"/>
      <c r="F62" s="350" t="str">
        <f>IF('תנאי סף'!AO62&lt;&gt;1,"",'תנאי סף'!F62)</f>
        <v/>
      </c>
      <c r="G62" s="159" t="str">
        <f>IF($F62="","",סיווג!G62)</f>
        <v/>
      </c>
      <c r="H62" s="5"/>
      <c r="I62" s="6"/>
      <c r="J62" s="5"/>
      <c r="K62" s="6"/>
      <c r="L62" s="5"/>
      <c r="M62" s="6"/>
      <c r="N62" s="6"/>
      <c r="O62" s="158"/>
      <c r="P62" s="177"/>
      <c r="Q62" s="8"/>
      <c r="R62" s="8"/>
      <c r="S62" s="8"/>
      <c r="T62" s="343" t="str">
        <f t="shared" si="3"/>
        <v/>
      </c>
      <c r="U62" s="159" t="str">
        <f t="shared" si="7"/>
        <v/>
      </c>
      <c r="V62" s="8">
        <v>1</v>
      </c>
      <c r="W62" s="8" t="str">
        <f t="shared" si="8"/>
        <v/>
      </c>
      <c r="X62" s="8">
        <v>1</v>
      </c>
      <c r="Y62" s="8" t="str">
        <f t="shared" si="9"/>
        <v/>
      </c>
      <c r="Z62" s="352" t="str">
        <f t="shared" si="10"/>
        <v/>
      </c>
      <c r="AA62" s="192">
        <f t="shared" si="11"/>
        <v>0</v>
      </c>
      <c r="AB62" s="192" t="str">
        <f t="shared" si="12"/>
        <v/>
      </c>
      <c r="AC62" s="192" t="str">
        <f t="shared" si="12"/>
        <v/>
      </c>
      <c r="AE62" s="192">
        <f t="shared" si="13"/>
        <v>0</v>
      </c>
      <c r="BA62" s="192" t="str">
        <f t="shared" si="14"/>
        <v/>
      </c>
      <c r="BB62" s="192" t="str">
        <f t="shared" si="14"/>
        <v/>
      </c>
    </row>
    <row r="63" spans="2:54" x14ac:dyDescent="0.25">
      <c r="B63" s="7" t="str">
        <f t="shared" si="6"/>
        <v/>
      </c>
      <c r="C63" s="4"/>
      <c r="D63" s="4"/>
      <c r="E63" s="4"/>
      <c r="F63" s="350" t="str">
        <f>IF('תנאי סף'!AO63&lt;&gt;1,"",'תנאי סף'!F63)</f>
        <v/>
      </c>
      <c r="G63" s="159" t="str">
        <f>IF($F63="","",סיווג!G63)</f>
        <v/>
      </c>
      <c r="H63" s="5"/>
      <c r="I63" s="6"/>
      <c r="J63" s="5"/>
      <c r="K63" s="6"/>
      <c r="L63" s="5"/>
      <c r="M63" s="6"/>
      <c r="N63" s="6"/>
      <c r="O63" s="158"/>
      <c r="P63" s="177"/>
      <c r="Q63" s="8"/>
      <c r="R63" s="8"/>
      <c r="S63" s="8"/>
      <c r="T63" s="343" t="str">
        <f t="shared" si="3"/>
        <v/>
      </c>
      <c r="U63" s="159" t="str">
        <f t="shared" si="7"/>
        <v/>
      </c>
      <c r="V63" s="8">
        <v>1</v>
      </c>
      <c r="W63" s="8" t="str">
        <f t="shared" si="8"/>
        <v/>
      </c>
      <c r="X63" s="8">
        <v>1</v>
      </c>
      <c r="Y63" s="8" t="str">
        <f t="shared" si="9"/>
        <v/>
      </c>
      <c r="Z63" s="352" t="str">
        <f t="shared" si="10"/>
        <v/>
      </c>
      <c r="AA63" s="192">
        <f t="shared" si="11"/>
        <v>0</v>
      </c>
      <c r="AB63" s="192" t="str">
        <f t="shared" si="12"/>
        <v/>
      </c>
      <c r="AC63" s="192" t="str">
        <f t="shared" si="12"/>
        <v/>
      </c>
      <c r="AE63" s="192">
        <f t="shared" si="13"/>
        <v>0</v>
      </c>
      <c r="BA63" s="192" t="str">
        <f t="shared" si="14"/>
        <v/>
      </c>
      <c r="BB63" s="192" t="str">
        <f t="shared" si="14"/>
        <v/>
      </c>
    </row>
    <row r="64" spans="2:54" ht="27" customHeight="1" x14ac:dyDescent="0.25">
      <c r="B64" s="7" t="str">
        <f t="shared" si="6"/>
        <v/>
      </c>
      <c r="C64" s="4"/>
      <c r="D64" s="4"/>
      <c r="E64" s="4"/>
      <c r="F64" s="350" t="str">
        <f>IF('תנאי סף'!AO64&lt;&gt;1,"",'תנאי סף'!F64)</f>
        <v/>
      </c>
      <c r="G64" s="159" t="str">
        <f>IF($F64="","",סיווג!G64)</f>
        <v/>
      </c>
      <c r="H64" s="5"/>
      <c r="I64" s="6"/>
      <c r="J64" s="5"/>
      <c r="K64" s="6"/>
      <c r="L64" s="5"/>
      <c r="M64" s="6"/>
      <c r="N64" s="6"/>
      <c r="O64" s="158"/>
      <c r="P64" s="177"/>
      <c r="Q64" s="8"/>
      <c r="R64" s="8"/>
      <c r="S64" s="8"/>
      <c r="T64" s="343" t="str">
        <f t="shared" si="3"/>
        <v/>
      </c>
      <c r="U64" s="159" t="str">
        <f t="shared" si="7"/>
        <v/>
      </c>
      <c r="V64" s="8">
        <v>1</v>
      </c>
      <c r="W64" s="8" t="str">
        <f t="shared" si="8"/>
        <v/>
      </c>
      <c r="X64" s="8">
        <v>1</v>
      </c>
      <c r="Y64" s="8" t="str">
        <f t="shared" si="9"/>
        <v/>
      </c>
      <c r="Z64" s="352" t="str">
        <f t="shared" si="10"/>
        <v/>
      </c>
      <c r="AA64" s="192">
        <f t="shared" si="11"/>
        <v>0</v>
      </c>
      <c r="AB64" s="192" t="str">
        <f t="shared" ref="AB64:AC91" si="15">IF($F64="","",AB$30)</f>
        <v/>
      </c>
      <c r="AC64" s="192" t="str">
        <f t="shared" si="15"/>
        <v/>
      </c>
      <c r="AE64" s="192">
        <f t="shared" si="13"/>
        <v>0</v>
      </c>
      <c r="BA64" s="192" t="str">
        <f t="shared" si="14"/>
        <v/>
      </c>
      <c r="BB64" s="192" t="str">
        <f t="shared" si="14"/>
        <v/>
      </c>
    </row>
    <row r="65" spans="2:54" ht="27" customHeight="1" x14ac:dyDescent="0.25">
      <c r="B65" s="7">
        <f t="shared" si="6"/>
        <v>35</v>
      </c>
      <c r="C65" s="4"/>
      <c r="D65" s="4"/>
      <c r="E65" s="4"/>
      <c r="F65" s="350" t="str">
        <f>IF('תנאי סף'!AO65&lt;&gt;1,"",'תנאי סף'!F65)</f>
        <v>אנסמבל מיתר</v>
      </c>
      <c r="G65" s="159">
        <f>IF($F65="","",סיווג!G65)</f>
        <v>552727</v>
      </c>
      <c r="H65" s="5">
        <v>351687</v>
      </c>
      <c r="I65" s="6"/>
      <c r="J65" s="5"/>
      <c r="K65" s="6"/>
      <c r="L65" s="5"/>
      <c r="M65" s="6"/>
      <c r="N65" s="6"/>
      <c r="O65" s="158"/>
      <c r="P65" s="177"/>
      <c r="Q65" s="8"/>
      <c r="R65" s="8"/>
      <c r="S65" s="8"/>
      <c r="T65" s="343">
        <f t="shared" si="3"/>
        <v>0.63627613632046198</v>
      </c>
      <c r="U65" s="159">
        <f t="shared" si="7"/>
        <v>6</v>
      </c>
      <c r="V65" s="8">
        <v>1</v>
      </c>
      <c r="W65" s="8">
        <f t="shared" si="8"/>
        <v>6</v>
      </c>
      <c r="X65" s="8">
        <v>1</v>
      </c>
      <c r="Y65" s="8">
        <f t="shared" si="9"/>
        <v>6</v>
      </c>
      <c r="Z65" s="352">
        <f t="shared" si="10"/>
        <v>3.6809815950920248E-2</v>
      </c>
      <c r="AA65" s="192">
        <f t="shared" si="11"/>
        <v>1</v>
      </c>
      <c r="AB65" s="192">
        <f t="shared" si="15"/>
        <v>0</v>
      </c>
      <c r="AC65" s="192">
        <f t="shared" si="15"/>
        <v>1</v>
      </c>
      <c r="AE65" s="192">
        <f t="shared" si="13"/>
        <v>1</v>
      </c>
      <c r="BA65" s="192">
        <f t="shared" si="14"/>
        <v>0</v>
      </c>
      <c r="BB65" s="192">
        <f t="shared" si="14"/>
        <v>0</v>
      </c>
    </row>
    <row r="66" spans="2:54" x14ac:dyDescent="0.25">
      <c r="B66" s="7" t="str">
        <f t="shared" si="6"/>
        <v/>
      </c>
      <c r="C66" s="4"/>
      <c r="D66" s="4"/>
      <c r="E66" s="4"/>
      <c r="F66" s="350" t="str">
        <f>IF('תנאי סף'!AO66&lt;&gt;1,"",'תנאי סף'!F66)</f>
        <v/>
      </c>
      <c r="G66" s="159" t="str">
        <f>IF($F66="","",סיווג!G66)</f>
        <v/>
      </c>
      <c r="H66" s="5"/>
      <c r="I66" s="6"/>
      <c r="J66" s="5"/>
      <c r="K66" s="6"/>
      <c r="L66" s="5"/>
      <c r="M66" s="6"/>
      <c r="N66" s="6"/>
      <c r="O66" s="158"/>
      <c r="P66" s="177"/>
      <c r="Q66" s="8"/>
      <c r="R66" s="8"/>
      <c r="S66" s="8"/>
      <c r="T66" s="343" t="str">
        <f t="shared" si="3"/>
        <v/>
      </c>
      <c r="U66" s="159" t="str">
        <f t="shared" si="7"/>
        <v/>
      </c>
      <c r="V66" s="8">
        <v>1</v>
      </c>
      <c r="W66" s="8" t="str">
        <f t="shared" si="8"/>
        <v/>
      </c>
      <c r="X66" s="8">
        <v>1</v>
      </c>
      <c r="Y66" s="8" t="str">
        <f t="shared" si="9"/>
        <v/>
      </c>
      <c r="Z66" s="352" t="str">
        <f t="shared" si="10"/>
        <v/>
      </c>
      <c r="AA66" s="192">
        <f t="shared" si="11"/>
        <v>0</v>
      </c>
      <c r="AB66" s="192" t="str">
        <f t="shared" si="15"/>
        <v/>
      </c>
      <c r="AC66" s="192" t="str">
        <f t="shared" si="15"/>
        <v/>
      </c>
      <c r="AE66" s="192">
        <f t="shared" si="13"/>
        <v>0</v>
      </c>
      <c r="BA66" s="192" t="str">
        <f t="shared" si="14"/>
        <v/>
      </c>
      <c r="BB66" s="192" t="str">
        <f t="shared" si="14"/>
        <v/>
      </c>
    </row>
    <row r="67" spans="2:54" ht="35.25" customHeight="1" x14ac:dyDescent="0.25">
      <c r="B67" s="7">
        <f t="shared" si="6"/>
        <v>37</v>
      </c>
      <c r="C67" s="4"/>
      <c r="D67" s="4"/>
      <c r="E67" s="4"/>
      <c r="F67" s="350" t="str">
        <f>IF('תנאי סף'!AO67&lt;&gt;1,"",'תנאי סף'!F67)</f>
        <v>אנסמבל ארז נטף</v>
      </c>
      <c r="G67" s="159">
        <f>IF($F67="","",סיווג!G67)</f>
        <v>562957</v>
      </c>
      <c r="H67" s="5">
        <v>523195</v>
      </c>
      <c r="I67" s="6"/>
      <c r="J67" s="5"/>
      <c r="K67" s="6"/>
      <c r="L67" s="5"/>
      <c r="M67" s="6"/>
      <c r="N67" s="6"/>
      <c r="O67" s="158"/>
      <c r="P67" s="177"/>
      <c r="Q67" s="8"/>
      <c r="R67" s="8"/>
      <c r="S67" s="8"/>
      <c r="T67" s="343">
        <f t="shared" si="3"/>
        <v>0.92936938345202214</v>
      </c>
      <c r="U67" s="159">
        <f t="shared" si="7"/>
        <v>6</v>
      </c>
      <c r="V67" s="8">
        <v>1</v>
      </c>
      <c r="W67" s="8">
        <f t="shared" si="8"/>
        <v>6</v>
      </c>
      <c r="X67" s="8">
        <v>1</v>
      </c>
      <c r="Y67" s="8">
        <f t="shared" si="9"/>
        <v>6</v>
      </c>
      <c r="Z67" s="352">
        <f t="shared" si="10"/>
        <v>3.6809815950920248E-2</v>
      </c>
      <c r="AA67" s="192">
        <f t="shared" si="11"/>
        <v>1</v>
      </c>
      <c r="AB67" s="192">
        <f t="shared" si="15"/>
        <v>0</v>
      </c>
      <c r="AC67" s="192">
        <f t="shared" si="15"/>
        <v>1</v>
      </c>
      <c r="AE67" s="192">
        <f t="shared" si="13"/>
        <v>1</v>
      </c>
      <c r="BA67" s="192">
        <f t="shared" si="14"/>
        <v>0</v>
      </c>
      <c r="BB67" s="192">
        <f t="shared" si="14"/>
        <v>0</v>
      </c>
    </row>
    <row r="68" spans="2:54" ht="35.25" customHeight="1" x14ac:dyDescent="0.25">
      <c r="B68" s="7" t="str">
        <f t="shared" si="6"/>
        <v/>
      </c>
      <c r="C68" s="4"/>
      <c r="D68" s="4"/>
      <c r="E68" s="4"/>
      <c r="F68" s="350" t="str">
        <f>IF('תנאי סף'!AO68&lt;&gt;1,"",'תנאי סף'!F68)</f>
        <v/>
      </c>
      <c r="G68" s="159" t="str">
        <f>IF($F68="","",סיווג!G68)</f>
        <v/>
      </c>
      <c r="H68" s="5"/>
      <c r="I68" s="6"/>
      <c r="J68" s="5"/>
      <c r="K68" s="6"/>
      <c r="L68" s="5"/>
      <c r="M68" s="6"/>
      <c r="N68" s="6"/>
      <c r="O68" s="158"/>
      <c r="P68" s="177"/>
      <c r="Q68" s="8"/>
      <c r="R68" s="8"/>
      <c r="S68" s="8"/>
      <c r="T68" s="343" t="str">
        <f t="shared" si="3"/>
        <v/>
      </c>
      <c r="U68" s="159" t="str">
        <f t="shared" si="7"/>
        <v/>
      </c>
      <c r="V68" s="8">
        <v>1</v>
      </c>
      <c r="W68" s="8" t="str">
        <f t="shared" si="8"/>
        <v/>
      </c>
      <c r="X68" s="8">
        <v>1</v>
      </c>
      <c r="Y68" s="8" t="str">
        <f t="shared" si="9"/>
        <v/>
      </c>
      <c r="Z68" s="352" t="str">
        <f t="shared" si="10"/>
        <v/>
      </c>
      <c r="AA68" s="192">
        <f t="shared" si="11"/>
        <v>0</v>
      </c>
      <c r="AB68" s="192" t="str">
        <f t="shared" si="15"/>
        <v/>
      </c>
      <c r="AC68" s="192" t="str">
        <f t="shared" si="15"/>
        <v/>
      </c>
      <c r="AE68" s="192">
        <f t="shared" si="13"/>
        <v>0</v>
      </c>
      <c r="BA68" s="192" t="str">
        <f t="shared" si="14"/>
        <v/>
      </c>
      <c r="BB68" s="192" t="str">
        <f t="shared" si="14"/>
        <v/>
      </c>
    </row>
    <row r="69" spans="2:54" ht="35.25" customHeight="1" x14ac:dyDescent="0.25">
      <c r="B69" s="7" t="str">
        <f t="shared" si="6"/>
        <v/>
      </c>
      <c r="C69" s="4"/>
      <c r="D69" s="4"/>
      <c r="E69" s="4"/>
      <c r="F69" s="350" t="str">
        <f>IF('תנאי סף'!AO69&lt;&gt;1,"",'תנאי סף'!F69)</f>
        <v/>
      </c>
      <c r="G69" s="159" t="str">
        <f>IF($F69="","",סיווג!G69)</f>
        <v/>
      </c>
      <c r="H69" s="5"/>
      <c r="I69" s="6"/>
      <c r="J69" s="5"/>
      <c r="K69" s="6"/>
      <c r="L69" s="5"/>
      <c r="M69" s="6"/>
      <c r="N69" s="6"/>
      <c r="O69" s="158"/>
      <c r="P69" s="177"/>
      <c r="Q69" s="8"/>
      <c r="R69" s="8"/>
      <c r="S69" s="8"/>
      <c r="T69" s="343" t="str">
        <f t="shared" si="3"/>
        <v/>
      </c>
      <c r="U69" s="159" t="str">
        <f t="shared" si="7"/>
        <v/>
      </c>
      <c r="V69" s="8">
        <v>1</v>
      </c>
      <c r="W69" s="8" t="str">
        <f t="shared" si="8"/>
        <v/>
      </c>
      <c r="X69" s="8">
        <v>1</v>
      </c>
      <c r="Y69" s="8" t="str">
        <f t="shared" si="9"/>
        <v/>
      </c>
      <c r="Z69" s="352" t="str">
        <f t="shared" si="10"/>
        <v/>
      </c>
      <c r="AA69" s="192">
        <f t="shared" si="11"/>
        <v>0</v>
      </c>
      <c r="AB69" s="192" t="str">
        <f t="shared" si="15"/>
        <v/>
      </c>
      <c r="AC69" s="192" t="str">
        <f t="shared" si="15"/>
        <v/>
      </c>
      <c r="AE69" s="192">
        <f t="shared" si="13"/>
        <v>0</v>
      </c>
      <c r="BA69" s="192" t="str">
        <f t="shared" si="14"/>
        <v/>
      </c>
      <c r="BB69" s="192" t="str">
        <f t="shared" si="14"/>
        <v/>
      </c>
    </row>
    <row r="70" spans="2:54" ht="35.25" customHeight="1" x14ac:dyDescent="0.25">
      <c r="B70" s="7">
        <f t="shared" si="6"/>
        <v>40</v>
      </c>
      <c r="C70" s="4"/>
      <c r="D70" s="4"/>
      <c r="E70" s="4"/>
      <c r="F70" s="350" t="str">
        <f>IF('תנאי סף'!AO70&lt;&gt;1,"",'תנאי סף'!F70)</f>
        <v>תו המשווה (ע"ר)</v>
      </c>
      <c r="G70" s="159">
        <f>IF($F70="","",סיווג!G70)</f>
        <v>258086</v>
      </c>
      <c r="H70" s="5">
        <v>256518.24</v>
      </c>
      <c r="I70" s="6"/>
      <c r="J70" s="5"/>
      <c r="K70" s="6"/>
      <c r="L70" s="5"/>
      <c r="M70" s="6"/>
      <c r="N70" s="6"/>
      <c r="O70" s="158"/>
      <c r="P70" s="177"/>
      <c r="Q70" s="8"/>
      <c r="R70" s="8"/>
      <c r="S70" s="8"/>
      <c r="T70" s="343">
        <f t="shared" si="3"/>
        <v>0.99392543570747727</v>
      </c>
      <c r="U70" s="159">
        <f t="shared" si="7"/>
        <v>6</v>
      </c>
      <c r="V70" s="8">
        <v>1</v>
      </c>
      <c r="W70" s="8">
        <f t="shared" si="8"/>
        <v>6</v>
      </c>
      <c r="X70" s="8">
        <v>1</v>
      </c>
      <c r="Y70" s="8">
        <f t="shared" si="9"/>
        <v>6</v>
      </c>
      <c r="Z70" s="352">
        <f t="shared" si="10"/>
        <v>3.6809815950920248E-2</v>
      </c>
      <c r="AA70" s="192">
        <f t="shared" si="11"/>
        <v>1</v>
      </c>
      <c r="AB70" s="192">
        <f t="shared" si="15"/>
        <v>0</v>
      </c>
      <c r="AC70" s="192">
        <f t="shared" si="15"/>
        <v>1</v>
      </c>
      <c r="AE70" s="192">
        <f t="shared" si="13"/>
        <v>1</v>
      </c>
      <c r="BA70" s="192">
        <f t="shared" si="14"/>
        <v>0</v>
      </c>
      <c r="BB70" s="192">
        <f t="shared" si="14"/>
        <v>0</v>
      </c>
    </row>
    <row r="71" spans="2:54" ht="35.25" customHeight="1" x14ac:dyDescent="0.25">
      <c r="B71" s="7" t="str">
        <f t="shared" si="6"/>
        <v/>
      </c>
      <c r="C71" s="4"/>
      <c r="D71" s="4"/>
      <c r="E71" s="4"/>
      <c r="F71" s="230" t="str">
        <f>IF('תנאי סף'!AO71&lt;&gt;1,"",'תנאי סף'!F71)</f>
        <v/>
      </c>
      <c r="G71" s="159" t="str">
        <f>IF($F71="","",סיווג!G71)</f>
        <v/>
      </c>
      <c r="H71" s="5"/>
      <c r="I71" s="6"/>
      <c r="J71" s="5"/>
      <c r="K71" s="6"/>
      <c r="L71" s="5"/>
      <c r="M71" s="6"/>
      <c r="N71" s="6"/>
      <c r="O71" s="158"/>
      <c r="P71" s="177"/>
      <c r="Q71" s="8"/>
      <c r="R71" s="8"/>
      <c r="S71" s="8"/>
      <c r="T71" s="343" t="str">
        <f t="shared" si="3"/>
        <v/>
      </c>
      <c r="U71" s="159" t="str">
        <f t="shared" si="7"/>
        <v/>
      </c>
      <c r="V71" s="8">
        <v>1</v>
      </c>
      <c r="W71" s="8" t="str">
        <f t="shared" si="8"/>
        <v/>
      </c>
      <c r="X71" s="8">
        <v>1</v>
      </c>
      <c r="Y71" s="8" t="str">
        <f t="shared" si="9"/>
        <v/>
      </c>
      <c r="Z71" s="123" t="str">
        <f t="shared" si="10"/>
        <v/>
      </c>
      <c r="AA71" s="192">
        <f t="shared" si="11"/>
        <v>0</v>
      </c>
      <c r="AB71" s="192" t="str">
        <f t="shared" si="15"/>
        <v/>
      </c>
      <c r="AC71" s="192" t="str">
        <f t="shared" si="15"/>
        <v/>
      </c>
      <c r="AE71" s="192">
        <f t="shared" si="13"/>
        <v>0</v>
      </c>
      <c r="BA71" s="192" t="str">
        <f t="shared" ref="BA71:BB90" si="16">IF($F71="","",BA$30)</f>
        <v/>
      </c>
      <c r="BB71" s="192" t="str">
        <f t="shared" si="16"/>
        <v/>
      </c>
    </row>
    <row r="72" spans="2:54" ht="35.25" customHeight="1" x14ac:dyDescent="0.25">
      <c r="B72" s="7" t="str">
        <f t="shared" si="6"/>
        <v/>
      </c>
      <c r="C72" s="4"/>
      <c r="D72" s="4"/>
      <c r="E72" s="4"/>
      <c r="F72" s="230" t="str">
        <f>IF('תנאי סף'!AO72&lt;&gt;1,"",'תנאי סף'!F72)</f>
        <v/>
      </c>
      <c r="G72" s="159" t="str">
        <f>IF($F72="","",סיווג!G72)</f>
        <v/>
      </c>
      <c r="H72" s="5"/>
      <c r="I72" s="6"/>
      <c r="J72" s="5"/>
      <c r="K72" s="6"/>
      <c r="L72" s="5"/>
      <c r="M72" s="6"/>
      <c r="N72" s="6"/>
      <c r="O72" s="158"/>
      <c r="P72" s="177"/>
      <c r="Q72" s="8"/>
      <c r="R72" s="8"/>
      <c r="S72" s="8"/>
      <c r="T72" s="343" t="str">
        <f t="shared" si="3"/>
        <v/>
      </c>
      <c r="U72" s="159" t="str">
        <f t="shared" si="7"/>
        <v/>
      </c>
      <c r="V72" s="8">
        <v>1</v>
      </c>
      <c r="W72" s="8" t="str">
        <f t="shared" si="8"/>
        <v/>
      </c>
      <c r="X72" s="8">
        <v>1</v>
      </c>
      <c r="Y72" s="8" t="str">
        <f t="shared" si="9"/>
        <v/>
      </c>
      <c r="Z72" s="123" t="str">
        <f t="shared" si="10"/>
        <v/>
      </c>
      <c r="AA72" s="192">
        <f t="shared" si="11"/>
        <v>0</v>
      </c>
      <c r="AB72" s="192" t="str">
        <f t="shared" si="15"/>
        <v/>
      </c>
      <c r="AC72" s="192" t="str">
        <f t="shared" si="15"/>
        <v/>
      </c>
      <c r="AE72" s="192">
        <f t="shared" si="13"/>
        <v>0</v>
      </c>
      <c r="BA72" s="192" t="str">
        <f t="shared" si="16"/>
        <v/>
      </c>
      <c r="BB72" s="192" t="str">
        <f t="shared" si="16"/>
        <v/>
      </c>
    </row>
    <row r="73" spans="2:54" ht="35.25" customHeight="1" x14ac:dyDescent="0.25">
      <c r="B73" s="7">
        <f t="shared" si="6"/>
        <v>43</v>
      </c>
      <c r="C73" s="4"/>
      <c r="D73" s="4"/>
      <c r="E73" s="4"/>
      <c r="F73" s="230" t="str">
        <f>IF('תנאי סף'!AO73&lt;&gt;1,"",'תנאי סף'!F73)</f>
        <v>בר קיימא ואקלקוטנטקט</v>
      </c>
      <c r="G73" s="159">
        <f>IF($F73="","",סיווג!G73)</f>
        <v>128950</v>
      </c>
      <c r="H73" s="5">
        <v>53950</v>
      </c>
      <c r="I73" s="6"/>
      <c r="J73" s="5"/>
      <c r="K73" s="6"/>
      <c r="L73" s="5"/>
      <c r="M73" s="6"/>
      <c r="N73" s="6"/>
      <c r="O73" s="158"/>
      <c r="P73" s="177"/>
      <c r="Q73" s="8"/>
      <c r="R73" s="8"/>
      <c r="S73" s="8"/>
      <c r="T73" s="343">
        <f t="shared" si="3"/>
        <v>0.41837921675067857</v>
      </c>
      <c r="U73" s="159">
        <f t="shared" si="7"/>
        <v>2</v>
      </c>
      <c r="V73" s="8">
        <v>1</v>
      </c>
      <c r="W73" s="8">
        <f t="shared" si="8"/>
        <v>2</v>
      </c>
      <c r="X73" s="8">
        <v>1</v>
      </c>
      <c r="Y73" s="8">
        <f t="shared" si="9"/>
        <v>2</v>
      </c>
      <c r="Z73" s="123">
        <f t="shared" si="10"/>
        <v>1.2269938650306749E-2</v>
      </c>
      <c r="AA73" s="192">
        <f t="shared" si="11"/>
        <v>1</v>
      </c>
      <c r="AB73" s="192">
        <f t="shared" si="15"/>
        <v>0</v>
      </c>
      <c r="AC73" s="192">
        <f t="shared" si="15"/>
        <v>1</v>
      </c>
      <c r="AE73" s="192">
        <f t="shared" si="13"/>
        <v>1</v>
      </c>
      <c r="BA73" s="192">
        <f t="shared" si="16"/>
        <v>0</v>
      </c>
      <c r="BB73" s="192">
        <f t="shared" si="16"/>
        <v>0</v>
      </c>
    </row>
    <row r="74" spans="2:54" ht="35.25" customHeight="1" x14ac:dyDescent="0.25">
      <c r="B74" s="7" t="str">
        <f t="shared" si="6"/>
        <v/>
      </c>
      <c r="C74" s="4"/>
      <c r="D74" s="4"/>
      <c r="E74" s="4"/>
      <c r="F74" s="230" t="str">
        <f>IF('תנאי סף'!AO74&lt;&gt;1,"",'תנאי סף'!F74)</f>
        <v/>
      </c>
      <c r="G74" s="159" t="str">
        <f>IF($F74="","",סיווג!G74)</f>
        <v/>
      </c>
      <c r="H74" s="5"/>
      <c r="I74" s="6"/>
      <c r="J74" s="5"/>
      <c r="K74" s="6"/>
      <c r="L74" s="5"/>
      <c r="M74" s="6"/>
      <c r="N74" s="6"/>
      <c r="O74" s="158"/>
      <c r="P74" s="177"/>
      <c r="Q74" s="8"/>
      <c r="R74" s="8"/>
      <c r="S74" s="8"/>
      <c r="T74" s="343" t="str">
        <f t="shared" si="3"/>
        <v/>
      </c>
      <c r="U74" s="159" t="str">
        <f t="shared" si="7"/>
        <v/>
      </c>
      <c r="V74" s="8">
        <v>1</v>
      </c>
      <c r="W74" s="8" t="str">
        <f t="shared" si="8"/>
        <v/>
      </c>
      <c r="X74" s="8">
        <v>1</v>
      </c>
      <c r="Y74" s="8" t="str">
        <f t="shared" si="9"/>
        <v/>
      </c>
      <c r="Z74" s="123" t="str">
        <f t="shared" si="10"/>
        <v/>
      </c>
      <c r="AA74" s="192">
        <f t="shared" si="11"/>
        <v>0</v>
      </c>
      <c r="AB74" s="192" t="str">
        <f t="shared" si="15"/>
        <v/>
      </c>
      <c r="AC74" s="192" t="str">
        <f t="shared" si="15"/>
        <v/>
      </c>
      <c r="AE74" s="192">
        <f t="shared" si="13"/>
        <v>0</v>
      </c>
      <c r="BA74" s="192" t="str">
        <f t="shared" si="16"/>
        <v/>
      </c>
      <c r="BB74" s="192" t="str">
        <f t="shared" si="16"/>
        <v/>
      </c>
    </row>
    <row r="75" spans="2:54" ht="35.25" customHeight="1" x14ac:dyDescent="0.25">
      <c r="B75" s="7">
        <f t="shared" si="6"/>
        <v>45</v>
      </c>
      <c r="C75" s="4"/>
      <c r="D75" s="4"/>
      <c r="E75" s="4"/>
      <c r="F75" s="230" t="str">
        <f>IF('תנאי סף'!AO75&lt;&gt;1,"",'תנאי סף'!F75)</f>
        <v>אלקאת התזמורת התימנית</v>
      </c>
      <c r="G75" s="159">
        <f>IF($F75="","",סיווג!G75)</f>
        <v>179700</v>
      </c>
      <c r="H75" s="5">
        <v>179700</v>
      </c>
      <c r="I75" s="6"/>
      <c r="J75" s="5"/>
      <c r="K75" s="6"/>
      <c r="L75" s="5"/>
      <c r="M75" s="6"/>
      <c r="N75" s="6"/>
      <c r="O75" s="158"/>
      <c r="P75" s="177"/>
      <c r="Q75" s="8"/>
      <c r="R75" s="8"/>
      <c r="S75" s="8"/>
      <c r="T75" s="343">
        <f t="shared" si="3"/>
        <v>1</v>
      </c>
      <c r="U75" s="159">
        <f t="shared" si="7"/>
        <v>6</v>
      </c>
      <c r="V75" s="8">
        <v>1</v>
      </c>
      <c r="W75" s="8">
        <f t="shared" si="8"/>
        <v>6</v>
      </c>
      <c r="X75" s="8">
        <v>1</v>
      </c>
      <c r="Y75" s="8">
        <f t="shared" si="9"/>
        <v>6</v>
      </c>
      <c r="Z75" s="123">
        <f t="shared" si="10"/>
        <v>3.6809815950920248E-2</v>
      </c>
      <c r="AA75" s="192">
        <f t="shared" si="11"/>
        <v>1</v>
      </c>
      <c r="AB75" s="192">
        <f t="shared" si="15"/>
        <v>0</v>
      </c>
      <c r="AC75" s="192">
        <f t="shared" si="15"/>
        <v>1</v>
      </c>
      <c r="AE75" s="192">
        <f t="shared" si="13"/>
        <v>1</v>
      </c>
      <c r="BA75" s="192">
        <f t="shared" si="16"/>
        <v>0</v>
      </c>
      <c r="BB75" s="192">
        <f t="shared" si="16"/>
        <v>0</v>
      </c>
    </row>
    <row r="76" spans="2:54" ht="35.25" customHeight="1" x14ac:dyDescent="0.25">
      <c r="B76" s="7" t="str">
        <f t="shared" si="6"/>
        <v/>
      </c>
      <c r="C76" s="4"/>
      <c r="D76" s="4"/>
      <c r="E76" s="4"/>
      <c r="F76" s="230" t="str">
        <f>IF('תנאי סף'!AO76&lt;&gt;1,"",'תנאי סף'!F76)</f>
        <v/>
      </c>
      <c r="G76" s="159" t="str">
        <f>IF($F76="","",סיווג!G76)</f>
        <v/>
      </c>
      <c r="H76" s="5"/>
      <c r="I76" s="6"/>
      <c r="J76" s="5"/>
      <c r="K76" s="6"/>
      <c r="L76" s="5"/>
      <c r="M76" s="6"/>
      <c r="N76" s="6"/>
      <c r="O76" s="158"/>
      <c r="P76" s="177"/>
      <c r="Q76" s="8"/>
      <c r="R76" s="8"/>
      <c r="S76" s="8"/>
      <c r="T76" s="343" t="str">
        <f t="shared" si="3"/>
        <v/>
      </c>
      <c r="U76" s="159" t="str">
        <f t="shared" si="7"/>
        <v/>
      </c>
      <c r="V76" s="8">
        <v>1</v>
      </c>
      <c r="W76" s="8" t="str">
        <f t="shared" si="8"/>
        <v/>
      </c>
      <c r="X76" s="8">
        <v>1</v>
      </c>
      <c r="Y76" s="8" t="str">
        <f t="shared" si="9"/>
        <v/>
      </c>
      <c r="Z76" s="123" t="str">
        <f t="shared" si="10"/>
        <v/>
      </c>
      <c r="AA76" s="192">
        <f t="shared" si="11"/>
        <v>0</v>
      </c>
      <c r="AB76" s="192" t="str">
        <f t="shared" si="15"/>
        <v/>
      </c>
      <c r="AC76" s="192" t="str">
        <f t="shared" si="15"/>
        <v/>
      </c>
      <c r="AE76" s="192">
        <f t="shared" si="13"/>
        <v>0</v>
      </c>
      <c r="BA76" s="192" t="str">
        <f t="shared" si="16"/>
        <v/>
      </c>
      <c r="BB76" s="192" t="str">
        <f t="shared" si="16"/>
        <v/>
      </c>
    </row>
    <row r="77" spans="2:54" ht="35.25" customHeight="1" x14ac:dyDescent="0.25">
      <c r="B77" s="7" t="str">
        <f t="shared" si="6"/>
        <v/>
      </c>
      <c r="C77" s="4"/>
      <c r="D77" s="4"/>
      <c r="E77" s="4"/>
      <c r="F77" s="230" t="str">
        <f>IF('תנאי סף'!AO77&lt;&gt;1,"",'תנאי סף'!F77)</f>
        <v/>
      </c>
      <c r="G77" s="159" t="str">
        <f>IF($F77="","",סיווג!G77)</f>
        <v/>
      </c>
      <c r="H77" s="5"/>
      <c r="I77" s="6"/>
      <c r="J77" s="5"/>
      <c r="K77" s="6"/>
      <c r="L77" s="5"/>
      <c r="M77" s="6"/>
      <c r="N77" s="6"/>
      <c r="O77" s="158"/>
      <c r="P77" s="177"/>
      <c r="Q77" s="8"/>
      <c r="R77" s="8"/>
      <c r="S77" s="8"/>
      <c r="T77" s="343" t="str">
        <f t="shared" si="3"/>
        <v/>
      </c>
      <c r="U77" s="159" t="str">
        <f t="shared" si="7"/>
        <v/>
      </c>
      <c r="V77" s="8">
        <v>1</v>
      </c>
      <c r="W77" s="8" t="str">
        <f t="shared" si="8"/>
        <v/>
      </c>
      <c r="X77" s="8">
        <v>1</v>
      </c>
      <c r="Y77" s="8" t="str">
        <f t="shared" si="9"/>
        <v/>
      </c>
      <c r="Z77" s="123" t="str">
        <f t="shared" si="10"/>
        <v/>
      </c>
      <c r="AA77" s="192">
        <f t="shared" si="11"/>
        <v>0</v>
      </c>
      <c r="AB77" s="192" t="str">
        <f t="shared" si="15"/>
        <v/>
      </c>
      <c r="AC77" s="192" t="str">
        <f t="shared" si="15"/>
        <v/>
      </c>
      <c r="AE77" s="192">
        <f t="shared" si="13"/>
        <v>0</v>
      </c>
      <c r="BA77" s="192" t="str">
        <f t="shared" si="16"/>
        <v/>
      </c>
      <c r="BB77" s="192" t="str">
        <f t="shared" si="16"/>
        <v/>
      </c>
    </row>
    <row r="78" spans="2:54" ht="35.25" customHeight="1" x14ac:dyDescent="0.25">
      <c r="B78" s="7">
        <f t="shared" si="6"/>
        <v>48</v>
      </c>
      <c r="C78" s="4"/>
      <c r="D78" s="4"/>
      <c r="E78" s="4"/>
      <c r="F78" s="230" t="str">
        <f>IF('תנאי סף'!AO78&lt;&gt;1,"",'תנאי סף'!F78)</f>
        <v>גיא מינטוס- טריו</v>
      </c>
      <c r="G78" s="159">
        <f>IF($F78="","",סיווג!G78)</f>
        <v>272603</v>
      </c>
      <c r="H78" s="5">
        <v>142650</v>
      </c>
      <c r="I78" s="6"/>
      <c r="J78" s="5"/>
      <c r="K78" s="6"/>
      <c r="L78" s="5"/>
      <c r="M78" s="6"/>
      <c r="N78" s="6"/>
      <c r="O78" s="158"/>
      <c r="P78" s="177"/>
      <c r="Q78" s="8"/>
      <c r="R78" s="8"/>
      <c r="S78" s="8"/>
      <c r="T78" s="343">
        <f t="shared" si="3"/>
        <v>0.52328844510148453</v>
      </c>
      <c r="U78" s="159">
        <f t="shared" si="7"/>
        <v>4</v>
      </c>
      <c r="V78" s="8">
        <v>1</v>
      </c>
      <c r="W78" s="8">
        <f t="shared" si="8"/>
        <v>4</v>
      </c>
      <c r="X78" s="8">
        <v>1</v>
      </c>
      <c r="Y78" s="8">
        <f t="shared" si="9"/>
        <v>4</v>
      </c>
      <c r="Z78" s="123">
        <f t="shared" si="10"/>
        <v>2.4539877300613498E-2</v>
      </c>
      <c r="AA78" s="192">
        <f t="shared" si="11"/>
        <v>1</v>
      </c>
      <c r="AB78" s="192">
        <f t="shared" si="15"/>
        <v>0</v>
      </c>
      <c r="AC78" s="192">
        <f t="shared" si="15"/>
        <v>1</v>
      </c>
      <c r="AE78" s="192">
        <f t="shared" si="13"/>
        <v>1</v>
      </c>
      <c r="BA78" s="192">
        <f t="shared" si="16"/>
        <v>0</v>
      </c>
      <c r="BB78" s="192">
        <f t="shared" si="16"/>
        <v>0</v>
      </c>
    </row>
    <row r="79" spans="2:54" ht="35.25" customHeight="1" x14ac:dyDescent="0.25">
      <c r="B79" s="7" t="str">
        <f t="shared" si="6"/>
        <v/>
      </c>
      <c r="C79" s="4"/>
      <c r="D79" s="4"/>
      <c r="E79" s="4"/>
      <c r="F79" s="230" t="str">
        <f>IF('תנאי סף'!AO79&lt;&gt;1,"",'תנאי סף'!F79)</f>
        <v/>
      </c>
      <c r="G79" s="159" t="str">
        <f>IF($F79="","",סיווג!G79)</f>
        <v/>
      </c>
      <c r="H79" s="5"/>
      <c r="I79" s="6"/>
      <c r="J79" s="5"/>
      <c r="K79" s="6"/>
      <c r="L79" s="5"/>
      <c r="M79" s="6"/>
      <c r="N79" s="6"/>
      <c r="O79" s="158"/>
      <c r="P79" s="177"/>
      <c r="Q79" s="8"/>
      <c r="R79" s="8"/>
      <c r="S79" s="8"/>
      <c r="T79" s="343" t="str">
        <f t="shared" si="3"/>
        <v/>
      </c>
      <c r="U79" s="159" t="str">
        <f t="shared" si="7"/>
        <v/>
      </c>
      <c r="V79" s="8">
        <v>1</v>
      </c>
      <c r="W79" s="8" t="str">
        <f t="shared" si="8"/>
        <v/>
      </c>
      <c r="X79" s="8">
        <v>1</v>
      </c>
      <c r="Y79" s="8" t="str">
        <f t="shared" si="9"/>
        <v/>
      </c>
      <c r="Z79" s="123" t="str">
        <f t="shared" si="10"/>
        <v/>
      </c>
      <c r="AA79" s="192">
        <f t="shared" si="11"/>
        <v>0</v>
      </c>
      <c r="AB79" s="192" t="str">
        <f t="shared" si="15"/>
        <v/>
      </c>
      <c r="AC79" s="192" t="str">
        <f t="shared" si="15"/>
        <v/>
      </c>
      <c r="AE79" s="192">
        <f t="shared" si="13"/>
        <v>0</v>
      </c>
      <c r="BA79" s="192" t="str">
        <f t="shared" si="16"/>
        <v/>
      </c>
      <c r="BB79" s="192" t="str">
        <f t="shared" si="16"/>
        <v/>
      </c>
    </row>
    <row r="80" spans="2:54" ht="35.25" customHeight="1" x14ac:dyDescent="0.25">
      <c r="B80" s="7" t="str">
        <f t="shared" si="6"/>
        <v/>
      </c>
      <c r="C80" s="4"/>
      <c r="D80" s="4"/>
      <c r="E80" s="4"/>
      <c r="F80" s="230" t="str">
        <f>IF('תנאי סף'!AO80&lt;&gt;1,"",'תנאי סף'!F80)</f>
        <v/>
      </c>
      <c r="G80" s="159" t="str">
        <f>IF($F80="","",סיווג!G80)</f>
        <v/>
      </c>
      <c r="H80" s="5"/>
      <c r="I80" s="6"/>
      <c r="J80" s="5"/>
      <c r="K80" s="6"/>
      <c r="L80" s="5"/>
      <c r="M80" s="6"/>
      <c r="N80" s="6"/>
      <c r="O80" s="158"/>
      <c r="P80" s="177"/>
      <c r="Q80" s="8"/>
      <c r="R80" s="8"/>
      <c r="S80" s="8"/>
      <c r="T80" s="343" t="str">
        <f t="shared" si="3"/>
        <v/>
      </c>
      <c r="U80" s="159" t="str">
        <f t="shared" si="7"/>
        <v/>
      </c>
      <c r="V80" s="8">
        <v>1</v>
      </c>
      <c r="W80" s="8" t="str">
        <f t="shared" si="8"/>
        <v/>
      </c>
      <c r="X80" s="8">
        <v>1</v>
      </c>
      <c r="Y80" s="8" t="str">
        <f t="shared" si="9"/>
        <v/>
      </c>
      <c r="Z80" s="123" t="str">
        <f t="shared" si="10"/>
        <v/>
      </c>
      <c r="AA80" s="192">
        <f t="shared" si="11"/>
        <v>0</v>
      </c>
      <c r="AB80" s="192" t="str">
        <f t="shared" si="15"/>
        <v/>
      </c>
      <c r="AC80" s="192" t="str">
        <f t="shared" si="15"/>
        <v/>
      </c>
      <c r="AE80" s="192">
        <f t="shared" si="13"/>
        <v>0</v>
      </c>
      <c r="BA80" s="192" t="str">
        <f t="shared" si="16"/>
        <v/>
      </c>
      <c r="BB80" s="192" t="str">
        <f t="shared" si="16"/>
        <v/>
      </c>
    </row>
    <row r="81" spans="2:54" ht="35.25" customHeight="1" x14ac:dyDescent="0.25">
      <c r="B81" s="7" t="str">
        <f t="shared" si="6"/>
        <v/>
      </c>
      <c r="C81" s="4"/>
      <c r="D81" s="4"/>
      <c r="E81" s="4"/>
      <c r="F81" s="230" t="str">
        <f>IF('תנאי סף'!AO81&lt;&gt;1,"",'תנאי סף'!F81)</f>
        <v/>
      </c>
      <c r="G81" s="159" t="str">
        <f>IF($F81="","",סיווג!G81)</f>
        <v/>
      </c>
      <c r="H81" s="5"/>
      <c r="I81" s="6"/>
      <c r="J81" s="5"/>
      <c r="K81" s="6"/>
      <c r="L81" s="5"/>
      <c r="M81" s="6"/>
      <c r="N81" s="6"/>
      <c r="O81" s="158"/>
      <c r="P81" s="177"/>
      <c r="Q81" s="8"/>
      <c r="R81" s="8"/>
      <c r="S81" s="8"/>
      <c r="T81" s="343" t="str">
        <f t="shared" si="3"/>
        <v/>
      </c>
      <c r="U81" s="159" t="str">
        <f t="shared" si="7"/>
        <v/>
      </c>
      <c r="V81" s="8">
        <v>1</v>
      </c>
      <c r="W81" s="8" t="str">
        <f t="shared" si="8"/>
        <v/>
      </c>
      <c r="X81" s="8">
        <v>1</v>
      </c>
      <c r="Y81" s="8" t="str">
        <f t="shared" si="9"/>
        <v/>
      </c>
      <c r="Z81" s="123" t="str">
        <f t="shared" si="10"/>
        <v/>
      </c>
      <c r="AA81" s="192">
        <f t="shared" si="11"/>
        <v>0</v>
      </c>
      <c r="AB81" s="192" t="str">
        <f t="shared" si="15"/>
        <v/>
      </c>
      <c r="AC81" s="192" t="str">
        <f t="shared" si="15"/>
        <v/>
      </c>
      <c r="AE81" s="192">
        <f t="shared" si="13"/>
        <v>0</v>
      </c>
      <c r="BA81" s="192" t="str">
        <f t="shared" si="16"/>
        <v/>
      </c>
      <c r="BB81" s="192" t="str">
        <f t="shared" si="16"/>
        <v/>
      </c>
    </row>
    <row r="82" spans="2:54" ht="35.25" customHeight="1" x14ac:dyDescent="0.25">
      <c r="B82" s="7">
        <f t="shared" si="6"/>
        <v>52</v>
      </c>
      <c r="C82" s="4"/>
      <c r="D82" s="4"/>
      <c r="E82" s="4"/>
      <c r="F82" s="230" t="str">
        <f>IF('תנאי סף'!AO82&lt;&gt;1,"",'תנאי סף'!F82)</f>
        <v xml:space="preserve">פולקעס - בר-קיימא לתרבות </v>
      </c>
      <c r="G82" s="159">
        <f>IF($F82="","",סיווג!G82)</f>
        <v>244285</v>
      </c>
      <c r="H82" s="5">
        <v>244285</v>
      </c>
      <c r="I82" s="6"/>
      <c r="J82" s="5"/>
      <c r="K82" s="6"/>
      <c r="L82" s="5"/>
      <c r="M82" s="6"/>
      <c r="N82" s="6"/>
      <c r="O82" s="158"/>
      <c r="P82" s="177"/>
      <c r="Q82" s="8"/>
      <c r="R82" s="8"/>
      <c r="S82" s="8"/>
      <c r="T82" s="343">
        <f t="shared" si="3"/>
        <v>1</v>
      </c>
      <c r="U82" s="159">
        <f t="shared" si="7"/>
        <v>6</v>
      </c>
      <c r="V82" s="8">
        <v>1</v>
      </c>
      <c r="W82" s="8">
        <f t="shared" si="8"/>
        <v>6</v>
      </c>
      <c r="X82" s="8">
        <v>1</v>
      </c>
      <c r="Y82" s="8">
        <f t="shared" si="9"/>
        <v>6</v>
      </c>
      <c r="Z82" s="123">
        <f t="shared" si="10"/>
        <v>3.6809815950920248E-2</v>
      </c>
      <c r="AA82" s="192">
        <f t="shared" si="11"/>
        <v>1</v>
      </c>
      <c r="AB82" s="192">
        <f t="shared" si="15"/>
        <v>0</v>
      </c>
      <c r="AC82" s="192">
        <f t="shared" si="15"/>
        <v>1</v>
      </c>
      <c r="AE82" s="192">
        <f t="shared" si="13"/>
        <v>1</v>
      </c>
      <c r="BA82" s="192">
        <f t="shared" si="16"/>
        <v>0</v>
      </c>
      <c r="BB82" s="192">
        <f t="shared" si="16"/>
        <v>0</v>
      </c>
    </row>
    <row r="83" spans="2:54" ht="35.25" customHeight="1" x14ac:dyDescent="0.25">
      <c r="B83" s="7" t="str">
        <f t="shared" si="6"/>
        <v/>
      </c>
      <c r="C83" s="4"/>
      <c r="D83" s="4"/>
      <c r="E83" s="4"/>
      <c r="F83" s="230" t="str">
        <f>IF('תנאי סף'!AO83&lt;&gt;1,"",'תנאי סף'!F83)</f>
        <v/>
      </c>
      <c r="G83" s="159" t="str">
        <f>IF($F83="","",סיווג!G83)</f>
        <v/>
      </c>
      <c r="H83" s="5"/>
      <c r="I83" s="6"/>
      <c r="J83" s="5"/>
      <c r="K83" s="6"/>
      <c r="L83" s="5"/>
      <c r="M83" s="6"/>
      <c r="N83" s="6"/>
      <c r="O83" s="158"/>
      <c r="P83" s="177"/>
      <c r="Q83" s="8"/>
      <c r="R83" s="8"/>
      <c r="S83" s="8"/>
      <c r="T83" s="343" t="str">
        <f t="shared" si="3"/>
        <v/>
      </c>
      <c r="U83" s="159" t="str">
        <f t="shared" si="7"/>
        <v/>
      </c>
      <c r="V83" s="8">
        <v>1</v>
      </c>
      <c r="W83" s="8" t="str">
        <f t="shared" si="8"/>
        <v/>
      </c>
      <c r="X83" s="8">
        <v>1</v>
      </c>
      <c r="Y83" s="8" t="str">
        <f t="shared" si="9"/>
        <v/>
      </c>
      <c r="Z83" s="123" t="str">
        <f t="shared" si="10"/>
        <v/>
      </c>
      <c r="AA83" s="192">
        <f t="shared" si="11"/>
        <v>0</v>
      </c>
      <c r="AB83" s="192" t="str">
        <f t="shared" si="15"/>
        <v/>
      </c>
      <c r="AC83" s="192" t="str">
        <f t="shared" si="15"/>
        <v/>
      </c>
      <c r="AE83" s="192">
        <f t="shared" si="13"/>
        <v>0</v>
      </c>
      <c r="BA83" s="192" t="str">
        <f t="shared" si="16"/>
        <v/>
      </c>
      <c r="BB83" s="192" t="str">
        <f t="shared" si="16"/>
        <v/>
      </c>
    </row>
    <row r="84" spans="2:54" ht="35.25" customHeight="1" x14ac:dyDescent="0.25">
      <c r="B84" s="7" t="str">
        <f t="shared" si="6"/>
        <v/>
      </c>
      <c r="C84" s="4"/>
      <c r="D84" s="4"/>
      <c r="E84" s="4"/>
      <c r="F84" s="230" t="str">
        <f>IF('תנאי סף'!AO84&lt;&gt;1,"",'תנאי סף'!F84)</f>
        <v/>
      </c>
      <c r="G84" s="159" t="str">
        <f>IF($F84="","",סיווג!G84)</f>
        <v/>
      </c>
      <c r="H84" s="5"/>
      <c r="I84" s="6"/>
      <c r="J84" s="5"/>
      <c r="K84" s="6"/>
      <c r="L84" s="5"/>
      <c r="M84" s="6"/>
      <c r="N84" s="6"/>
      <c r="O84" s="158"/>
      <c r="P84" s="177"/>
      <c r="Q84" s="8"/>
      <c r="R84" s="8"/>
      <c r="S84" s="8"/>
      <c r="T84" s="343" t="str">
        <f t="shared" si="3"/>
        <v/>
      </c>
      <c r="U84" s="159" t="str">
        <f t="shared" si="7"/>
        <v/>
      </c>
      <c r="V84" s="8">
        <v>1</v>
      </c>
      <c r="W84" s="8" t="str">
        <f t="shared" si="8"/>
        <v/>
      </c>
      <c r="X84" s="8">
        <v>1</v>
      </c>
      <c r="Y84" s="8" t="str">
        <f t="shared" si="9"/>
        <v/>
      </c>
      <c r="Z84" s="123" t="str">
        <f t="shared" si="10"/>
        <v/>
      </c>
      <c r="AA84" s="192">
        <f t="shared" si="11"/>
        <v>0</v>
      </c>
      <c r="AB84" s="192" t="str">
        <f t="shared" si="15"/>
        <v/>
      </c>
      <c r="AC84" s="192" t="str">
        <f t="shared" si="15"/>
        <v/>
      </c>
      <c r="AE84" s="192">
        <f t="shared" si="13"/>
        <v>0</v>
      </c>
      <c r="BA84" s="192" t="str">
        <f t="shared" si="16"/>
        <v/>
      </c>
      <c r="BB84" s="192" t="str">
        <f t="shared" si="16"/>
        <v/>
      </c>
    </row>
    <row r="85" spans="2:54" ht="35.25" customHeight="1" x14ac:dyDescent="0.25">
      <c r="B85" s="7">
        <f t="shared" si="6"/>
        <v>55</v>
      </c>
      <c r="C85" s="4"/>
      <c r="D85" s="4"/>
      <c r="E85" s="4"/>
      <c r="F85" s="230" t="str">
        <f>IF('תנאי סף'!AO85&lt;&gt;1,"",'תנאי סף'!F85)</f>
        <v>מכון רננות</v>
      </c>
      <c r="G85" s="159">
        <f>IF($F85="","",סיווג!G85)</f>
        <v>97373</v>
      </c>
      <c r="H85" s="5">
        <v>42020</v>
      </c>
      <c r="I85" s="6"/>
      <c r="J85" s="5"/>
      <c r="K85" s="6"/>
      <c r="L85" s="5"/>
      <c r="M85" s="6"/>
      <c r="N85" s="6"/>
      <c r="O85" s="158"/>
      <c r="P85" s="177"/>
      <c r="Q85" s="8"/>
      <c r="R85" s="8"/>
      <c r="S85" s="8"/>
      <c r="T85" s="343">
        <f t="shared" si="3"/>
        <v>0.43153646287985375</v>
      </c>
      <c r="U85" s="159">
        <f t="shared" si="7"/>
        <v>2</v>
      </c>
      <c r="V85" s="8">
        <v>1</v>
      </c>
      <c r="W85" s="8">
        <f t="shared" si="8"/>
        <v>2</v>
      </c>
      <c r="X85" s="8">
        <v>1</v>
      </c>
      <c r="Y85" s="8">
        <f t="shared" si="9"/>
        <v>2</v>
      </c>
      <c r="Z85" s="123">
        <f t="shared" si="10"/>
        <v>1.2269938650306749E-2</v>
      </c>
      <c r="AA85" s="192">
        <f t="shared" si="11"/>
        <v>1</v>
      </c>
      <c r="AB85" s="192">
        <f t="shared" si="15"/>
        <v>0</v>
      </c>
      <c r="AC85" s="192">
        <f t="shared" si="15"/>
        <v>1</v>
      </c>
      <c r="AE85" s="192">
        <f t="shared" si="13"/>
        <v>1</v>
      </c>
      <c r="BA85" s="192">
        <f t="shared" si="16"/>
        <v>0</v>
      </c>
      <c r="BB85" s="192">
        <f t="shared" si="16"/>
        <v>0</v>
      </c>
    </row>
    <row r="86" spans="2:54" ht="35.25" customHeight="1" x14ac:dyDescent="0.25">
      <c r="B86" s="7" t="str">
        <f t="shared" si="6"/>
        <v/>
      </c>
      <c r="C86" s="4"/>
      <c r="D86" s="4"/>
      <c r="E86" s="4"/>
      <c r="F86" s="230" t="str">
        <f>IF('תנאי סף'!AO86&lt;&gt;1,"",'תנאי סף'!F86)</f>
        <v/>
      </c>
      <c r="G86" s="159" t="str">
        <f>IF($F86="","",סיווג!G86)</f>
        <v/>
      </c>
      <c r="H86" s="5"/>
      <c r="I86" s="6"/>
      <c r="J86" s="5"/>
      <c r="K86" s="6"/>
      <c r="L86" s="5"/>
      <c r="M86" s="6"/>
      <c r="N86" s="6"/>
      <c r="O86" s="158"/>
      <c r="P86" s="177"/>
      <c r="Q86" s="8"/>
      <c r="R86" s="8"/>
      <c r="S86" s="8"/>
      <c r="T86" s="343" t="str">
        <f t="shared" si="3"/>
        <v/>
      </c>
      <c r="U86" s="159" t="str">
        <f t="shared" si="7"/>
        <v/>
      </c>
      <c r="V86" s="8">
        <v>1</v>
      </c>
      <c r="W86" s="8" t="str">
        <f t="shared" si="8"/>
        <v/>
      </c>
      <c r="X86" s="8">
        <v>1</v>
      </c>
      <c r="Y86" s="8" t="str">
        <f t="shared" si="9"/>
        <v/>
      </c>
      <c r="Z86" s="123" t="str">
        <f t="shared" si="10"/>
        <v/>
      </c>
      <c r="AA86" s="192">
        <f t="shared" si="11"/>
        <v>0</v>
      </c>
      <c r="AB86" s="192" t="str">
        <f t="shared" si="15"/>
        <v/>
      </c>
      <c r="AC86" s="192" t="str">
        <f t="shared" si="15"/>
        <v/>
      </c>
      <c r="AE86" s="192">
        <f t="shared" si="13"/>
        <v>0</v>
      </c>
      <c r="BA86" s="192" t="str">
        <f t="shared" si="16"/>
        <v/>
      </c>
      <c r="BB86" s="192" t="str">
        <f t="shared" si="16"/>
        <v/>
      </c>
    </row>
    <row r="87" spans="2:54" ht="35.25" customHeight="1" x14ac:dyDescent="0.25">
      <c r="B87" s="7">
        <f t="shared" si="6"/>
        <v>57</v>
      </c>
      <c r="C87" s="4"/>
      <c r="D87" s="4"/>
      <c r="E87" s="4"/>
      <c r="F87" s="230" t="str">
        <f>IF('תנאי סף'!AO87&lt;&gt;1,"",'תנאי סף'!F87)</f>
        <v>עמותת מפעל המוזיקה צימבליסטה</v>
      </c>
      <c r="G87" s="159">
        <f>IF($F87="","",סיווג!G87)</f>
        <v>139544</v>
      </c>
      <c r="H87" s="5">
        <v>139544</v>
      </c>
      <c r="I87" s="6"/>
      <c r="J87" s="5"/>
      <c r="K87" s="6"/>
      <c r="L87" s="5"/>
      <c r="M87" s="6"/>
      <c r="N87" s="6"/>
      <c r="O87" s="158"/>
      <c r="P87" s="177"/>
      <c r="Q87" s="8"/>
      <c r="R87" s="8"/>
      <c r="S87" s="8"/>
      <c r="T87" s="343">
        <f t="shared" si="3"/>
        <v>1</v>
      </c>
      <c r="U87" s="159">
        <f t="shared" si="7"/>
        <v>6</v>
      </c>
      <c r="V87" s="8">
        <v>1</v>
      </c>
      <c r="W87" s="8">
        <f t="shared" si="8"/>
        <v>6</v>
      </c>
      <c r="X87" s="8">
        <v>1</v>
      </c>
      <c r="Y87" s="8">
        <f t="shared" si="9"/>
        <v>6</v>
      </c>
      <c r="Z87" s="123">
        <f t="shared" si="10"/>
        <v>3.6809815950920248E-2</v>
      </c>
      <c r="AA87" s="192">
        <f t="shared" si="11"/>
        <v>1</v>
      </c>
      <c r="AB87" s="192">
        <f t="shared" si="15"/>
        <v>0</v>
      </c>
      <c r="AC87" s="192">
        <f t="shared" si="15"/>
        <v>1</v>
      </c>
      <c r="AE87" s="192">
        <f t="shared" si="13"/>
        <v>1</v>
      </c>
      <c r="BA87" s="192">
        <f t="shared" si="16"/>
        <v>0</v>
      </c>
      <c r="BB87" s="192">
        <f t="shared" si="16"/>
        <v>0</v>
      </c>
    </row>
    <row r="88" spans="2:54" ht="35.25" customHeight="1" x14ac:dyDescent="0.25">
      <c r="B88" s="7" t="str">
        <f t="shared" si="6"/>
        <v/>
      </c>
      <c r="C88" s="4"/>
      <c r="D88" s="4"/>
      <c r="E88" s="4"/>
      <c r="F88" s="230" t="str">
        <f>IF('תנאי סף'!AO88&lt;&gt;1,"",'תנאי סף'!F88)</f>
        <v/>
      </c>
      <c r="G88" s="159" t="str">
        <f>IF($F88="","",סיווג!G88)</f>
        <v/>
      </c>
      <c r="H88" s="5"/>
      <c r="I88" s="6"/>
      <c r="J88" s="5"/>
      <c r="K88" s="6"/>
      <c r="L88" s="5"/>
      <c r="M88" s="6"/>
      <c r="N88" s="6"/>
      <c r="O88" s="158"/>
      <c r="P88" s="177"/>
      <c r="Q88" s="8"/>
      <c r="R88" s="8"/>
      <c r="S88" s="8"/>
      <c r="T88" s="343" t="str">
        <f t="shared" si="3"/>
        <v/>
      </c>
      <c r="U88" s="159" t="str">
        <f t="shared" si="7"/>
        <v/>
      </c>
      <c r="V88" s="8">
        <v>1</v>
      </c>
      <c r="W88" s="8" t="str">
        <f t="shared" si="8"/>
        <v/>
      </c>
      <c r="X88" s="8">
        <v>1</v>
      </c>
      <c r="Y88" s="8" t="str">
        <f t="shared" si="9"/>
        <v/>
      </c>
      <c r="Z88" s="123" t="str">
        <f t="shared" si="10"/>
        <v/>
      </c>
      <c r="AA88" s="192">
        <f t="shared" si="11"/>
        <v>0</v>
      </c>
      <c r="AB88" s="192" t="str">
        <f t="shared" si="15"/>
        <v/>
      </c>
      <c r="AC88" s="192" t="str">
        <f t="shared" si="15"/>
        <v/>
      </c>
      <c r="AE88" s="192">
        <f t="shared" si="13"/>
        <v>0</v>
      </c>
      <c r="BA88" s="192" t="str">
        <f t="shared" si="16"/>
        <v/>
      </c>
      <c r="BB88" s="192" t="str">
        <f t="shared" si="16"/>
        <v/>
      </c>
    </row>
    <row r="89" spans="2:54" ht="35.25" customHeight="1" x14ac:dyDescent="0.25">
      <c r="B89" s="7">
        <f t="shared" si="6"/>
        <v>59</v>
      </c>
      <c r="C89" s="4"/>
      <c r="D89" s="4"/>
      <c r="E89" s="4"/>
      <c r="F89" s="230" t="str">
        <f>IF('תנאי סף'!AO89&lt;&gt;1,"",'תנאי סף'!F89)</f>
        <v>העמותה לקידום המוסיקה הערבית</v>
      </c>
      <c r="G89" s="159">
        <f>IF($F89="","",סיווג!G89)</f>
        <v>176210</v>
      </c>
      <c r="H89" s="5">
        <v>176210</v>
      </c>
      <c r="I89" s="6"/>
      <c r="J89" s="5"/>
      <c r="K89" s="6"/>
      <c r="L89" s="5"/>
      <c r="M89" s="6"/>
      <c r="N89" s="6"/>
      <c r="O89" s="158"/>
      <c r="P89" s="177"/>
      <c r="Q89" s="8"/>
      <c r="R89" s="8"/>
      <c r="S89" s="8"/>
      <c r="T89" s="343">
        <f t="shared" si="3"/>
        <v>1</v>
      </c>
      <c r="U89" s="159">
        <f t="shared" si="7"/>
        <v>6</v>
      </c>
      <c r="V89" s="8">
        <v>1</v>
      </c>
      <c r="W89" s="8">
        <f t="shared" si="8"/>
        <v>6</v>
      </c>
      <c r="X89" s="8">
        <v>1</v>
      </c>
      <c r="Y89" s="8">
        <f t="shared" si="9"/>
        <v>6</v>
      </c>
      <c r="Z89" s="123">
        <f t="shared" si="10"/>
        <v>3.6809815950920248E-2</v>
      </c>
      <c r="AA89" s="192">
        <f t="shared" si="11"/>
        <v>1</v>
      </c>
      <c r="AB89" s="192">
        <f t="shared" si="15"/>
        <v>0</v>
      </c>
      <c r="AC89" s="192">
        <f t="shared" si="15"/>
        <v>1</v>
      </c>
      <c r="AE89" s="192">
        <f t="shared" si="13"/>
        <v>1</v>
      </c>
      <c r="BA89" s="192">
        <f t="shared" si="16"/>
        <v>0</v>
      </c>
      <c r="BB89" s="192">
        <f t="shared" si="16"/>
        <v>0</v>
      </c>
    </row>
    <row r="90" spans="2:54" ht="35.25" customHeight="1" x14ac:dyDescent="0.25">
      <c r="B90" s="7">
        <f t="shared" si="6"/>
        <v>60</v>
      </c>
      <c r="C90" s="4"/>
      <c r="D90" s="4"/>
      <c r="E90" s="4"/>
      <c r="F90" s="230" t="str">
        <f>IF('תנאי סף'!AO90&lt;&gt;1,"",'תנאי סף'!F90)</f>
        <v>תמיכה בתזמורת TLV (הערבית יהודית)</v>
      </c>
      <c r="G90" s="159">
        <f>IF($F90="","",סיווג!G90)</f>
        <v>251896</v>
      </c>
      <c r="H90" s="5">
        <v>45885</v>
      </c>
      <c r="I90" s="6"/>
      <c r="J90" s="5"/>
      <c r="K90" s="6"/>
      <c r="L90" s="5"/>
      <c r="M90" s="6"/>
      <c r="N90" s="6"/>
      <c r="O90" s="158"/>
      <c r="P90" s="177"/>
      <c r="Q90" s="8"/>
      <c r="R90" s="8"/>
      <c r="S90" s="8"/>
      <c r="T90" s="343">
        <f t="shared" si="3"/>
        <v>0.18215850986121257</v>
      </c>
      <c r="U90" s="159">
        <f t="shared" si="7"/>
        <v>0</v>
      </c>
      <c r="V90" s="8">
        <v>1</v>
      </c>
      <c r="W90" s="8">
        <f t="shared" si="8"/>
        <v>0</v>
      </c>
      <c r="X90" s="8">
        <v>1</v>
      </c>
      <c r="Y90" s="8">
        <f t="shared" si="9"/>
        <v>0</v>
      </c>
      <c r="Z90" s="123">
        <f t="shared" si="10"/>
        <v>0</v>
      </c>
      <c r="AA90" s="192">
        <f t="shared" si="11"/>
        <v>1</v>
      </c>
      <c r="AB90" s="192">
        <f t="shared" si="15"/>
        <v>0</v>
      </c>
      <c r="AC90" s="192">
        <f t="shared" si="15"/>
        <v>1</v>
      </c>
      <c r="AE90" s="192">
        <f t="shared" si="13"/>
        <v>1</v>
      </c>
      <c r="BA90" s="192">
        <f t="shared" si="16"/>
        <v>0</v>
      </c>
      <c r="BB90" s="192">
        <f t="shared" si="16"/>
        <v>0</v>
      </c>
    </row>
    <row r="91" spans="2:54" ht="35.25" customHeight="1" x14ac:dyDescent="0.25">
      <c r="B91" s="7">
        <f t="shared" si="6"/>
        <v>61</v>
      </c>
      <c r="C91" s="4"/>
      <c r="D91" s="4"/>
      <c r="E91" s="4"/>
      <c r="F91" s="230" t="str">
        <f>IF('תנאי סף'!AO91&lt;&gt;1,"",'תנאי סף'!F91)</f>
        <v>אנסמבל גליל</v>
      </c>
      <c r="G91" s="159">
        <f>IF($F91="","",סיווג!G91)</f>
        <v>68771</v>
      </c>
      <c r="H91" s="5">
        <v>68771</v>
      </c>
      <c r="I91" s="6"/>
      <c r="J91" s="5"/>
      <c r="K91" s="6"/>
      <c r="L91" s="5"/>
      <c r="M91" s="6"/>
      <c r="N91" s="6"/>
      <c r="O91" s="158"/>
      <c r="P91" s="177"/>
      <c r="Q91" s="8"/>
      <c r="R91" s="8"/>
      <c r="S91" s="8"/>
      <c r="T91" s="343">
        <f t="shared" si="3"/>
        <v>1</v>
      </c>
      <c r="U91" s="159">
        <f t="shared" si="7"/>
        <v>6</v>
      </c>
      <c r="V91" s="8">
        <v>1</v>
      </c>
      <c r="W91" s="8">
        <f t="shared" si="8"/>
        <v>6</v>
      </c>
      <c r="X91" s="8">
        <v>1</v>
      </c>
      <c r="Y91" s="8">
        <f t="shared" si="9"/>
        <v>6</v>
      </c>
      <c r="Z91" s="123">
        <f t="shared" si="10"/>
        <v>3.6809815950920248E-2</v>
      </c>
      <c r="AA91" s="192">
        <f t="shared" si="11"/>
        <v>1</v>
      </c>
      <c r="AB91" s="192">
        <f t="shared" si="15"/>
        <v>0</v>
      </c>
      <c r="AC91" s="192">
        <f t="shared" si="15"/>
        <v>1</v>
      </c>
      <c r="AE91" s="192">
        <f t="shared" si="13"/>
        <v>1</v>
      </c>
      <c r="BA91" s="192">
        <f t="shared" ref="BA91:BB110" si="17">IF($F91="","",BA$30)</f>
        <v>0</v>
      </c>
      <c r="BB91" s="192">
        <f t="shared" si="17"/>
        <v>0</v>
      </c>
    </row>
    <row r="92" spans="2:54" ht="35.25" customHeight="1" x14ac:dyDescent="0.25">
      <c r="B92" s="7">
        <f t="shared" si="6"/>
        <v>62</v>
      </c>
      <c r="C92" s="4"/>
      <c r="D92" s="4"/>
      <c r="E92" s="4"/>
      <c r="F92" s="230" t="str">
        <f>IF('תנאי סף'!AO92&lt;&gt;1,"",'תנאי סף'!F92)</f>
        <v>דריה- הרכב אינסטרומנטלי</v>
      </c>
      <c r="G92" s="159">
        <f>IF($F92="","",סיווג!G92)</f>
        <v>75173</v>
      </c>
      <c r="H92" s="5">
        <v>57323</v>
      </c>
      <c r="I92" s="6"/>
      <c r="J92" s="5"/>
      <c r="K92" s="6"/>
      <c r="L92" s="5"/>
      <c r="M92" s="6"/>
      <c r="N92" s="6"/>
      <c r="O92" s="158"/>
      <c r="P92" s="177"/>
      <c r="Q92" s="8"/>
      <c r="R92" s="8"/>
      <c r="S92" s="8"/>
      <c r="T92" s="343">
        <f t="shared" si="3"/>
        <v>0.76254772325169939</v>
      </c>
      <c r="U92" s="159">
        <f t="shared" si="7"/>
        <v>6</v>
      </c>
      <c r="V92" s="8">
        <v>1</v>
      </c>
      <c r="W92" s="8">
        <f t="shared" si="8"/>
        <v>6</v>
      </c>
      <c r="X92" s="8">
        <v>1</v>
      </c>
      <c r="Y92" s="8">
        <f t="shared" si="9"/>
        <v>6</v>
      </c>
      <c r="Z92" s="123">
        <f t="shared" si="10"/>
        <v>3.6809815950920248E-2</v>
      </c>
      <c r="AA92" s="192">
        <f t="shared" si="11"/>
        <v>1</v>
      </c>
      <c r="AB92" s="192">
        <f t="shared" ref="AB92:AC130" si="18">IF($F92="","",AB$30)</f>
        <v>0</v>
      </c>
      <c r="AC92" s="192">
        <f t="shared" si="18"/>
        <v>1</v>
      </c>
      <c r="AE92" s="192">
        <f t="shared" si="13"/>
        <v>1</v>
      </c>
      <c r="BA92" s="192">
        <f t="shared" si="17"/>
        <v>0</v>
      </c>
      <c r="BB92" s="192">
        <f t="shared" si="17"/>
        <v>0</v>
      </c>
    </row>
    <row r="93" spans="2:54" ht="35.25" customHeight="1" x14ac:dyDescent="0.25">
      <c r="B93" s="7">
        <f t="shared" si="6"/>
        <v>63</v>
      </c>
      <c r="C93" s="4"/>
      <c r="D93" s="4"/>
      <c r="E93" s="4"/>
      <c r="F93" s="230" t="str">
        <f>IF('תנאי סף'!AO93&lt;&gt;1,"",'תנאי סף'!F93)</f>
        <v>להקת שלוש</v>
      </c>
      <c r="G93" s="159">
        <f>IF($F93="","",סיווג!G93)</f>
        <v>140893</v>
      </c>
      <c r="H93" s="5">
        <v>140893</v>
      </c>
      <c r="I93" s="6"/>
      <c r="J93" s="5"/>
      <c r="K93" s="6"/>
      <c r="L93" s="5"/>
      <c r="M93" s="6"/>
      <c r="N93" s="6"/>
      <c r="O93" s="158"/>
      <c r="P93" s="177"/>
      <c r="Q93" s="8"/>
      <c r="R93" s="8"/>
      <c r="S93" s="8"/>
      <c r="T93" s="343">
        <f t="shared" si="3"/>
        <v>1</v>
      </c>
      <c r="U93" s="159">
        <f t="shared" si="7"/>
        <v>6</v>
      </c>
      <c r="V93" s="8">
        <v>1</v>
      </c>
      <c r="W93" s="8">
        <f t="shared" si="8"/>
        <v>6</v>
      </c>
      <c r="X93" s="8">
        <v>1</v>
      </c>
      <c r="Y93" s="8">
        <f t="shared" si="9"/>
        <v>6</v>
      </c>
      <c r="Z93" s="123">
        <f t="shared" si="10"/>
        <v>3.6809815950920248E-2</v>
      </c>
      <c r="AA93" s="192">
        <f t="shared" si="11"/>
        <v>1</v>
      </c>
      <c r="AB93" s="192">
        <f t="shared" si="18"/>
        <v>0</v>
      </c>
      <c r="AC93" s="192">
        <f t="shared" si="18"/>
        <v>1</v>
      </c>
      <c r="AE93" s="192">
        <f t="shared" si="13"/>
        <v>1</v>
      </c>
      <c r="BA93" s="192">
        <f t="shared" si="17"/>
        <v>0</v>
      </c>
      <c r="BB93" s="192">
        <f t="shared" si="17"/>
        <v>0</v>
      </c>
    </row>
    <row r="94" spans="2:54" ht="35.25" customHeight="1" x14ac:dyDescent="0.25">
      <c r="B94" s="7">
        <f t="shared" si="6"/>
        <v>64</v>
      </c>
      <c r="C94" s="4"/>
      <c r="D94" s="4"/>
      <c r="E94" s="4"/>
      <c r="F94" s="230" t="str">
        <f>IF('תנאי סף'!AO94&lt;&gt;1,"",'תנאי סף'!F94)</f>
        <v>רביעיית טוסקאניני</v>
      </c>
      <c r="G94" s="159">
        <f>IF($F94="","",סיווג!G94)</f>
        <v>64829</v>
      </c>
      <c r="H94" s="5">
        <v>64829</v>
      </c>
      <c r="I94" s="6"/>
      <c r="J94" s="5"/>
      <c r="K94" s="6"/>
      <c r="L94" s="5"/>
      <c r="M94" s="6"/>
      <c r="N94" s="6"/>
      <c r="O94" s="158"/>
      <c r="P94" s="177"/>
      <c r="Q94" s="8"/>
      <c r="R94" s="8"/>
      <c r="S94" s="8"/>
      <c r="T94" s="343">
        <f t="shared" si="3"/>
        <v>1</v>
      </c>
      <c r="U94" s="159">
        <f t="shared" si="7"/>
        <v>6</v>
      </c>
      <c r="V94" s="8">
        <v>1</v>
      </c>
      <c r="W94" s="8">
        <f t="shared" si="8"/>
        <v>6</v>
      </c>
      <c r="X94" s="8">
        <v>1</v>
      </c>
      <c r="Y94" s="8">
        <f t="shared" si="9"/>
        <v>6</v>
      </c>
      <c r="Z94" s="123">
        <f t="shared" si="10"/>
        <v>3.6809815950920248E-2</v>
      </c>
      <c r="AA94" s="192">
        <f t="shared" si="11"/>
        <v>1</v>
      </c>
      <c r="AB94" s="192">
        <f t="shared" si="18"/>
        <v>0</v>
      </c>
      <c r="AC94" s="192">
        <f t="shared" si="18"/>
        <v>1</v>
      </c>
      <c r="AE94" s="192">
        <f t="shared" si="13"/>
        <v>1</v>
      </c>
      <c r="BA94" s="192">
        <f t="shared" si="17"/>
        <v>0</v>
      </c>
      <c r="BB94" s="192">
        <f t="shared" si="17"/>
        <v>0</v>
      </c>
    </row>
    <row r="95" spans="2:54" ht="35.25" customHeight="1" x14ac:dyDescent="0.25">
      <c r="B95" s="7">
        <f t="shared" si="6"/>
        <v>65</v>
      </c>
      <c r="C95" s="4"/>
      <c r="D95" s="4"/>
      <c r="E95" s="4"/>
      <c r="F95" s="230" t="str">
        <f>IF('תנאי סף'!AO95&lt;&gt;1,"",'תנאי סף'!F95)</f>
        <v>תקוע-קבוצה מוזיקלית - 'דאפה' 2024</v>
      </c>
      <c r="G95" s="159">
        <f>IF($F95="","",סיווג!G95)</f>
        <v>176210</v>
      </c>
      <c r="H95" s="5">
        <v>176210</v>
      </c>
      <c r="I95" s="6"/>
      <c r="J95" s="5"/>
      <c r="K95" s="6"/>
      <c r="L95" s="5"/>
      <c r="M95" s="6"/>
      <c r="N95" s="6"/>
      <c r="O95" s="158"/>
      <c r="P95" s="177"/>
      <c r="Q95" s="8"/>
      <c r="R95" s="8"/>
      <c r="S95" s="8"/>
      <c r="T95" s="343">
        <f t="shared" ref="T95:T120" si="19">IF($F95="","",IF($AA95&lt;&gt;1,$AB$1,IF(H95&gt;G95,$AB$1,H95/G95)))</f>
        <v>1</v>
      </c>
      <c r="U95" s="159">
        <f t="shared" si="7"/>
        <v>6</v>
      </c>
      <c r="V95" s="8">
        <v>1</v>
      </c>
      <c r="W95" s="8">
        <f t="shared" si="8"/>
        <v>6</v>
      </c>
      <c r="X95" s="8">
        <v>1</v>
      </c>
      <c r="Y95" s="8">
        <f t="shared" si="9"/>
        <v>6</v>
      </c>
      <c r="Z95" s="123">
        <f t="shared" si="10"/>
        <v>3.6809815950920248E-2</v>
      </c>
      <c r="AA95" s="192">
        <f t="shared" si="11"/>
        <v>1</v>
      </c>
      <c r="AB95" s="192">
        <f t="shared" si="18"/>
        <v>0</v>
      </c>
      <c r="AC95" s="192">
        <f t="shared" si="18"/>
        <v>1</v>
      </c>
      <c r="AE95" s="192">
        <f t="shared" si="13"/>
        <v>1</v>
      </c>
      <c r="BA95" s="192">
        <f t="shared" si="17"/>
        <v>0</v>
      </c>
      <c r="BB95" s="192">
        <f t="shared" si="17"/>
        <v>0</v>
      </c>
    </row>
    <row r="96" spans="2:54" ht="35.25" customHeight="1" x14ac:dyDescent="0.25">
      <c r="B96" s="7">
        <f t="shared" ref="B96:B130" si="20">IF(F96="","",ROW()-30)</f>
        <v>66</v>
      </c>
      <c r="C96" s="4"/>
      <c r="D96" s="4"/>
      <c r="E96" s="4"/>
      <c r="F96" s="230" t="str">
        <f>IF('תנאי סף'!AO96&lt;&gt;1,"",'תנאי סף'!F96)</f>
        <v>טריו בן חיים</v>
      </c>
      <c r="G96" s="159">
        <f>IF($F96="","",סיווג!G96)</f>
        <v>51000</v>
      </c>
      <c r="H96" s="5">
        <v>51000</v>
      </c>
      <c r="I96" s="6"/>
      <c r="J96" s="5"/>
      <c r="K96" s="6"/>
      <c r="L96" s="5"/>
      <c r="M96" s="6"/>
      <c r="N96" s="6"/>
      <c r="O96" s="158"/>
      <c r="P96" s="177"/>
      <c r="Q96" s="8"/>
      <c r="R96" s="8"/>
      <c r="S96" s="8"/>
      <c r="T96" s="343">
        <f t="shared" si="19"/>
        <v>1</v>
      </c>
      <c r="U96" s="159">
        <f t="shared" ref="U96:U130" si="21">IF($F96="","",IF($AA96&lt;&gt;1,$AB$1,IF(H96=0,$G$5,INDEX($G$5:$G$9,MATCH(T96-0.00000000001,$F$5:$F$9,1)))))</f>
        <v>6</v>
      </c>
      <c r="V96" s="8">
        <v>1</v>
      </c>
      <c r="W96" s="8">
        <f t="shared" ref="W96:W130" si="22">IF($F96="","",IF($AA96&lt;&gt;1,$AB$1,IFERROR(U96*V96,$AB$1)))</f>
        <v>6</v>
      </c>
      <c r="X96" s="8">
        <v>1</v>
      </c>
      <c r="Y96" s="8">
        <f t="shared" ref="Y96:Y130" si="23">IF($F96="","",IF($AA96&lt;&gt;1,$AB$1,IFERROR(W96*X96,$AB$1)))</f>
        <v>6</v>
      </c>
      <c r="Z96" s="123">
        <f t="shared" ref="Z96:Z130" si="24">IF($F96="","",IF(OR($AA96&lt;&gt;1,Y96=$AB$1),$AB$1,IFERROR(Y96/SUM($Y$31:$Y$130),0)))</f>
        <v>3.6809815950920248E-2</v>
      </c>
      <c r="AA96" s="192">
        <f t="shared" ref="AA96:AA130" si="25">IF(SUM(AD96:AV96)=COUNT(AD96:AV96),1,0)</f>
        <v>1</v>
      </c>
      <c r="AB96" s="192">
        <f t="shared" si="18"/>
        <v>0</v>
      </c>
      <c r="AC96" s="192">
        <f t="shared" si="18"/>
        <v>1</v>
      </c>
      <c r="AE96" s="192">
        <f t="shared" si="13"/>
        <v>1</v>
      </c>
      <c r="BA96" s="192">
        <f t="shared" si="17"/>
        <v>0</v>
      </c>
      <c r="BB96" s="192">
        <f t="shared" si="17"/>
        <v>0</v>
      </c>
    </row>
    <row r="97" spans="2:54" ht="35.25" customHeight="1" x14ac:dyDescent="0.25">
      <c r="B97" s="7" t="str">
        <f t="shared" si="20"/>
        <v/>
      </c>
      <c r="C97" s="4"/>
      <c r="D97" s="4"/>
      <c r="E97" s="4"/>
      <c r="F97" s="230" t="str">
        <f>IF('תנאי סף'!AO97&lt;&gt;1,"",'תנאי סף'!F97)</f>
        <v/>
      </c>
      <c r="G97" s="159" t="str">
        <f>IF($F97="","",סיווג!G97)</f>
        <v/>
      </c>
      <c r="H97" s="5"/>
      <c r="I97" s="6"/>
      <c r="J97" s="5"/>
      <c r="K97" s="6"/>
      <c r="L97" s="5"/>
      <c r="M97" s="6"/>
      <c r="N97" s="6"/>
      <c r="O97" s="158"/>
      <c r="P97" s="177"/>
      <c r="Q97" s="8"/>
      <c r="R97" s="8"/>
      <c r="S97" s="8"/>
      <c r="T97" s="343" t="str">
        <f t="shared" si="19"/>
        <v/>
      </c>
      <c r="U97" s="159" t="str">
        <f t="shared" si="21"/>
        <v/>
      </c>
      <c r="V97" s="8">
        <v>1</v>
      </c>
      <c r="W97" s="8" t="str">
        <f t="shared" si="22"/>
        <v/>
      </c>
      <c r="X97" s="8">
        <v>1</v>
      </c>
      <c r="Y97" s="8" t="str">
        <f t="shared" si="23"/>
        <v/>
      </c>
      <c r="Z97" s="123" t="str">
        <f t="shared" si="24"/>
        <v/>
      </c>
      <c r="AA97" s="192">
        <f t="shared" si="25"/>
        <v>0</v>
      </c>
      <c r="AB97" s="192" t="str">
        <f t="shared" si="18"/>
        <v/>
      </c>
      <c r="AC97" s="192" t="str">
        <f t="shared" si="18"/>
        <v/>
      </c>
      <c r="AE97" s="192">
        <f t="shared" si="13"/>
        <v>0</v>
      </c>
      <c r="BA97" s="192" t="str">
        <f t="shared" si="17"/>
        <v/>
      </c>
      <c r="BB97" s="192" t="str">
        <f t="shared" si="17"/>
        <v/>
      </c>
    </row>
    <row r="98" spans="2:54" ht="35.25" customHeight="1" x14ac:dyDescent="0.25">
      <c r="B98" s="7">
        <f t="shared" si="20"/>
        <v>68</v>
      </c>
      <c r="C98" s="4"/>
      <c r="D98" s="4"/>
      <c r="E98" s="4"/>
      <c r="F98" s="230" t="str">
        <f>IF('תנאי סף'!AO98&lt;&gt;1,"",'תנאי סף'!F98)</f>
        <v>אמיתי אריכא והפרויקט D1</v>
      </c>
      <c r="G98" s="159">
        <f>IF($F98="","",סיווג!G98)</f>
        <v>87586</v>
      </c>
      <c r="H98" s="5">
        <v>87586</v>
      </c>
      <c r="I98" s="6"/>
      <c r="J98" s="5"/>
      <c r="K98" s="6"/>
      <c r="L98" s="5"/>
      <c r="M98" s="6"/>
      <c r="N98" s="6"/>
      <c r="O98" s="158"/>
      <c r="P98" s="177"/>
      <c r="Q98" s="8"/>
      <c r="R98" s="8"/>
      <c r="S98" s="8"/>
      <c r="T98" s="343">
        <f t="shared" si="19"/>
        <v>1</v>
      </c>
      <c r="U98" s="159">
        <f t="shared" si="21"/>
        <v>6</v>
      </c>
      <c r="V98" s="8">
        <v>1</v>
      </c>
      <c r="W98" s="8">
        <f t="shared" si="22"/>
        <v>6</v>
      </c>
      <c r="X98" s="8">
        <v>1</v>
      </c>
      <c r="Y98" s="8">
        <f t="shared" si="23"/>
        <v>6</v>
      </c>
      <c r="Z98" s="123">
        <f t="shared" si="24"/>
        <v>3.6809815950920248E-2</v>
      </c>
      <c r="AA98" s="192">
        <f t="shared" si="25"/>
        <v>1</v>
      </c>
      <c r="AB98" s="192">
        <f t="shared" si="18"/>
        <v>0</v>
      </c>
      <c r="AC98" s="192">
        <f t="shared" si="18"/>
        <v>1</v>
      </c>
      <c r="AE98" s="192">
        <f t="shared" si="13"/>
        <v>1</v>
      </c>
      <c r="BA98" s="192">
        <f t="shared" si="17"/>
        <v>0</v>
      </c>
      <c r="BB98" s="192">
        <f t="shared" si="17"/>
        <v>0</v>
      </c>
    </row>
    <row r="99" spans="2:54" x14ac:dyDescent="0.25">
      <c r="B99" s="7" t="str">
        <f t="shared" si="20"/>
        <v/>
      </c>
      <c r="C99" s="4"/>
      <c r="D99" s="4"/>
      <c r="E99" s="4"/>
      <c r="F99" s="230" t="str">
        <f>IF('תנאי סף'!AO99&lt;&gt;1,"",'תנאי סף'!F99)</f>
        <v/>
      </c>
      <c r="G99" s="159" t="str">
        <f>IF($F99="","",סיווג!G99)</f>
        <v/>
      </c>
      <c r="H99" s="5"/>
      <c r="I99" s="6"/>
      <c r="J99" s="5"/>
      <c r="K99" s="6"/>
      <c r="L99" s="5"/>
      <c r="M99" s="6"/>
      <c r="N99" s="6"/>
      <c r="O99" s="158"/>
      <c r="P99" s="177"/>
      <c r="Q99" s="8"/>
      <c r="R99" s="8"/>
      <c r="S99" s="8"/>
      <c r="T99" s="343" t="str">
        <f t="shared" si="19"/>
        <v/>
      </c>
      <c r="U99" s="159" t="str">
        <f t="shared" si="21"/>
        <v/>
      </c>
      <c r="V99" s="8">
        <v>1</v>
      </c>
      <c r="W99" s="8" t="str">
        <f t="shared" si="22"/>
        <v/>
      </c>
      <c r="X99" s="8">
        <v>1</v>
      </c>
      <c r="Y99" s="8" t="str">
        <f t="shared" si="23"/>
        <v/>
      </c>
      <c r="Z99" s="123" t="str">
        <f t="shared" si="24"/>
        <v/>
      </c>
      <c r="AA99" s="192">
        <f t="shared" si="25"/>
        <v>0</v>
      </c>
      <c r="AB99" s="192" t="str">
        <f t="shared" si="18"/>
        <v/>
      </c>
      <c r="AC99" s="192" t="str">
        <f t="shared" si="18"/>
        <v/>
      </c>
      <c r="AE99" s="192">
        <f t="shared" si="13"/>
        <v>0</v>
      </c>
      <c r="BA99" s="192" t="str">
        <f t="shared" si="17"/>
        <v/>
      </c>
      <c r="BB99" s="192" t="str">
        <f t="shared" si="17"/>
        <v/>
      </c>
    </row>
    <row r="100" spans="2:54" x14ac:dyDescent="0.25">
      <c r="B100" s="7" t="str">
        <f t="shared" si="20"/>
        <v/>
      </c>
      <c r="C100" s="4"/>
      <c r="D100" s="4"/>
      <c r="E100" s="4"/>
      <c r="F100" s="230" t="str">
        <f>IF('תנאי סף'!AO100&lt;&gt;1,"",'תנאי סף'!F100)</f>
        <v/>
      </c>
      <c r="G100" s="159" t="str">
        <f>IF($F100="","",סיווג!G100)</f>
        <v/>
      </c>
      <c r="H100" s="5"/>
      <c r="I100" s="6"/>
      <c r="J100" s="5"/>
      <c r="K100" s="6"/>
      <c r="L100" s="5"/>
      <c r="M100" s="6"/>
      <c r="N100" s="6"/>
      <c r="O100" s="158"/>
      <c r="P100" s="177"/>
      <c r="Q100" s="8"/>
      <c r="R100" s="8"/>
      <c r="S100" s="8"/>
      <c r="T100" s="343" t="str">
        <f t="shared" si="19"/>
        <v/>
      </c>
      <c r="U100" s="159" t="str">
        <f t="shared" si="21"/>
        <v/>
      </c>
      <c r="V100" s="8">
        <v>1</v>
      </c>
      <c r="W100" s="8" t="str">
        <f t="shared" si="22"/>
        <v/>
      </c>
      <c r="X100" s="8">
        <v>1</v>
      </c>
      <c r="Y100" s="8" t="str">
        <f t="shared" si="23"/>
        <v/>
      </c>
      <c r="Z100" s="123" t="str">
        <f t="shared" si="24"/>
        <v/>
      </c>
      <c r="AA100" s="192">
        <f t="shared" si="25"/>
        <v>0</v>
      </c>
      <c r="AB100" s="192" t="str">
        <f t="shared" si="18"/>
        <v/>
      </c>
      <c r="AC100" s="192" t="str">
        <f t="shared" si="18"/>
        <v/>
      </c>
      <c r="AE100" s="192">
        <f t="shared" si="13"/>
        <v>0</v>
      </c>
      <c r="BA100" s="192" t="str">
        <f t="shared" si="17"/>
        <v/>
      </c>
      <c r="BB100" s="192" t="str">
        <f t="shared" si="17"/>
        <v/>
      </c>
    </row>
    <row r="101" spans="2:54" x14ac:dyDescent="0.25">
      <c r="B101" s="7" t="str">
        <f t="shared" si="20"/>
        <v/>
      </c>
      <c r="C101" s="4"/>
      <c r="D101" s="4"/>
      <c r="E101" s="4"/>
      <c r="F101" s="230" t="str">
        <f>IF('תנאי סף'!AO101&lt;&gt;1,"",'תנאי סף'!F101)</f>
        <v/>
      </c>
      <c r="G101" s="159" t="str">
        <f>IF($F101="","",סיווג!G101)</f>
        <v/>
      </c>
      <c r="H101" s="5"/>
      <c r="I101" s="6"/>
      <c r="J101" s="5"/>
      <c r="K101" s="6"/>
      <c r="L101" s="5"/>
      <c r="M101" s="6"/>
      <c r="N101" s="6"/>
      <c r="O101" s="158"/>
      <c r="P101" s="177"/>
      <c r="Q101" s="8"/>
      <c r="R101" s="8"/>
      <c r="S101" s="8"/>
      <c r="T101" s="343" t="str">
        <f t="shared" si="19"/>
        <v/>
      </c>
      <c r="U101" s="159" t="str">
        <f t="shared" si="21"/>
        <v/>
      </c>
      <c r="V101" s="8">
        <v>1</v>
      </c>
      <c r="W101" s="8" t="str">
        <f t="shared" si="22"/>
        <v/>
      </c>
      <c r="X101" s="8">
        <v>1</v>
      </c>
      <c r="Y101" s="8" t="str">
        <f t="shared" si="23"/>
        <v/>
      </c>
      <c r="Z101" s="123" t="str">
        <f t="shared" si="24"/>
        <v/>
      </c>
      <c r="AA101" s="192">
        <f t="shared" si="25"/>
        <v>0</v>
      </c>
      <c r="AB101" s="192" t="str">
        <f t="shared" si="18"/>
        <v/>
      </c>
      <c r="AC101" s="192" t="str">
        <f t="shared" si="18"/>
        <v/>
      </c>
      <c r="AE101" s="192">
        <f t="shared" si="13"/>
        <v>0</v>
      </c>
      <c r="BA101" s="192" t="str">
        <f t="shared" si="17"/>
        <v/>
      </c>
      <c r="BB101" s="192" t="str">
        <f t="shared" si="17"/>
        <v/>
      </c>
    </row>
    <row r="102" spans="2:54" x14ac:dyDescent="0.25">
      <c r="B102" s="7" t="str">
        <f t="shared" si="20"/>
        <v/>
      </c>
      <c r="C102" s="4"/>
      <c r="D102" s="4"/>
      <c r="E102" s="4"/>
      <c r="F102" s="230" t="str">
        <f>IF('תנאי סף'!AO102&lt;&gt;1,"",'תנאי סף'!F102)</f>
        <v/>
      </c>
      <c r="G102" s="159" t="str">
        <f>IF($F102="","",סיווג!G102)</f>
        <v/>
      </c>
      <c r="H102" s="5"/>
      <c r="I102" s="6"/>
      <c r="J102" s="5"/>
      <c r="K102" s="6"/>
      <c r="L102" s="5"/>
      <c r="M102" s="6"/>
      <c r="N102" s="6"/>
      <c r="O102" s="158"/>
      <c r="P102" s="177"/>
      <c r="Q102" s="8"/>
      <c r="R102" s="8"/>
      <c r="S102" s="8"/>
      <c r="T102" s="343" t="str">
        <f t="shared" si="19"/>
        <v/>
      </c>
      <c r="U102" s="159" t="str">
        <f t="shared" si="21"/>
        <v/>
      </c>
      <c r="V102" s="8">
        <v>1</v>
      </c>
      <c r="W102" s="8" t="str">
        <f t="shared" si="22"/>
        <v/>
      </c>
      <c r="X102" s="8">
        <v>1</v>
      </c>
      <c r="Y102" s="8" t="str">
        <f t="shared" si="23"/>
        <v/>
      </c>
      <c r="Z102" s="123" t="str">
        <f t="shared" si="24"/>
        <v/>
      </c>
      <c r="AA102" s="192">
        <f t="shared" si="25"/>
        <v>0</v>
      </c>
      <c r="AB102" s="192" t="str">
        <f t="shared" si="18"/>
        <v/>
      </c>
      <c r="AC102" s="192" t="str">
        <f t="shared" si="18"/>
        <v/>
      </c>
      <c r="AE102" s="192">
        <f t="shared" si="13"/>
        <v>0</v>
      </c>
      <c r="BA102" s="192" t="str">
        <f t="shared" si="17"/>
        <v/>
      </c>
      <c r="BB102" s="192" t="str">
        <f t="shared" si="17"/>
        <v/>
      </c>
    </row>
    <row r="103" spans="2:54" x14ac:dyDescent="0.25">
      <c r="B103" s="7" t="str">
        <f t="shared" si="20"/>
        <v/>
      </c>
      <c r="C103" s="4"/>
      <c r="D103" s="4"/>
      <c r="E103" s="4"/>
      <c r="F103" s="230" t="str">
        <f>IF('תנאי סף'!AO103&lt;&gt;1,"",'תנאי סף'!F103)</f>
        <v/>
      </c>
      <c r="G103" s="159" t="str">
        <f>IF($F103="","",סיווג!G103)</f>
        <v/>
      </c>
      <c r="H103" s="5"/>
      <c r="I103" s="6"/>
      <c r="J103" s="5"/>
      <c r="K103" s="6"/>
      <c r="L103" s="5"/>
      <c r="M103" s="6"/>
      <c r="N103" s="6"/>
      <c r="O103" s="158"/>
      <c r="P103" s="177"/>
      <c r="Q103" s="8"/>
      <c r="R103" s="8"/>
      <c r="S103" s="8"/>
      <c r="T103" s="343" t="str">
        <f t="shared" si="19"/>
        <v/>
      </c>
      <c r="U103" s="159" t="str">
        <f t="shared" si="21"/>
        <v/>
      </c>
      <c r="V103" s="8">
        <v>1</v>
      </c>
      <c r="W103" s="8" t="str">
        <f t="shared" si="22"/>
        <v/>
      </c>
      <c r="X103" s="8">
        <v>1</v>
      </c>
      <c r="Y103" s="8" t="str">
        <f t="shared" si="23"/>
        <v/>
      </c>
      <c r="Z103" s="123" t="str">
        <f t="shared" si="24"/>
        <v/>
      </c>
      <c r="AA103" s="192">
        <f t="shared" si="25"/>
        <v>0</v>
      </c>
      <c r="AB103" s="192" t="str">
        <f t="shared" si="18"/>
        <v/>
      </c>
      <c r="AC103" s="192" t="str">
        <f t="shared" si="18"/>
        <v/>
      </c>
      <c r="AE103" s="192">
        <f t="shared" si="13"/>
        <v>0</v>
      </c>
      <c r="BA103" s="192" t="str">
        <f t="shared" si="17"/>
        <v/>
      </c>
      <c r="BB103" s="192" t="str">
        <f t="shared" si="17"/>
        <v/>
      </c>
    </row>
    <row r="104" spans="2:54" x14ac:dyDescent="0.25">
      <c r="B104" s="7" t="str">
        <f t="shared" si="20"/>
        <v/>
      </c>
      <c r="C104" s="4"/>
      <c r="D104" s="4"/>
      <c r="E104" s="4"/>
      <c r="F104" s="230" t="str">
        <f>IF('תנאי סף'!AO104&lt;&gt;1,"",'תנאי סף'!F104)</f>
        <v/>
      </c>
      <c r="G104" s="159" t="str">
        <f>IF($F104="","",סיווג!G104)</f>
        <v/>
      </c>
      <c r="H104" s="5"/>
      <c r="I104" s="6"/>
      <c r="J104" s="5"/>
      <c r="K104" s="6"/>
      <c r="L104" s="5"/>
      <c r="M104" s="6"/>
      <c r="N104" s="6"/>
      <c r="O104" s="158"/>
      <c r="P104" s="177"/>
      <c r="Q104" s="8"/>
      <c r="R104" s="8"/>
      <c r="S104" s="8"/>
      <c r="T104" s="343" t="str">
        <f t="shared" si="19"/>
        <v/>
      </c>
      <c r="U104" s="159" t="str">
        <f t="shared" si="21"/>
        <v/>
      </c>
      <c r="V104" s="8">
        <v>1</v>
      </c>
      <c r="W104" s="8" t="str">
        <f t="shared" si="22"/>
        <v/>
      </c>
      <c r="X104" s="8">
        <v>1</v>
      </c>
      <c r="Y104" s="8" t="str">
        <f t="shared" si="23"/>
        <v/>
      </c>
      <c r="Z104" s="123" t="str">
        <f t="shared" si="24"/>
        <v/>
      </c>
      <c r="AA104" s="192">
        <f t="shared" si="25"/>
        <v>0</v>
      </c>
      <c r="AB104" s="192" t="str">
        <f t="shared" si="18"/>
        <v/>
      </c>
      <c r="AC104" s="192" t="str">
        <f t="shared" si="18"/>
        <v/>
      </c>
      <c r="AE104" s="192">
        <f t="shared" si="13"/>
        <v>0</v>
      </c>
      <c r="BA104" s="192" t="str">
        <f t="shared" si="17"/>
        <v/>
      </c>
      <c r="BB104" s="192" t="str">
        <f t="shared" si="17"/>
        <v/>
      </c>
    </row>
    <row r="105" spans="2:54" x14ac:dyDescent="0.25">
      <c r="B105" s="7">
        <f t="shared" si="20"/>
        <v>75</v>
      </c>
      <c r="C105" s="4"/>
      <c r="D105" s="4"/>
      <c r="E105" s="4"/>
      <c r="F105" s="230" t="str">
        <f>IF('תנאי סף'!AO105&lt;&gt;1,"",'תנאי סף'!F105)</f>
        <v>לבונטין 7</v>
      </c>
      <c r="G105" s="159">
        <f>IF($F105="","",סיווג!G105)</f>
        <v>68976</v>
      </c>
      <c r="H105" s="5">
        <v>68976</v>
      </c>
      <c r="I105" s="6"/>
      <c r="J105" s="5"/>
      <c r="K105" s="6"/>
      <c r="L105" s="5"/>
      <c r="M105" s="6"/>
      <c r="N105" s="6"/>
      <c r="O105" s="158"/>
      <c r="P105" s="177"/>
      <c r="Q105" s="8"/>
      <c r="R105" s="8"/>
      <c r="S105" s="8"/>
      <c r="T105" s="343">
        <f t="shared" si="19"/>
        <v>1</v>
      </c>
      <c r="U105" s="159">
        <f t="shared" si="21"/>
        <v>6</v>
      </c>
      <c r="V105" s="8">
        <v>1</v>
      </c>
      <c r="W105" s="8">
        <f t="shared" si="22"/>
        <v>6</v>
      </c>
      <c r="X105" s="8">
        <v>1</v>
      </c>
      <c r="Y105" s="8">
        <f t="shared" si="23"/>
        <v>6</v>
      </c>
      <c r="Z105" s="123">
        <f t="shared" si="24"/>
        <v>3.6809815950920248E-2</v>
      </c>
      <c r="AA105" s="192">
        <f t="shared" si="25"/>
        <v>1</v>
      </c>
      <c r="AB105" s="192">
        <f t="shared" si="18"/>
        <v>0</v>
      </c>
      <c r="AC105" s="192">
        <f t="shared" si="18"/>
        <v>1</v>
      </c>
      <c r="AE105" s="192">
        <f t="shared" si="13"/>
        <v>1</v>
      </c>
      <c r="BA105" s="192">
        <f t="shared" si="17"/>
        <v>0</v>
      </c>
      <c r="BB105" s="192">
        <f t="shared" si="17"/>
        <v>0</v>
      </c>
    </row>
    <row r="106" spans="2:54" x14ac:dyDescent="0.25">
      <c r="B106" s="7">
        <f t="shared" si="20"/>
        <v>76</v>
      </c>
      <c r="C106" s="4"/>
      <c r="D106" s="4"/>
      <c r="E106" s="4"/>
      <c r="F106" s="230" t="str">
        <f>IF('תנאי סף'!AO106&lt;&gt;1,"",'תנאי סף'!F106)</f>
        <v>מולטי פיאנו- פליציה בלומנטל</v>
      </c>
      <c r="G106" s="159">
        <f>IF($F106="","",סיווג!G106)</f>
        <v>92479</v>
      </c>
      <c r="H106" s="5">
        <v>92479</v>
      </c>
      <c r="I106" s="6"/>
      <c r="J106" s="5"/>
      <c r="K106" s="6"/>
      <c r="L106" s="5"/>
      <c r="M106" s="6"/>
      <c r="N106" s="6"/>
      <c r="O106" s="158"/>
      <c r="P106" s="177"/>
      <c r="Q106" s="8"/>
      <c r="R106" s="8"/>
      <c r="S106" s="8"/>
      <c r="T106" s="343">
        <f>IF($F106="","",IF($AA106&lt;&gt;1,$AB$1,IF(H106&gt;G106,$AB$1,H106/G106)))</f>
        <v>1</v>
      </c>
      <c r="U106" s="159">
        <f>IF($F106="","",IF($AA106&lt;&gt;1,$AB$1,IF(H106=0,$G$5,INDEX($G$5:$G$9,MATCH(T106-0.00000000001,$F$5:$F$9,1)))))</f>
        <v>6</v>
      </c>
      <c r="V106" s="8">
        <v>1</v>
      </c>
      <c r="W106" s="8">
        <f t="shared" si="22"/>
        <v>6</v>
      </c>
      <c r="X106" s="8">
        <v>1</v>
      </c>
      <c r="Y106" s="8">
        <f t="shared" si="23"/>
        <v>6</v>
      </c>
      <c r="Z106" s="123">
        <f t="shared" si="24"/>
        <v>3.6809815950920248E-2</v>
      </c>
      <c r="AA106" s="192">
        <f t="shared" si="25"/>
        <v>1</v>
      </c>
      <c r="AB106" s="192">
        <f t="shared" si="18"/>
        <v>0</v>
      </c>
      <c r="AC106" s="192">
        <f t="shared" si="18"/>
        <v>1</v>
      </c>
      <c r="AE106" s="192">
        <f>IF(H$30="",1,IF(H106="",0,IFERROR(CHOOSE(AE$28,IF(ISNA(MATCH(H106,$AB$30:$AC$30,0)),0,1),IF(ISNUMBER(H106),1,0),IF(H106=TRUNC(H106),1,0),IF(AND(H106*1=H106,H106&gt;=0),1,0),IF(AND(H106=TRUNC(H106),H106&gt;=0),1,0),IF(AND(H106*1=H106,H106&gt;0),1,0),IF(AND(H106=TRUNC(H106),H106&gt;0),1,0),1,IF(ISNA(HLOOKUP(H106,$AE$4:$AN$4,1,0)),0,1)),0)))</f>
        <v>1</v>
      </c>
      <c r="BA106" s="192">
        <f t="shared" si="17"/>
        <v>0</v>
      </c>
      <c r="BB106" s="192">
        <f t="shared" si="17"/>
        <v>0</v>
      </c>
    </row>
    <row r="107" spans="2:54" x14ac:dyDescent="0.25">
      <c r="B107" s="7">
        <f t="shared" si="20"/>
        <v>77</v>
      </c>
      <c r="C107" s="4"/>
      <c r="D107" s="4"/>
      <c r="E107" s="4"/>
      <c r="F107" s="230" t="str">
        <f>IF('תנאי סף'!AO107&lt;&gt;1,"",'תנאי סף'!F107)</f>
        <v>ארמון בזמן - העמותה לתרבות רב תחומית</v>
      </c>
      <c r="G107" s="159">
        <f>IF($F107="","",סיווג!G107)</f>
        <v>154302</v>
      </c>
      <c r="H107" s="5">
        <v>81218</v>
      </c>
      <c r="I107" s="6"/>
      <c r="J107" s="5"/>
      <c r="K107" s="6"/>
      <c r="L107" s="5"/>
      <c r="M107" s="6"/>
      <c r="N107" s="6"/>
      <c r="O107" s="158"/>
      <c r="P107" s="177"/>
      <c r="Q107" s="8"/>
      <c r="R107" s="8"/>
      <c r="S107" s="8"/>
      <c r="T107" s="343">
        <f>IF($F107="","",IF($AA107&lt;&gt;1,$AB$1,IF(H107&gt;G107,$AB$1,H107/G107)))</f>
        <v>0.526357403014867</v>
      </c>
      <c r="U107" s="159">
        <f>IF($F107="","",IF($AA107&lt;&gt;1,$AB$1,IF(H107=0,$G$5,INDEX($G$5:$G$9,MATCH(T107-0.00000000001,$F$5:$F$9,1)))))</f>
        <v>4</v>
      </c>
      <c r="V107" s="8">
        <v>1</v>
      </c>
      <c r="W107" s="8">
        <f t="shared" si="22"/>
        <v>4</v>
      </c>
      <c r="X107" s="8">
        <v>1</v>
      </c>
      <c r="Y107" s="8">
        <f t="shared" si="23"/>
        <v>4</v>
      </c>
      <c r="Z107" s="123">
        <f t="shared" si="24"/>
        <v>2.4539877300613498E-2</v>
      </c>
      <c r="AA107" s="192">
        <f t="shared" si="25"/>
        <v>1</v>
      </c>
      <c r="AB107" s="192">
        <f t="shared" si="18"/>
        <v>0</v>
      </c>
      <c r="AC107" s="192">
        <f t="shared" si="18"/>
        <v>1</v>
      </c>
      <c r="AE107" s="192">
        <f>IF(H$30="",1,IF(H107="",0,IFERROR(CHOOSE(AE$28,IF(ISNA(MATCH(H107,$AB$30:$AC$30,0)),0,1),IF(ISNUMBER(H107),1,0),IF(H107=TRUNC(H107),1,0),IF(AND(H107*1=H107,H107&gt;=0),1,0),IF(AND(H107=TRUNC(H107),H107&gt;=0),1,0),IF(AND(H107*1=H107,H107&gt;0),1,0),IF(AND(H107=TRUNC(H107),H107&gt;0),1,0),1,IF(ISNA(HLOOKUP(H107,$AE$4:$AN$4,1,0)),0,1)),0)))</f>
        <v>1</v>
      </c>
      <c r="BA107" s="192">
        <f t="shared" si="17"/>
        <v>0</v>
      </c>
      <c r="BB107" s="192">
        <f t="shared" si="17"/>
        <v>0</v>
      </c>
    </row>
    <row r="108" spans="2:54" x14ac:dyDescent="0.25">
      <c r="B108" s="7" t="str">
        <f t="shared" si="20"/>
        <v/>
      </c>
      <c r="C108" s="4"/>
      <c r="D108" s="4"/>
      <c r="E108" s="4"/>
      <c r="F108" s="230" t="str">
        <f>IF('תנאי סף'!AO108&lt;&gt;1,"",'תנאי סף'!F108)</f>
        <v/>
      </c>
      <c r="G108" s="159" t="str">
        <f>IF($F108="","",סיווג!G108)</f>
        <v/>
      </c>
      <c r="H108" s="5"/>
      <c r="I108" s="6"/>
      <c r="J108" s="5"/>
      <c r="K108" s="6"/>
      <c r="L108" s="5"/>
      <c r="M108" s="6"/>
      <c r="N108" s="6"/>
      <c r="O108" s="158"/>
      <c r="P108" s="177"/>
      <c r="Q108" s="8"/>
      <c r="R108" s="8"/>
      <c r="S108" s="8"/>
      <c r="T108" s="343" t="str">
        <f t="shared" si="19"/>
        <v/>
      </c>
      <c r="U108" s="159" t="str">
        <f t="shared" si="21"/>
        <v/>
      </c>
      <c r="V108" s="8">
        <v>1</v>
      </c>
      <c r="W108" s="8" t="str">
        <f t="shared" si="22"/>
        <v/>
      </c>
      <c r="X108" s="8">
        <v>1</v>
      </c>
      <c r="Y108" s="8" t="str">
        <f t="shared" si="23"/>
        <v/>
      </c>
      <c r="Z108" s="123" t="str">
        <f t="shared" si="24"/>
        <v/>
      </c>
      <c r="AA108" s="192">
        <f t="shared" si="25"/>
        <v>0</v>
      </c>
      <c r="AB108" s="192" t="str">
        <f t="shared" si="18"/>
        <v/>
      </c>
      <c r="AC108" s="192" t="str">
        <f t="shared" si="18"/>
        <v/>
      </c>
      <c r="AE108" s="192">
        <f t="shared" si="13"/>
        <v>0</v>
      </c>
      <c r="BA108" s="192" t="str">
        <f t="shared" si="17"/>
        <v/>
      </c>
      <c r="BB108" s="192" t="str">
        <f t="shared" si="17"/>
        <v/>
      </c>
    </row>
    <row r="109" spans="2:54" x14ac:dyDescent="0.25">
      <c r="B109" s="7" t="str">
        <f t="shared" si="20"/>
        <v/>
      </c>
      <c r="C109" s="4"/>
      <c r="D109" s="4"/>
      <c r="E109" s="4"/>
      <c r="F109" s="230" t="str">
        <f>IF('תנאי סף'!AO109&lt;&gt;1,"",'תנאי סף'!F109)</f>
        <v/>
      </c>
      <c r="G109" s="159" t="str">
        <f>IF($F109="","",סיווג!G109)</f>
        <v/>
      </c>
      <c r="H109" s="5"/>
      <c r="I109" s="6"/>
      <c r="J109" s="5"/>
      <c r="K109" s="6"/>
      <c r="L109" s="5"/>
      <c r="M109" s="6"/>
      <c r="N109" s="6"/>
      <c r="O109" s="158"/>
      <c r="P109" s="177"/>
      <c r="Q109" s="8"/>
      <c r="R109" s="8"/>
      <c r="S109" s="8"/>
      <c r="T109" s="343" t="str">
        <f t="shared" si="19"/>
        <v/>
      </c>
      <c r="U109" s="159" t="str">
        <f t="shared" si="21"/>
        <v/>
      </c>
      <c r="V109" s="8">
        <v>1</v>
      </c>
      <c r="W109" s="8" t="str">
        <f t="shared" si="22"/>
        <v/>
      </c>
      <c r="X109" s="8">
        <v>1</v>
      </c>
      <c r="Y109" s="8" t="str">
        <f t="shared" si="23"/>
        <v/>
      </c>
      <c r="Z109" s="123" t="str">
        <f t="shared" si="24"/>
        <v/>
      </c>
      <c r="AA109" s="192">
        <f t="shared" si="25"/>
        <v>0</v>
      </c>
      <c r="AB109" s="192" t="str">
        <f t="shared" si="18"/>
        <v/>
      </c>
      <c r="AC109" s="192" t="str">
        <f t="shared" si="18"/>
        <v/>
      </c>
      <c r="AE109" s="192">
        <f t="shared" si="13"/>
        <v>0</v>
      </c>
      <c r="BA109" s="192" t="str">
        <f t="shared" si="17"/>
        <v/>
      </c>
      <c r="BB109" s="192" t="str">
        <f t="shared" si="17"/>
        <v/>
      </c>
    </row>
    <row r="110" spans="2:54" x14ac:dyDescent="0.25">
      <c r="B110" s="7" t="str">
        <f t="shared" si="20"/>
        <v/>
      </c>
      <c r="C110" s="4"/>
      <c r="D110" s="4"/>
      <c r="E110" s="4"/>
      <c r="F110" s="230" t="str">
        <f>IF('תנאי סף'!AO110&lt;&gt;1,"",'תנאי סף'!F110)</f>
        <v/>
      </c>
      <c r="G110" s="159" t="str">
        <f>IF($F110="","",סיווג!G110)</f>
        <v/>
      </c>
      <c r="H110" s="5"/>
      <c r="I110" s="6"/>
      <c r="J110" s="5"/>
      <c r="K110" s="6"/>
      <c r="L110" s="5"/>
      <c r="M110" s="6"/>
      <c r="N110" s="6"/>
      <c r="O110" s="158"/>
      <c r="P110" s="177"/>
      <c r="Q110" s="8"/>
      <c r="R110" s="8"/>
      <c r="S110" s="8"/>
      <c r="T110" s="343" t="str">
        <f t="shared" si="19"/>
        <v/>
      </c>
      <c r="U110" s="159" t="str">
        <f t="shared" si="21"/>
        <v/>
      </c>
      <c r="V110" s="8">
        <v>1</v>
      </c>
      <c r="W110" s="8" t="str">
        <f t="shared" si="22"/>
        <v/>
      </c>
      <c r="X110" s="8">
        <v>1</v>
      </c>
      <c r="Y110" s="8" t="str">
        <f t="shared" si="23"/>
        <v/>
      </c>
      <c r="Z110" s="123" t="str">
        <f t="shared" si="24"/>
        <v/>
      </c>
      <c r="AA110" s="192">
        <f t="shared" si="25"/>
        <v>0</v>
      </c>
      <c r="AB110" s="192" t="str">
        <f t="shared" si="18"/>
        <v/>
      </c>
      <c r="AC110" s="192" t="str">
        <f t="shared" si="18"/>
        <v/>
      </c>
      <c r="AE110" s="192">
        <f t="shared" ref="AE110:AE130" si="26">IF(H$30="",1,IF(H110="",0,IFERROR(CHOOSE(AE$28,IF(ISNA(MATCH(H110,$AB$30:$AC$30,0)),0,1),IF(ISNUMBER(H110),1,0),IF(H110=TRUNC(H110),1,0),IF(AND(H110*1=H110,H110&gt;=0),1,0),IF(AND(H110=TRUNC(H110),H110&gt;=0),1,0),IF(AND(H110*1=H110,H110&gt;0),1,0),IF(AND(H110=TRUNC(H110),H110&gt;0),1,0),1,IF(ISNA(HLOOKUP(H110,$AE$4:$AN$4,1,0)),0,1)),0)))</f>
        <v>0</v>
      </c>
      <c r="BA110" s="192" t="str">
        <f t="shared" si="17"/>
        <v/>
      </c>
      <c r="BB110" s="192" t="str">
        <f t="shared" si="17"/>
        <v/>
      </c>
    </row>
    <row r="111" spans="2:54" x14ac:dyDescent="0.25">
      <c r="B111" s="7" t="str">
        <f t="shared" si="20"/>
        <v/>
      </c>
      <c r="C111" s="4"/>
      <c r="D111" s="4"/>
      <c r="E111" s="4"/>
      <c r="F111" s="230" t="str">
        <f>IF('תנאי סף'!AO111&lt;&gt;1,"",'תנאי סף'!F111)</f>
        <v/>
      </c>
      <c r="G111" s="159" t="str">
        <f>IF($F111="","",סיווג!G111)</f>
        <v/>
      </c>
      <c r="H111" s="5"/>
      <c r="I111" s="6"/>
      <c r="J111" s="5"/>
      <c r="K111" s="6"/>
      <c r="L111" s="5"/>
      <c r="M111" s="6"/>
      <c r="N111" s="6"/>
      <c r="O111" s="158"/>
      <c r="P111" s="177"/>
      <c r="Q111" s="8"/>
      <c r="R111" s="8"/>
      <c r="S111" s="8"/>
      <c r="T111" s="343" t="str">
        <f t="shared" si="19"/>
        <v/>
      </c>
      <c r="U111" s="159" t="str">
        <f t="shared" si="21"/>
        <v/>
      </c>
      <c r="V111" s="8">
        <v>1</v>
      </c>
      <c r="W111" s="8" t="str">
        <f t="shared" si="22"/>
        <v/>
      </c>
      <c r="X111" s="8">
        <v>1</v>
      </c>
      <c r="Y111" s="8" t="str">
        <f t="shared" si="23"/>
        <v/>
      </c>
      <c r="Z111" s="123" t="str">
        <f t="shared" si="24"/>
        <v/>
      </c>
      <c r="AA111" s="192">
        <f t="shared" si="25"/>
        <v>0</v>
      </c>
      <c r="AB111" s="192" t="str">
        <f t="shared" si="18"/>
        <v/>
      </c>
      <c r="AC111" s="192" t="str">
        <f t="shared" si="18"/>
        <v/>
      </c>
      <c r="AE111" s="192">
        <f t="shared" si="26"/>
        <v>0</v>
      </c>
      <c r="BA111" s="192" t="str">
        <f t="shared" ref="BA111:BB130" si="27">IF($F111="","",BA$30)</f>
        <v/>
      </c>
      <c r="BB111" s="192" t="str">
        <f t="shared" si="27"/>
        <v/>
      </c>
    </row>
    <row r="112" spans="2:54" x14ac:dyDescent="0.25">
      <c r="B112" s="7" t="str">
        <f t="shared" si="20"/>
        <v/>
      </c>
      <c r="C112" s="4"/>
      <c r="D112" s="4"/>
      <c r="E112" s="4"/>
      <c r="F112" s="230" t="str">
        <f>IF('תנאי סף'!AO112&lt;&gt;1,"",'תנאי סף'!F112)</f>
        <v/>
      </c>
      <c r="G112" s="159" t="str">
        <f>IF($F112="","",סיווג!G112)</f>
        <v/>
      </c>
      <c r="H112" s="5"/>
      <c r="I112" s="6"/>
      <c r="J112" s="5"/>
      <c r="K112" s="6"/>
      <c r="L112" s="5"/>
      <c r="M112" s="6"/>
      <c r="N112" s="6"/>
      <c r="O112" s="158"/>
      <c r="P112" s="177"/>
      <c r="Q112" s="8"/>
      <c r="R112" s="8"/>
      <c r="S112" s="8"/>
      <c r="T112" s="343" t="str">
        <f t="shared" si="19"/>
        <v/>
      </c>
      <c r="U112" s="159" t="str">
        <f t="shared" si="21"/>
        <v/>
      </c>
      <c r="V112" s="8">
        <v>1</v>
      </c>
      <c r="W112" s="8" t="str">
        <f t="shared" si="22"/>
        <v/>
      </c>
      <c r="X112" s="8">
        <v>1</v>
      </c>
      <c r="Y112" s="8" t="str">
        <f t="shared" si="23"/>
        <v/>
      </c>
      <c r="Z112" s="123" t="str">
        <f t="shared" si="24"/>
        <v/>
      </c>
      <c r="AA112" s="192">
        <f t="shared" si="25"/>
        <v>0</v>
      </c>
      <c r="AB112" s="192" t="str">
        <f t="shared" si="18"/>
        <v/>
      </c>
      <c r="AC112" s="192" t="str">
        <f t="shared" si="18"/>
        <v/>
      </c>
      <c r="AE112" s="192">
        <f t="shared" si="26"/>
        <v>0</v>
      </c>
      <c r="BA112" s="192" t="str">
        <f t="shared" si="27"/>
        <v/>
      </c>
      <c r="BB112" s="192" t="str">
        <f t="shared" si="27"/>
        <v/>
      </c>
    </row>
    <row r="113" spans="2:54" x14ac:dyDescent="0.25">
      <c r="B113" s="7" t="str">
        <f t="shared" si="20"/>
        <v/>
      </c>
      <c r="C113" s="4"/>
      <c r="D113" s="4"/>
      <c r="E113" s="4"/>
      <c r="F113" s="230" t="str">
        <f>IF('תנאי סף'!AO113&lt;&gt;1,"",'תנאי סף'!F113)</f>
        <v/>
      </c>
      <c r="G113" s="159" t="str">
        <f>IF($F113="","",סיווג!G113)</f>
        <v/>
      </c>
      <c r="H113" s="5"/>
      <c r="I113" s="6"/>
      <c r="J113" s="5"/>
      <c r="K113" s="6"/>
      <c r="L113" s="5"/>
      <c r="M113" s="6"/>
      <c r="N113" s="6"/>
      <c r="O113" s="158"/>
      <c r="P113" s="177"/>
      <c r="Q113" s="8"/>
      <c r="R113" s="8"/>
      <c r="S113" s="8"/>
      <c r="T113" s="343" t="str">
        <f t="shared" si="19"/>
        <v/>
      </c>
      <c r="U113" s="159" t="str">
        <f t="shared" si="21"/>
        <v/>
      </c>
      <c r="V113" s="8">
        <v>1</v>
      </c>
      <c r="W113" s="8" t="str">
        <f t="shared" si="22"/>
        <v/>
      </c>
      <c r="X113" s="8">
        <v>1</v>
      </c>
      <c r="Y113" s="8" t="str">
        <f t="shared" si="23"/>
        <v/>
      </c>
      <c r="Z113" s="123" t="str">
        <f t="shared" si="24"/>
        <v/>
      </c>
      <c r="AA113" s="192">
        <f t="shared" si="25"/>
        <v>0</v>
      </c>
      <c r="AB113" s="192" t="str">
        <f t="shared" si="18"/>
        <v/>
      </c>
      <c r="AC113" s="192" t="str">
        <f t="shared" si="18"/>
        <v/>
      </c>
      <c r="AE113" s="192">
        <f t="shared" si="26"/>
        <v>0</v>
      </c>
      <c r="BA113" s="192" t="str">
        <f t="shared" si="27"/>
        <v/>
      </c>
      <c r="BB113" s="192" t="str">
        <f t="shared" si="27"/>
        <v/>
      </c>
    </row>
    <row r="114" spans="2:54" x14ac:dyDescent="0.25">
      <c r="B114" s="7" t="str">
        <f t="shared" si="20"/>
        <v/>
      </c>
      <c r="C114" s="4"/>
      <c r="D114" s="4"/>
      <c r="E114" s="4"/>
      <c r="F114" s="230" t="str">
        <f>IF('תנאי סף'!AO114&lt;&gt;1,"",'תנאי סף'!F114)</f>
        <v/>
      </c>
      <c r="G114" s="159" t="str">
        <f>IF($F114="","",סיווג!G114)</f>
        <v/>
      </c>
      <c r="H114" s="5"/>
      <c r="I114" s="6"/>
      <c r="J114" s="5"/>
      <c r="K114" s="6"/>
      <c r="L114" s="5"/>
      <c r="M114" s="6"/>
      <c r="N114" s="6"/>
      <c r="O114" s="158"/>
      <c r="P114" s="177"/>
      <c r="Q114" s="8"/>
      <c r="R114" s="8"/>
      <c r="S114" s="8"/>
      <c r="T114" s="343" t="str">
        <f t="shared" si="19"/>
        <v/>
      </c>
      <c r="U114" s="159" t="str">
        <f t="shared" si="21"/>
        <v/>
      </c>
      <c r="V114" s="8">
        <v>1</v>
      </c>
      <c r="W114" s="8" t="str">
        <f t="shared" si="22"/>
        <v/>
      </c>
      <c r="X114" s="8">
        <v>1</v>
      </c>
      <c r="Y114" s="8" t="str">
        <f t="shared" si="23"/>
        <v/>
      </c>
      <c r="Z114" s="123" t="str">
        <f t="shared" si="24"/>
        <v/>
      </c>
      <c r="AA114" s="192">
        <f t="shared" si="25"/>
        <v>0</v>
      </c>
      <c r="AB114" s="192" t="str">
        <f t="shared" si="18"/>
        <v/>
      </c>
      <c r="AC114" s="192" t="str">
        <f t="shared" si="18"/>
        <v/>
      </c>
      <c r="AE114" s="192">
        <f t="shared" si="26"/>
        <v>0</v>
      </c>
      <c r="BA114" s="192" t="str">
        <f t="shared" si="27"/>
        <v/>
      </c>
      <c r="BB114" s="192" t="str">
        <f t="shared" si="27"/>
        <v/>
      </c>
    </row>
    <row r="115" spans="2:54" x14ac:dyDescent="0.25">
      <c r="B115" s="7" t="str">
        <f t="shared" si="20"/>
        <v/>
      </c>
      <c r="C115" s="4"/>
      <c r="D115" s="4"/>
      <c r="E115" s="4"/>
      <c r="F115" s="230" t="str">
        <f>IF('תנאי סף'!AO115&lt;&gt;1,"",'תנאי סף'!F115)</f>
        <v/>
      </c>
      <c r="G115" s="159" t="str">
        <f>IF($F115="","",סיווג!G115)</f>
        <v/>
      </c>
      <c r="H115" s="5"/>
      <c r="I115" s="6"/>
      <c r="J115" s="5"/>
      <c r="K115" s="6"/>
      <c r="L115" s="5"/>
      <c r="M115" s="6"/>
      <c r="N115" s="6"/>
      <c r="O115" s="158"/>
      <c r="P115" s="177"/>
      <c r="Q115" s="8"/>
      <c r="R115" s="8"/>
      <c r="S115" s="8"/>
      <c r="T115" s="343" t="str">
        <f t="shared" si="19"/>
        <v/>
      </c>
      <c r="U115" s="159" t="str">
        <f t="shared" si="21"/>
        <v/>
      </c>
      <c r="V115" s="8">
        <v>1</v>
      </c>
      <c r="W115" s="8" t="str">
        <f t="shared" si="22"/>
        <v/>
      </c>
      <c r="X115" s="8">
        <v>1</v>
      </c>
      <c r="Y115" s="8" t="str">
        <f t="shared" si="23"/>
        <v/>
      </c>
      <c r="Z115" s="123" t="str">
        <f t="shared" si="24"/>
        <v/>
      </c>
      <c r="AA115" s="192">
        <f t="shared" si="25"/>
        <v>0</v>
      </c>
      <c r="AB115" s="192" t="str">
        <f t="shared" si="18"/>
        <v/>
      </c>
      <c r="AC115" s="192" t="str">
        <f t="shared" si="18"/>
        <v/>
      </c>
      <c r="AE115" s="192">
        <f t="shared" si="26"/>
        <v>0</v>
      </c>
      <c r="BA115" s="192" t="str">
        <f t="shared" si="27"/>
        <v/>
      </c>
      <c r="BB115" s="192" t="str">
        <f t="shared" si="27"/>
        <v/>
      </c>
    </row>
    <row r="116" spans="2:54" x14ac:dyDescent="0.25">
      <c r="B116" s="7" t="str">
        <f t="shared" si="20"/>
        <v/>
      </c>
      <c r="C116" s="4"/>
      <c r="D116" s="4"/>
      <c r="E116" s="4"/>
      <c r="F116" s="230" t="str">
        <f>IF('תנאי סף'!AO116&lt;&gt;1,"",'תנאי סף'!F116)</f>
        <v/>
      </c>
      <c r="G116" s="159" t="str">
        <f>IF($F116="","",סיווג!G116)</f>
        <v/>
      </c>
      <c r="H116" s="5"/>
      <c r="I116" s="6"/>
      <c r="J116" s="5"/>
      <c r="K116" s="6"/>
      <c r="L116" s="5"/>
      <c r="M116" s="6"/>
      <c r="N116" s="6"/>
      <c r="O116" s="158"/>
      <c r="P116" s="177"/>
      <c r="Q116" s="8"/>
      <c r="R116" s="8"/>
      <c r="S116" s="8"/>
      <c r="T116" s="343" t="str">
        <f t="shared" si="19"/>
        <v/>
      </c>
      <c r="U116" s="159" t="str">
        <f t="shared" si="21"/>
        <v/>
      </c>
      <c r="V116" s="8">
        <v>1</v>
      </c>
      <c r="W116" s="8" t="str">
        <f t="shared" si="22"/>
        <v/>
      </c>
      <c r="X116" s="8">
        <v>1</v>
      </c>
      <c r="Y116" s="8" t="str">
        <f t="shared" si="23"/>
        <v/>
      </c>
      <c r="Z116" s="123" t="str">
        <f t="shared" si="24"/>
        <v/>
      </c>
      <c r="AA116" s="192">
        <f t="shared" si="25"/>
        <v>0</v>
      </c>
      <c r="AB116" s="192" t="str">
        <f t="shared" si="18"/>
        <v/>
      </c>
      <c r="AC116" s="192" t="str">
        <f t="shared" si="18"/>
        <v/>
      </c>
      <c r="AE116" s="192">
        <f t="shared" si="26"/>
        <v>0</v>
      </c>
      <c r="BA116" s="192" t="str">
        <f t="shared" si="27"/>
        <v/>
      </c>
      <c r="BB116" s="192" t="str">
        <f t="shared" si="27"/>
        <v/>
      </c>
    </row>
    <row r="117" spans="2:54" x14ac:dyDescent="0.25">
      <c r="B117" s="7" t="str">
        <f t="shared" si="20"/>
        <v/>
      </c>
      <c r="C117" s="4"/>
      <c r="D117" s="4"/>
      <c r="E117" s="4"/>
      <c r="F117" s="230" t="str">
        <f>IF('תנאי סף'!AO117&lt;&gt;1,"",'תנאי סף'!F117)</f>
        <v/>
      </c>
      <c r="G117" s="159" t="str">
        <f>IF($F117="","",סיווג!G117)</f>
        <v/>
      </c>
      <c r="H117" s="5"/>
      <c r="I117" s="6"/>
      <c r="J117" s="5"/>
      <c r="K117" s="6"/>
      <c r="L117" s="5"/>
      <c r="M117" s="6"/>
      <c r="N117" s="6"/>
      <c r="O117" s="158"/>
      <c r="P117" s="177"/>
      <c r="Q117" s="8"/>
      <c r="R117" s="8"/>
      <c r="S117" s="8"/>
      <c r="T117" s="343" t="str">
        <f t="shared" si="19"/>
        <v/>
      </c>
      <c r="U117" s="159" t="str">
        <f t="shared" si="21"/>
        <v/>
      </c>
      <c r="V117" s="8">
        <v>1</v>
      </c>
      <c r="W117" s="8" t="str">
        <f t="shared" si="22"/>
        <v/>
      </c>
      <c r="X117" s="8">
        <v>1</v>
      </c>
      <c r="Y117" s="8" t="str">
        <f t="shared" si="23"/>
        <v/>
      </c>
      <c r="Z117" s="123" t="str">
        <f t="shared" si="24"/>
        <v/>
      </c>
      <c r="AA117" s="192">
        <f t="shared" si="25"/>
        <v>0</v>
      </c>
      <c r="AB117" s="192" t="str">
        <f t="shared" si="18"/>
        <v/>
      </c>
      <c r="AC117" s="192" t="str">
        <f t="shared" si="18"/>
        <v/>
      </c>
      <c r="AE117" s="192">
        <f t="shared" si="26"/>
        <v>0</v>
      </c>
      <c r="BA117" s="192" t="str">
        <f t="shared" si="27"/>
        <v/>
      </c>
      <c r="BB117" s="192" t="str">
        <f t="shared" si="27"/>
        <v/>
      </c>
    </row>
    <row r="118" spans="2:54" x14ac:dyDescent="0.25">
      <c r="B118" s="7" t="str">
        <f t="shared" si="20"/>
        <v/>
      </c>
      <c r="C118" s="4"/>
      <c r="D118" s="4"/>
      <c r="E118" s="4"/>
      <c r="F118" s="230" t="str">
        <f>IF('תנאי סף'!AO118&lt;&gt;1,"",'תנאי סף'!F118)</f>
        <v/>
      </c>
      <c r="G118" s="159" t="str">
        <f>IF($F118="","",סיווג!G118)</f>
        <v/>
      </c>
      <c r="H118" s="5"/>
      <c r="I118" s="6"/>
      <c r="J118" s="5"/>
      <c r="K118" s="6"/>
      <c r="L118" s="5"/>
      <c r="M118" s="6"/>
      <c r="N118" s="6"/>
      <c r="O118" s="158"/>
      <c r="P118" s="177"/>
      <c r="Q118" s="8"/>
      <c r="R118" s="8"/>
      <c r="S118" s="8"/>
      <c r="T118" s="343" t="str">
        <f t="shared" si="19"/>
        <v/>
      </c>
      <c r="U118" s="159" t="str">
        <f t="shared" si="21"/>
        <v/>
      </c>
      <c r="V118" s="8">
        <v>1</v>
      </c>
      <c r="W118" s="8" t="str">
        <f t="shared" si="22"/>
        <v/>
      </c>
      <c r="X118" s="8">
        <v>1</v>
      </c>
      <c r="Y118" s="8" t="str">
        <f t="shared" si="23"/>
        <v/>
      </c>
      <c r="Z118" s="123" t="str">
        <f t="shared" si="24"/>
        <v/>
      </c>
      <c r="AA118" s="192">
        <f t="shared" si="25"/>
        <v>0</v>
      </c>
      <c r="AB118" s="192" t="str">
        <f t="shared" si="18"/>
        <v/>
      </c>
      <c r="AC118" s="192" t="str">
        <f t="shared" si="18"/>
        <v/>
      </c>
      <c r="AE118" s="192">
        <f t="shared" si="26"/>
        <v>0</v>
      </c>
      <c r="BA118" s="192" t="str">
        <f t="shared" si="27"/>
        <v/>
      </c>
      <c r="BB118" s="192" t="str">
        <f t="shared" si="27"/>
        <v/>
      </c>
    </row>
    <row r="119" spans="2:54" x14ac:dyDescent="0.25">
      <c r="B119" s="7" t="str">
        <f t="shared" si="20"/>
        <v/>
      </c>
      <c r="C119" s="4"/>
      <c r="D119" s="4"/>
      <c r="E119" s="4"/>
      <c r="F119" s="230" t="str">
        <f>IF('תנאי סף'!AO119&lt;&gt;1,"",'תנאי סף'!F119)</f>
        <v/>
      </c>
      <c r="G119" s="159" t="str">
        <f>IF($F119="","",סיווג!G119)</f>
        <v/>
      </c>
      <c r="H119" s="5"/>
      <c r="I119" s="6"/>
      <c r="J119" s="5"/>
      <c r="K119" s="6"/>
      <c r="L119" s="5"/>
      <c r="M119" s="6"/>
      <c r="N119" s="6"/>
      <c r="O119" s="158"/>
      <c r="P119" s="177"/>
      <c r="Q119" s="8"/>
      <c r="R119" s="8"/>
      <c r="S119" s="8"/>
      <c r="T119" s="343" t="str">
        <f t="shared" si="19"/>
        <v/>
      </c>
      <c r="U119" s="159" t="str">
        <f t="shared" si="21"/>
        <v/>
      </c>
      <c r="V119" s="8">
        <v>1</v>
      </c>
      <c r="W119" s="8" t="str">
        <f t="shared" si="22"/>
        <v/>
      </c>
      <c r="X119" s="8">
        <v>1</v>
      </c>
      <c r="Y119" s="8" t="str">
        <f t="shared" si="23"/>
        <v/>
      </c>
      <c r="Z119" s="123" t="str">
        <f t="shared" si="24"/>
        <v/>
      </c>
      <c r="AA119" s="192">
        <f t="shared" si="25"/>
        <v>0</v>
      </c>
      <c r="AB119" s="192" t="str">
        <f t="shared" si="18"/>
        <v/>
      </c>
      <c r="AC119" s="192" t="str">
        <f t="shared" si="18"/>
        <v/>
      </c>
      <c r="AE119" s="192">
        <f t="shared" si="26"/>
        <v>0</v>
      </c>
      <c r="BA119" s="192" t="str">
        <f t="shared" si="27"/>
        <v/>
      </c>
      <c r="BB119" s="192" t="str">
        <f t="shared" si="27"/>
        <v/>
      </c>
    </row>
    <row r="120" spans="2:54" x14ac:dyDescent="0.25">
      <c r="B120" s="7" t="str">
        <f t="shared" si="20"/>
        <v/>
      </c>
      <c r="C120" s="4"/>
      <c r="D120" s="4"/>
      <c r="E120" s="4"/>
      <c r="F120" s="230" t="str">
        <f>IF('תנאי סף'!AO120&lt;&gt;1,"",'תנאי סף'!F120)</f>
        <v/>
      </c>
      <c r="G120" s="159" t="str">
        <f>IF($F120="","",סיווג!G120)</f>
        <v/>
      </c>
      <c r="H120" s="5"/>
      <c r="I120" s="6"/>
      <c r="J120" s="5"/>
      <c r="K120" s="6"/>
      <c r="L120" s="5"/>
      <c r="M120" s="6"/>
      <c r="N120" s="6"/>
      <c r="O120" s="158"/>
      <c r="P120" s="177"/>
      <c r="Q120" s="8"/>
      <c r="R120" s="8"/>
      <c r="S120" s="8"/>
      <c r="T120" s="343" t="str">
        <f t="shared" si="19"/>
        <v/>
      </c>
      <c r="U120" s="159" t="str">
        <f t="shared" si="21"/>
        <v/>
      </c>
      <c r="V120" s="8">
        <v>1</v>
      </c>
      <c r="W120" s="8" t="str">
        <f t="shared" si="22"/>
        <v/>
      </c>
      <c r="X120" s="8">
        <v>1</v>
      </c>
      <c r="Y120" s="8" t="str">
        <f t="shared" si="23"/>
        <v/>
      </c>
      <c r="Z120" s="123" t="str">
        <f t="shared" si="24"/>
        <v/>
      </c>
      <c r="AA120" s="192">
        <f t="shared" si="25"/>
        <v>0</v>
      </c>
      <c r="AB120" s="192" t="str">
        <f t="shared" si="18"/>
        <v/>
      </c>
      <c r="AC120" s="192" t="str">
        <f t="shared" si="18"/>
        <v/>
      </c>
      <c r="AE120" s="192">
        <f t="shared" si="26"/>
        <v>0</v>
      </c>
      <c r="BA120" s="192" t="str">
        <f t="shared" si="27"/>
        <v/>
      </c>
      <c r="BB120" s="192" t="str">
        <f t="shared" si="27"/>
        <v/>
      </c>
    </row>
    <row r="121" spans="2:54" x14ac:dyDescent="0.25">
      <c r="B121" s="7" t="str">
        <f t="shared" si="20"/>
        <v/>
      </c>
      <c r="C121" s="4"/>
      <c r="D121" s="4"/>
      <c r="E121" s="4"/>
      <c r="F121" s="230" t="str">
        <f>IF('תנאי סף'!AO121&lt;&gt;1,"",'תנאי סף'!F121)</f>
        <v/>
      </c>
      <c r="G121" s="159" t="str">
        <f>IF($F121="","",סיווג!G121)</f>
        <v/>
      </c>
      <c r="H121" s="5"/>
      <c r="I121" s="6"/>
      <c r="J121" s="5"/>
      <c r="K121" s="6"/>
      <c r="L121" s="5"/>
      <c r="M121" s="6"/>
      <c r="N121" s="6"/>
      <c r="O121" s="158"/>
      <c r="P121" s="177"/>
      <c r="Q121" s="8"/>
      <c r="R121" s="8"/>
      <c r="S121" s="8"/>
      <c r="T121" s="343" t="str">
        <f>IF($F121="","",IF($AA121&lt;&gt;1,$AB$1,IF(H121&gt;G121,$AB$1,H121/G121)))</f>
        <v/>
      </c>
      <c r="U121" s="159" t="str">
        <f t="shared" si="21"/>
        <v/>
      </c>
      <c r="V121" s="8">
        <v>1</v>
      </c>
      <c r="W121" s="8" t="str">
        <f t="shared" si="22"/>
        <v/>
      </c>
      <c r="X121" s="8">
        <v>1</v>
      </c>
      <c r="Y121" s="8" t="str">
        <f t="shared" si="23"/>
        <v/>
      </c>
      <c r="Z121" s="123" t="str">
        <f t="shared" si="24"/>
        <v/>
      </c>
      <c r="AA121" s="192">
        <f t="shared" si="25"/>
        <v>0</v>
      </c>
      <c r="AB121" s="192" t="str">
        <f t="shared" si="18"/>
        <v/>
      </c>
      <c r="AC121" s="192" t="str">
        <f t="shared" si="18"/>
        <v/>
      </c>
      <c r="AE121" s="192">
        <f t="shared" si="26"/>
        <v>0</v>
      </c>
      <c r="BA121" s="192" t="str">
        <f t="shared" si="27"/>
        <v/>
      </c>
      <c r="BB121" s="192" t="str">
        <f t="shared" si="27"/>
        <v/>
      </c>
    </row>
    <row r="122" spans="2:54" x14ac:dyDescent="0.25">
      <c r="B122" s="7" t="str">
        <f t="shared" si="20"/>
        <v/>
      </c>
      <c r="C122" s="4"/>
      <c r="D122" s="4"/>
      <c r="E122" s="4"/>
      <c r="F122" s="230" t="str">
        <f>IF('תנאי סף'!AO122&lt;&gt;1,"",'תנאי סף'!F122)</f>
        <v/>
      </c>
      <c r="G122" s="159" t="str">
        <f>IF($F122="","",סיווג!G122)</f>
        <v/>
      </c>
      <c r="H122" s="5"/>
      <c r="I122" s="6"/>
      <c r="J122" s="5"/>
      <c r="K122" s="6"/>
      <c r="L122" s="5"/>
      <c r="M122" s="6"/>
      <c r="N122" s="6"/>
      <c r="O122" s="158"/>
      <c r="P122" s="177"/>
      <c r="Q122" s="8"/>
      <c r="R122" s="8"/>
      <c r="S122" s="8"/>
      <c r="T122" s="343" t="str">
        <f t="shared" ref="T122:T130" si="28">IF($F122="","",IF($AA122&lt;&gt;1,$AB$1,IF(H122&gt;G122,$AB$1,H122/G122)))</f>
        <v/>
      </c>
      <c r="U122" s="159" t="str">
        <f t="shared" si="21"/>
        <v/>
      </c>
      <c r="V122" s="8">
        <v>1</v>
      </c>
      <c r="W122" s="8" t="str">
        <f t="shared" si="22"/>
        <v/>
      </c>
      <c r="X122" s="8">
        <v>1</v>
      </c>
      <c r="Y122" s="8" t="str">
        <f t="shared" si="23"/>
        <v/>
      </c>
      <c r="Z122" s="123" t="str">
        <f t="shared" si="24"/>
        <v/>
      </c>
      <c r="AA122" s="192">
        <f t="shared" si="25"/>
        <v>0</v>
      </c>
      <c r="AB122" s="192" t="str">
        <f t="shared" si="18"/>
        <v/>
      </c>
      <c r="AC122" s="192" t="str">
        <f t="shared" si="18"/>
        <v/>
      </c>
      <c r="AE122" s="192">
        <f t="shared" si="26"/>
        <v>0</v>
      </c>
      <c r="BA122" s="192" t="str">
        <f t="shared" si="27"/>
        <v/>
      </c>
      <c r="BB122" s="192" t="str">
        <f t="shared" si="27"/>
        <v/>
      </c>
    </row>
    <row r="123" spans="2:54" x14ac:dyDescent="0.25">
      <c r="B123" s="7" t="str">
        <f t="shared" si="20"/>
        <v/>
      </c>
      <c r="C123" s="4"/>
      <c r="D123" s="4"/>
      <c r="E123" s="4"/>
      <c r="F123" s="230" t="str">
        <f>IF('תנאי סף'!AO123&lt;&gt;1,"",'תנאי סף'!F123)</f>
        <v/>
      </c>
      <c r="G123" s="159" t="str">
        <f>IF($F123="","",סיווג!G123)</f>
        <v/>
      </c>
      <c r="H123" s="5"/>
      <c r="I123" s="6"/>
      <c r="J123" s="5"/>
      <c r="K123" s="6"/>
      <c r="L123" s="5"/>
      <c r="M123" s="6"/>
      <c r="N123" s="6"/>
      <c r="O123" s="158"/>
      <c r="P123" s="177"/>
      <c r="Q123" s="8"/>
      <c r="R123" s="8"/>
      <c r="S123" s="8"/>
      <c r="T123" s="343" t="str">
        <f t="shared" si="28"/>
        <v/>
      </c>
      <c r="U123" s="159" t="str">
        <f t="shared" si="21"/>
        <v/>
      </c>
      <c r="V123" s="8">
        <v>1</v>
      </c>
      <c r="W123" s="8" t="str">
        <f t="shared" si="22"/>
        <v/>
      </c>
      <c r="X123" s="8">
        <v>1</v>
      </c>
      <c r="Y123" s="8" t="str">
        <f t="shared" si="23"/>
        <v/>
      </c>
      <c r="Z123" s="123" t="str">
        <f t="shared" si="24"/>
        <v/>
      </c>
      <c r="AA123" s="192">
        <f t="shared" si="25"/>
        <v>0</v>
      </c>
      <c r="AB123" s="192" t="str">
        <f t="shared" si="18"/>
        <v/>
      </c>
      <c r="AC123" s="192" t="str">
        <f t="shared" si="18"/>
        <v/>
      </c>
      <c r="AE123" s="192">
        <f t="shared" si="26"/>
        <v>0</v>
      </c>
      <c r="BA123" s="192" t="str">
        <f t="shared" si="27"/>
        <v/>
      </c>
      <c r="BB123" s="192" t="str">
        <f t="shared" si="27"/>
        <v/>
      </c>
    </row>
    <row r="124" spans="2:54" x14ac:dyDescent="0.25">
      <c r="B124" s="7" t="str">
        <f t="shared" si="20"/>
        <v/>
      </c>
      <c r="C124" s="4"/>
      <c r="D124" s="4"/>
      <c r="E124" s="4"/>
      <c r="F124" s="230" t="str">
        <f>IF('תנאי סף'!AO124&lt;&gt;1,"",'תנאי סף'!F124)</f>
        <v/>
      </c>
      <c r="G124" s="159" t="str">
        <f>IF($F124="","",סיווג!G124)</f>
        <v/>
      </c>
      <c r="H124" s="5"/>
      <c r="I124" s="6"/>
      <c r="J124" s="5"/>
      <c r="K124" s="6"/>
      <c r="L124" s="5"/>
      <c r="M124" s="6"/>
      <c r="N124" s="6"/>
      <c r="O124" s="158"/>
      <c r="P124" s="177"/>
      <c r="Q124" s="8"/>
      <c r="R124" s="8"/>
      <c r="S124" s="8"/>
      <c r="T124" s="343" t="str">
        <f t="shared" si="28"/>
        <v/>
      </c>
      <c r="U124" s="159" t="str">
        <f t="shared" si="21"/>
        <v/>
      </c>
      <c r="V124" s="8">
        <v>1</v>
      </c>
      <c r="W124" s="8" t="str">
        <f t="shared" si="22"/>
        <v/>
      </c>
      <c r="X124" s="8">
        <v>1</v>
      </c>
      <c r="Y124" s="8" t="str">
        <f t="shared" si="23"/>
        <v/>
      </c>
      <c r="Z124" s="123" t="str">
        <f t="shared" si="24"/>
        <v/>
      </c>
      <c r="AA124" s="192">
        <f t="shared" si="25"/>
        <v>0</v>
      </c>
      <c r="AB124" s="192" t="str">
        <f t="shared" si="18"/>
        <v/>
      </c>
      <c r="AC124" s="192" t="str">
        <f t="shared" si="18"/>
        <v/>
      </c>
      <c r="AE124" s="192">
        <f t="shared" si="26"/>
        <v>0</v>
      </c>
      <c r="BA124" s="192" t="str">
        <f t="shared" si="27"/>
        <v/>
      </c>
      <c r="BB124" s="192" t="str">
        <f t="shared" si="27"/>
        <v/>
      </c>
    </row>
    <row r="125" spans="2:54" x14ac:dyDescent="0.25">
      <c r="B125" s="7" t="str">
        <f t="shared" si="20"/>
        <v/>
      </c>
      <c r="C125" s="4"/>
      <c r="D125" s="4"/>
      <c r="E125" s="4"/>
      <c r="F125" s="230" t="str">
        <f>IF('תנאי סף'!AO125&lt;&gt;1,"",'תנאי סף'!F125)</f>
        <v/>
      </c>
      <c r="G125" s="159" t="str">
        <f>IF($F125="","",סיווג!G125)</f>
        <v/>
      </c>
      <c r="H125" s="5"/>
      <c r="I125" s="6"/>
      <c r="J125" s="5"/>
      <c r="K125" s="6"/>
      <c r="L125" s="5"/>
      <c r="M125" s="6"/>
      <c r="N125" s="6"/>
      <c r="O125" s="158"/>
      <c r="P125" s="177"/>
      <c r="Q125" s="8"/>
      <c r="R125" s="8"/>
      <c r="S125" s="8"/>
      <c r="T125" s="343" t="str">
        <f t="shared" si="28"/>
        <v/>
      </c>
      <c r="U125" s="159" t="str">
        <f t="shared" si="21"/>
        <v/>
      </c>
      <c r="V125" s="8">
        <v>1</v>
      </c>
      <c r="W125" s="8" t="str">
        <f t="shared" si="22"/>
        <v/>
      </c>
      <c r="X125" s="8">
        <v>1</v>
      </c>
      <c r="Y125" s="8" t="str">
        <f t="shared" si="23"/>
        <v/>
      </c>
      <c r="Z125" s="123" t="str">
        <f t="shared" si="24"/>
        <v/>
      </c>
      <c r="AA125" s="192">
        <f t="shared" si="25"/>
        <v>0</v>
      </c>
      <c r="AB125" s="192" t="str">
        <f t="shared" si="18"/>
        <v/>
      </c>
      <c r="AC125" s="192" t="str">
        <f t="shared" si="18"/>
        <v/>
      </c>
      <c r="AE125" s="192">
        <f t="shared" si="26"/>
        <v>0</v>
      </c>
      <c r="BA125" s="192" t="str">
        <f t="shared" si="27"/>
        <v/>
      </c>
      <c r="BB125" s="192" t="str">
        <f t="shared" si="27"/>
        <v/>
      </c>
    </row>
    <row r="126" spans="2:54" x14ac:dyDescent="0.25">
      <c r="B126" s="7" t="str">
        <f t="shared" si="20"/>
        <v/>
      </c>
      <c r="C126" s="4"/>
      <c r="D126" s="4"/>
      <c r="E126" s="4"/>
      <c r="F126" s="230" t="str">
        <f>IF('תנאי סף'!AO126&lt;&gt;1,"",'תנאי סף'!F126)</f>
        <v/>
      </c>
      <c r="G126" s="159" t="str">
        <f>IF($F126="","",סיווג!G126)</f>
        <v/>
      </c>
      <c r="H126" s="5"/>
      <c r="I126" s="6"/>
      <c r="J126" s="5"/>
      <c r="K126" s="6"/>
      <c r="L126" s="5"/>
      <c r="M126" s="6"/>
      <c r="N126" s="6"/>
      <c r="O126" s="158"/>
      <c r="P126" s="177"/>
      <c r="Q126" s="8"/>
      <c r="R126" s="8"/>
      <c r="S126" s="8"/>
      <c r="T126" s="343" t="str">
        <f t="shared" si="28"/>
        <v/>
      </c>
      <c r="U126" s="159" t="str">
        <f t="shared" si="21"/>
        <v/>
      </c>
      <c r="V126" s="8">
        <v>1</v>
      </c>
      <c r="W126" s="8" t="str">
        <f t="shared" si="22"/>
        <v/>
      </c>
      <c r="X126" s="8">
        <v>1</v>
      </c>
      <c r="Y126" s="8" t="str">
        <f t="shared" si="23"/>
        <v/>
      </c>
      <c r="Z126" s="123" t="str">
        <f t="shared" si="24"/>
        <v/>
      </c>
      <c r="AA126" s="192">
        <f t="shared" si="25"/>
        <v>0</v>
      </c>
      <c r="AB126" s="192" t="str">
        <f t="shared" si="18"/>
        <v/>
      </c>
      <c r="AC126" s="192" t="str">
        <f t="shared" si="18"/>
        <v/>
      </c>
      <c r="AE126" s="192">
        <f t="shared" si="26"/>
        <v>0</v>
      </c>
      <c r="BA126" s="192" t="str">
        <f t="shared" si="27"/>
        <v/>
      </c>
      <c r="BB126" s="192" t="str">
        <f t="shared" si="27"/>
        <v/>
      </c>
    </row>
    <row r="127" spans="2:54" x14ac:dyDescent="0.25">
      <c r="B127" s="7" t="str">
        <f t="shared" si="20"/>
        <v/>
      </c>
      <c r="C127" s="4"/>
      <c r="D127" s="4"/>
      <c r="E127" s="4"/>
      <c r="F127" s="230" t="str">
        <f>IF('תנאי סף'!AO127&lt;&gt;1,"",'תנאי סף'!F127)</f>
        <v/>
      </c>
      <c r="G127" s="159" t="str">
        <f>IF($F127="","",סיווג!G127)</f>
        <v/>
      </c>
      <c r="H127" s="5"/>
      <c r="I127" s="6"/>
      <c r="J127" s="5"/>
      <c r="K127" s="6"/>
      <c r="L127" s="5"/>
      <c r="M127" s="6"/>
      <c r="N127" s="6"/>
      <c r="O127" s="158"/>
      <c r="P127" s="177"/>
      <c r="Q127" s="8"/>
      <c r="R127" s="8"/>
      <c r="S127" s="8"/>
      <c r="T127" s="343" t="str">
        <f t="shared" si="28"/>
        <v/>
      </c>
      <c r="U127" s="159" t="str">
        <f t="shared" si="21"/>
        <v/>
      </c>
      <c r="V127" s="8">
        <v>1</v>
      </c>
      <c r="W127" s="8" t="str">
        <f t="shared" si="22"/>
        <v/>
      </c>
      <c r="X127" s="8">
        <v>1</v>
      </c>
      <c r="Y127" s="8" t="str">
        <f t="shared" si="23"/>
        <v/>
      </c>
      <c r="Z127" s="123" t="str">
        <f t="shared" si="24"/>
        <v/>
      </c>
      <c r="AA127" s="192">
        <f t="shared" si="25"/>
        <v>0</v>
      </c>
      <c r="AB127" s="192" t="str">
        <f t="shared" si="18"/>
        <v/>
      </c>
      <c r="AC127" s="192" t="str">
        <f t="shared" si="18"/>
        <v/>
      </c>
      <c r="AE127" s="192">
        <f t="shared" si="26"/>
        <v>0</v>
      </c>
      <c r="BA127" s="192" t="str">
        <f t="shared" si="27"/>
        <v/>
      </c>
      <c r="BB127" s="192" t="str">
        <f t="shared" si="27"/>
        <v/>
      </c>
    </row>
    <row r="128" spans="2:54" x14ac:dyDescent="0.25">
      <c r="B128" s="7" t="str">
        <f t="shared" si="20"/>
        <v/>
      </c>
      <c r="C128" s="4"/>
      <c r="D128" s="4"/>
      <c r="E128" s="4"/>
      <c r="F128" s="230" t="str">
        <f>IF('תנאי סף'!AO128&lt;&gt;1,"",'תנאי סף'!F128)</f>
        <v/>
      </c>
      <c r="G128" s="159" t="str">
        <f>IF($F128="","",סיווג!G128)</f>
        <v/>
      </c>
      <c r="H128" s="5"/>
      <c r="I128" s="6"/>
      <c r="J128" s="5"/>
      <c r="K128" s="6"/>
      <c r="L128" s="5"/>
      <c r="M128" s="6"/>
      <c r="N128" s="6"/>
      <c r="O128" s="158"/>
      <c r="P128" s="177"/>
      <c r="Q128" s="8"/>
      <c r="R128" s="8"/>
      <c r="S128" s="8"/>
      <c r="T128" s="343" t="str">
        <f t="shared" si="28"/>
        <v/>
      </c>
      <c r="U128" s="159" t="str">
        <f t="shared" si="21"/>
        <v/>
      </c>
      <c r="V128" s="8">
        <v>1</v>
      </c>
      <c r="W128" s="8" t="str">
        <f t="shared" si="22"/>
        <v/>
      </c>
      <c r="X128" s="8">
        <v>1</v>
      </c>
      <c r="Y128" s="8" t="str">
        <f t="shared" si="23"/>
        <v/>
      </c>
      <c r="Z128" s="123" t="str">
        <f t="shared" si="24"/>
        <v/>
      </c>
      <c r="AA128" s="192">
        <f t="shared" si="25"/>
        <v>0</v>
      </c>
      <c r="AB128" s="192" t="str">
        <f t="shared" si="18"/>
        <v/>
      </c>
      <c r="AC128" s="192" t="str">
        <f t="shared" si="18"/>
        <v/>
      </c>
      <c r="AE128" s="192">
        <f t="shared" si="26"/>
        <v>0</v>
      </c>
      <c r="BA128" s="192" t="str">
        <f t="shared" si="27"/>
        <v/>
      </c>
      <c r="BB128" s="192" t="str">
        <f t="shared" si="27"/>
        <v/>
      </c>
    </row>
    <row r="129" spans="2:54" x14ac:dyDescent="0.25">
      <c r="B129" s="7" t="str">
        <f t="shared" si="20"/>
        <v/>
      </c>
      <c r="C129" s="4"/>
      <c r="D129" s="4"/>
      <c r="E129" s="4"/>
      <c r="F129" s="230" t="str">
        <f>IF('תנאי סף'!AO129&lt;&gt;1,"",'תנאי סף'!F129)</f>
        <v/>
      </c>
      <c r="G129" s="159" t="str">
        <f>IF($F129="","",סיווג!G129)</f>
        <v/>
      </c>
      <c r="H129" s="5"/>
      <c r="I129" s="6"/>
      <c r="J129" s="5"/>
      <c r="K129" s="6"/>
      <c r="L129" s="5"/>
      <c r="M129" s="6"/>
      <c r="N129" s="6"/>
      <c r="O129" s="158"/>
      <c r="P129" s="177"/>
      <c r="Q129" s="8"/>
      <c r="R129" s="8"/>
      <c r="S129" s="8"/>
      <c r="T129" s="343" t="str">
        <f t="shared" si="28"/>
        <v/>
      </c>
      <c r="U129" s="159" t="str">
        <f t="shared" si="21"/>
        <v/>
      </c>
      <c r="V129" s="8">
        <v>1</v>
      </c>
      <c r="W129" s="8" t="str">
        <f t="shared" si="22"/>
        <v/>
      </c>
      <c r="X129" s="8">
        <v>1</v>
      </c>
      <c r="Y129" s="8" t="str">
        <f t="shared" si="23"/>
        <v/>
      </c>
      <c r="Z129" s="123" t="str">
        <f t="shared" si="24"/>
        <v/>
      </c>
      <c r="AA129" s="192">
        <f t="shared" si="25"/>
        <v>0</v>
      </c>
      <c r="AB129" s="192" t="str">
        <f t="shared" si="18"/>
        <v/>
      </c>
      <c r="AC129" s="192" t="str">
        <f t="shared" si="18"/>
        <v/>
      </c>
      <c r="AE129" s="192">
        <f t="shared" si="26"/>
        <v>0</v>
      </c>
      <c r="BA129" s="192" t="str">
        <f t="shared" si="27"/>
        <v/>
      </c>
      <c r="BB129" s="192" t="str">
        <f t="shared" si="27"/>
        <v/>
      </c>
    </row>
    <row r="130" spans="2:54" ht="16.5" thickBot="1" x14ac:dyDescent="0.3">
      <c r="B130" s="7" t="str">
        <f t="shared" si="20"/>
        <v/>
      </c>
      <c r="C130" s="4"/>
      <c r="D130" s="4"/>
      <c r="E130" s="4"/>
      <c r="F130" s="230" t="str">
        <f>IF('תנאי סף'!AO130&lt;&gt;1,"",'תנאי סף'!F130)</f>
        <v/>
      </c>
      <c r="G130" s="159" t="str">
        <f>IF($F130="","",סיווג!G130)</f>
        <v/>
      </c>
      <c r="H130" s="5"/>
      <c r="I130" s="6"/>
      <c r="J130" s="5"/>
      <c r="K130" s="6"/>
      <c r="L130" s="5"/>
      <c r="M130" s="6"/>
      <c r="N130" s="6"/>
      <c r="O130" s="158"/>
      <c r="P130" s="177"/>
      <c r="Q130" s="8"/>
      <c r="R130" s="8"/>
      <c r="S130" s="8"/>
      <c r="T130" s="343" t="str">
        <f t="shared" si="28"/>
        <v/>
      </c>
      <c r="U130" s="159" t="str">
        <f t="shared" si="21"/>
        <v/>
      </c>
      <c r="V130" s="8">
        <v>1</v>
      </c>
      <c r="W130" s="8" t="str">
        <f t="shared" si="22"/>
        <v/>
      </c>
      <c r="X130" s="8">
        <v>1</v>
      </c>
      <c r="Y130" s="8" t="str">
        <f t="shared" si="23"/>
        <v/>
      </c>
      <c r="Z130" s="123" t="str">
        <f t="shared" si="24"/>
        <v/>
      </c>
      <c r="AA130" s="192">
        <f t="shared" si="25"/>
        <v>0</v>
      </c>
      <c r="AB130" s="192" t="str">
        <f t="shared" si="18"/>
        <v/>
      </c>
      <c r="AC130" s="192" t="str">
        <f t="shared" si="18"/>
        <v/>
      </c>
      <c r="AE130" s="192">
        <f t="shared" si="26"/>
        <v>0</v>
      </c>
      <c r="BA130" s="192" t="str">
        <f t="shared" si="27"/>
        <v/>
      </c>
      <c r="BB130" s="192" t="str">
        <f t="shared" si="27"/>
        <v/>
      </c>
    </row>
    <row r="131" spans="2:54" ht="19.5" thickBot="1" x14ac:dyDescent="0.35">
      <c r="B131" s="555" t="s">
        <v>77</v>
      </c>
      <c r="C131" s="556"/>
      <c r="D131" s="556"/>
      <c r="E131" s="556"/>
      <c r="F131" s="557"/>
      <c r="G131" s="9">
        <f>SUM(G31:G130)</f>
        <v>6737017</v>
      </c>
      <c r="H131" s="9">
        <f>SUM(H31:H130)</f>
        <v>4824162.24</v>
      </c>
      <c r="I131" s="9">
        <f t="shared" ref="I131:P131" si="29">SUM(I31:I130)</f>
        <v>0</v>
      </c>
      <c r="J131" s="9">
        <f t="shared" si="29"/>
        <v>0</v>
      </c>
      <c r="K131" s="9">
        <f t="shared" si="29"/>
        <v>0</v>
      </c>
      <c r="L131" s="9">
        <f t="shared" si="29"/>
        <v>0</v>
      </c>
      <c r="M131" s="9">
        <f t="shared" si="29"/>
        <v>0</v>
      </c>
      <c r="N131" s="9">
        <f t="shared" si="29"/>
        <v>0</v>
      </c>
      <c r="O131" s="9">
        <f t="shared" si="29"/>
        <v>0</v>
      </c>
      <c r="P131" s="9">
        <f t="shared" si="29"/>
        <v>0</v>
      </c>
      <c r="Q131" s="9">
        <f t="shared" ref="Q131:Z131" si="30">SUM(Q31:Q130)</f>
        <v>0</v>
      </c>
      <c r="R131" s="9">
        <f t="shared" si="30"/>
        <v>0</v>
      </c>
      <c r="S131" s="9">
        <f t="shared" si="30"/>
        <v>0</v>
      </c>
      <c r="T131" s="9">
        <f t="shared" si="30"/>
        <v>25.159870409918035</v>
      </c>
      <c r="U131" s="9">
        <f t="shared" si="30"/>
        <v>163</v>
      </c>
      <c r="V131" s="9">
        <f t="shared" si="30"/>
        <v>100</v>
      </c>
      <c r="W131" s="9">
        <f t="shared" si="30"/>
        <v>163</v>
      </c>
      <c r="X131" s="9">
        <f t="shared" si="30"/>
        <v>100</v>
      </c>
      <c r="Y131" s="9">
        <f t="shared" si="30"/>
        <v>163</v>
      </c>
      <c r="Z131" s="124">
        <f t="shared" si="30"/>
        <v>1.0000000000000002</v>
      </c>
      <c r="AD131" s="193"/>
      <c r="AE131" s="193"/>
    </row>
    <row r="132" spans="2:54" x14ac:dyDescent="0.25">
      <c r="AD132" s="193"/>
      <c r="AE132" s="193"/>
    </row>
    <row r="133" spans="2:54" x14ac:dyDescent="0.25">
      <c r="AD133" s="193"/>
      <c r="AE133" s="193"/>
    </row>
    <row r="134" spans="2:54" x14ac:dyDescent="0.25">
      <c r="AD134" s="193"/>
      <c r="AE134" s="193"/>
    </row>
    <row r="135" spans="2:54" x14ac:dyDescent="0.25">
      <c r="AD135" s="193"/>
      <c r="AE135" s="193"/>
    </row>
    <row r="136" spans="2:54" x14ac:dyDescent="0.25">
      <c r="AD136" s="193"/>
      <c r="AE136" s="193"/>
    </row>
    <row r="137" spans="2:54" x14ac:dyDescent="0.25">
      <c r="AD137" s="193"/>
      <c r="AE137" s="193"/>
    </row>
    <row r="138" spans="2:54" x14ac:dyDescent="0.25">
      <c r="AD138" s="193"/>
      <c r="AE138" s="193"/>
    </row>
    <row r="139" spans="2:54" x14ac:dyDescent="0.25">
      <c r="AD139" s="193"/>
      <c r="AE139" s="193"/>
    </row>
    <row r="140" spans="2:54" x14ac:dyDescent="0.25">
      <c r="AD140" s="193"/>
      <c r="AE140" s="193"/>
    </row>
    <row r="141" spans="2:54" x14ac:dyDescent="0.25">
      <c r="AD141" s="193"/>
      <c r="AE141" s="193"/>
    </row>
    <row r="142" spans="2:54" x14ac:dyDescent="0.25">
      <c r="AD142" s="193"/>
      <c r="AE142" s="193"/>
    </row>
    <row r="143" spans="2:54" x14ac:dyDescent="0.25">
      <c r="AD143" s="193"/>
      <c r="AE143" s="193"/>
    </row>
    <row r="144" spans="2:54" x14ac:dyDescent="0.25">
      <c r="AD144" s="193"/>
      <c r="AE144" s="193"/>
    </row>
    <row r="145" spans="30:31" x14ac:dyDescent="0.25">
      <c r="AD145" s="193"/>
      <c r="AE145" s="193"/>
    </row>
    <row r="146" spans="30:31" x14ac:dyDescent="0.25">
      <c r="AD146" s="193"/>
      <c r="AE146" s="193"/>
    </row>
    <row r="147" spans="30:31" x14ac:dyDescent="0.25">
      <c r="AD147" s="193"/>
      <c r="AE147" s="193"/>
    </row>
    <row r="148" spans="30:31" x14ac:dyDescent="0.25">
      <c r="AD148" s="193"/>
      <c r="AE148" s="193"/>
    </row>
    <row r="149" spans="30:31" x14ac:dyDescent="0.25">
      <c r="AD149" s="193"/>
      <c r="AE149" s="193"/>
    </row>
    <row r="150" spans="30:31" x14ac:dyDescent="0.25">
      <c r="AD150" s="193"/>
      <c r="AE150" s="193"/>
    </row>
    <row r="151" spans="30:31" x14ac:dyDescent="0.25">
      <c r="AD151" s="193"/>
      <c r="AE151" s="193"/>
    </row>
    <row r="152" spans="30:31" x14ac:dyDescent="0.25">
      <c r="AD152" s="193"/>
      <c r="AE152" s="193"/>
    </row>
    <row r="153" spans="30:31" x14ac:dyDescent="0.25">
      <c r="AD153" s="193"/>
      <c r="AE153" s="193"/>
    </row>
    <row r="154" spans="30:31" x14ac:dyDescent="0.25">
      <c r="AD154" s="193"/>
      <c r="AE154" s="193"/>
    </row>
    <row r="155" spans="30:31" x14ac:dyDescent="0.25">
      <c r="AD155" s="193"/>
      <c r="AE155" s="193"/>
    </row>
    <row r="156" spans="30:31" x14ac:dyDescent="0.25">
      <c r="AD156" s="193"/>
      <c r="AE156" s="193"/>
    </row>
    <row r="157" spans="30:31" x14ac:dyDescent="0.25">
      <c r="AD157" s="193"/>
      <c r="AE157" s="193"/>
    </row>
    <row r="158" spans="30:31" x14ac:dyDescent="0.25">
      <c r="AD158" s="193"/>
      <c r="AE158" s="193"/>
    </row>
    <row r="159" spans="30:31" x14ac:dyDescent="0.25">
      <c r="AD159" s="193"/>
      <c r="AE159" s="193"/>
    </row>
    <row r="160" spans="30:31" x14ac:dyDescent="0.25">
      <c r="AD160" s="193"/>
      <c r="AE160" s="193"/>
    </row>
    <row r="161" spans="30:31" x14ac:dyDescent="0.25">
      <c r="AD161" s="193"/>
      <c r="AE161" s="193"/>
    </row>
    <row r="162" spans="30:31" x14ac:dyDescent="0.25">
      <c r="AD162" s="193"/>
      <c r="AE162" s="193"/>
    </row>
    <row r="163" spans="30:31" x14ac:dyDescent="0.25">
      <c r="AD163" s="193"/>
      <c r="AE163" s="193"/>
    </row>
    <row r="164" spans="30:31" x14ac:dyDescent="0.25">
      <c r="AD164" s="193"/>
      <c r="AE164" s="193"/>
    </row>
    <row r="165" spans="30:31" x14ac:dyDescent="0.25">
      <c r="AD165" s="193"/>
      <c r="AE165" s="193"/>
    </row>
    <row r="166" spans="30:31" x14ac:dyDescent="0.25">
      <c r="AD166" s="193"/>
      <c r="AE166" s="193"/>
    </row>
    <row r="167" spans="30:31" x14ac:dyDescent="0.25">
      <c r="AD167" s="193"/>
      <c r="AE167" s="193"/>
    </row>
    <row r="168" spans="30:31" x14ac:dyDescent="0.25">
      <c r="AD168" s="193"/>
      <c r="AE168" s="193"/>
    </row>
    <row r="169" spans="30:31" x14ac:dyDescent="0.25">
      <c r="AD169" s="193"/>
      <c r="AE169" s="193"/>
    </row>
    <row r="170" spans="30:31" x14ac:dyDescent="0.25">
      <c r="AD170" s="193"/>
      <c r="AE170" s="193"/>
    </row>
    <row r="171" spans="30:31" x14ac:dyDescent="0.25">
      <c r="AD171" s="193"/>
      <c r="AE171" s="193"/>
    </row>
    <row r="172" spans="30:31" x14ac:dyDescent="0.25">
      <c r="AD172" s="193"/>
      <c r="AE172" s="193"/>
    </row>
    <row r="173" spans="30:31" x14ac:dyDescent="0.25">
      <c r="AD173" s="193"/>
      <c r="AE173" s="193"/>
    </row>
    <row r="174" spans="30:31" x14ac:dyDescent="0.25">
      <c r="AD174" s="193"/>
      <c r="AE174" s="193"/>
    </row>
    <row r="175" spans="30:31" x14ac:dyDescent="0.25">
      <c r="AD175" s="193"/>
      <c r="AE175" s="193"/>
    </row>
    <row r="176" spans="30:31" x14ac:dyDescent="0.25">
      <c r="AD176" s="193"/>
      <c r="AE176" s="193"/>
    </row>
    <row r="177" spans="30:31" x14ac:dyDescent="0.25">
      <c r="AD177" s="193"/>
      <c r="AE177" s="193"/>
    </row>
    <row r="178" spans="30:31" x14ac:dyDescent="0.25">
      <c r="AD178" s="193"/>
      <c r="AE178" s="193"/>
    </row>
    <row r="179" spans="30:31" x14ac:dyDescent="0.25">
      <c r="AD179" s="193"/>
      <c r="AE179" s="193"/>
    </row>
    <row r="180" spans="30:31" x14ac:dyDescent="0.25">
      <c r="AD180" s="193"/>
      <c r="AE180" s="193"/>
    </row>
  </sheetData>
  <sheetProtection algorithmName="SHA-512" hashValue="t29XWVYJq/CX8p7Mtc6YVlocNRLhVzVqZnuDYHst2nGuIawxuhdNm6uqYgM4hCu6nKPw8SLl7FwrqVUdQPUIfg==" saltValue="CgJoOuXG++taAiowbC1UZg==" spinCount="100000" sheet="1" scenarios="1" formatCells="0" formatColumns="0" formatRows="0" autoFilter="0"/>
  <mergeCells count="18">
    <mergeCell ref="B1:Z1"/>
    <mergeCell ref="B29:B30"/>
    <mergeCell ref="C29:C30"/>
    <mergeCell ref="D29:D30"/>
    <mergeCell ref="E29:E30"/>
    <mergeCell ref="F29:F30"/>
    <mergeCell ref="U29:U30"/>
    <mergeCell ref="V29:V30"/>
    <mergeCell ref="G29:G30"/>
    <mergeCell ref="B131:F131"/>
    <mergeCell ref="W29:W30"/>
    <mergeCell ref="X29:X30"/>
    <mergeCell ref="Y29:Y30"/>
    <mergeCell ref="Z29:Z30"/>
    <mergeCell ref="Q29:Q30"/>
    <mergeCell ref="R29:R30"/>
    <mergeCell ref="S29:S30"/>
    <mergeCell ref="T29:T30"/>
  </mergeCells>
  <conditionalFormatting sqref="B31:G130">
    <cfRule type="expression" dxfId="125" priority="19">
      <formula>$F31=""</formula>
    </cfRule>
    <cfRule type="expression" dxfId="124" priority="20">
      <formula>B$30&lt;&gt;""</formula>
    </cfRule>
  </conditionalFormatting>
  <conditionalFormatting sqref="B31:T72 B74:T130 G32:G130">
    <cfRule type="expression" dxfId="123" priority="10" stopIfTrue="1">
      <formula>AND($F31="",B31&lt;&gt;"")</formula>
    </cfRule>
  </conditionalFormatting>
  <conditionalFormatting sqref="B73:T73">
    <cfRule type="expression" dxfId="122" priority="1" stopIfTrue="1">
      <formula>AND($F73="",B73&lt;&gt;"")</formula>
    </cfRule>
  </conditionalFormatting>
  <conditionalFormatting sqref="H31:H72 H74:H130">
    <cfRule type="expression" dxfId="121" priority="7">
      <formula>$F31=""</formula>
    </cfRule>
    <cfRule type="expression" dxfId="120" priority="8">
      <formula>H$30&lt;&gt;""</formula>
    </cfRule>
  </conditionalFormatting>
  <conditionalFormatting sqref="H31:H130">
    <cfRule type="expression" dxfId="119" priority="5" stopIfTrue="1">
      <formula>AND($F31="",H31&lt;&gt;"")</formula>
    </cfRule>
  </conditionalFormatting>
  <conditionalFormatting sqref="H73">
    <cfRule type="expression" dxfId="118" priority="2">
      <formula>$F73=""</formula>
    </cfRule>
    <cfRule type="expression" dxfId="117" priority="3">
      <formula>H$30&lt;&gt;""</formula>
    </cfRule>
  </conditionalFormatting>
  <conditionalFormatting sqref="I31:Z31 I32:T120 U32:Z130 I121:S130">
    <cfRule type="expression" dxfId="116" priority="22" stopIfTrue="1">
      <formula>AND($F31="",I31&lt;&gt;"")</formula>
    </cfRule>
    <cfRule type="expression" dxfId="115" priority="23">
      <formula>$F31=""</formula>
    </cfRule>
    <cfRule type="expression" dxfId="114" priority="24">
      <formula>I$30&lt;&gt;""</formula>
    </cfRule>
  </conditionalFormatting>
  <conditionalFormatting sqref="T31:T130">
    <cfRule type="expression" dxfId="113" priority="11">
      <formula>$F31=""</formula>
    </cfRule>
    <cfRule type="expression" dxfId="112" priority="12">
      <formula>T$30&lt;&gt;""</formula>
    </cfRule>
  </conditionalFormatting>
  <dataValidations count="8">
    <dataValidation type="whole" operator="notBetween" allowBlank="1" showInputMessage="1" showErrorMessage="1" errorTitle="נתון שגוי." error="ניתן להזין רק מספר שלם" sqref="I31:I130" xr:uid="{00000000-0002-0000-0B00-000000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H31:H130" xr:uid="{00000000-0002-0000-0B00-000001000000}">
      <formula1>0</formula1>
    </dataValidation>
    <dataValidation type="whole" operator="greaterThanOrEqual" allowBlank="1" showInputMessage="1" showErrorMessage="1" errorTitle="נתון שגוי." error="ניתן להזין רק מספר שלם גדול או שווה ל-0." sqref="K31:K130" xr:uid="{00000000-0002-0000-0B00-000002000000}">
      <formula1>0</formula1>
    </dataValidation>
    <dataValidation type="decimal" operator="greaterThan" allowBlank="1" showInputMessage="1" showErrorMessage="1" errorTitle="נתון שגוי." error="ניתן להזין רק מספר גדול מ-0" sqref="L31:L130" xr:uid="{00000000-0002-0000-0B00-000003000000}">
      <formula1>0</formula1>
    </dataValidation>
    <dataValidation type="whole" operator="greaterThan" allowBlank="1" showInputMessage="1" showErrorMessage="1" errorTitle="נתון שגוי." error="ניתן להזין רק מספר שלם גדול מ-0" sqref="M31:M130" xr:uid="{00000000-0002-0000-0B00-000004000000}">
      <formula1>0</formula1>
    </dataValidation>
    <dataValidation type="list" allowBlank="1" showInputMessage="1" showErrorMessage="1" sqref="H30:P30" xr:uid="{00000000-0002-0000-0B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B00-000006000000}">
      <formula1>$AB31:$AC31</formula1>
    </dataValidation>
    <dataValidation type="list" allowBlank="1" showInputMessage="1" showErrorMessage="1" errorTitle="נתון לא מרשימה" error="יש לבחור מתוך הרשימה הסגורה בלבד" sqref="O31:O130" xr:uid="{00000000-0002-0000-0B00-000007000000}">
      <formula1>OFFSET($BA31,0,0,1,COUNTA($BA31:$BJ31))</formula1>
    </dataValidation>
  </dataValidations>
  <printOptions horizontalCentered="1"/>
  <pageMargins left="0.33" right="0.17" top="0.74803149606299213" bottom="0.41" header="0.31496062992125984" footer="0.17"/>
  <pageSetup paperSize="9" scale="31"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21" operator="containsText" id="{478C15CB-6C03-47B4-AB72-FB93A16633F9}">
            <xm:f>NOT(ISERROR(SEARCH($AB$1,B31)))</xm:f>
            <xm:f>$AB$1</xm:f>
            <x14:dxf>
              <fill>
                <patternFill>
                  <bgColor rgb="FFFF0000"/>
                </patternFill>
              </fill>
            </x14:dxf>
          </x14:cfRule>
          <xm:sqref>B31:G130</xm:sqref>
        </x14:conditionalFormatting>
        <x14:conditionalFormatting xmlns:xm="http://schemas.microsoft.com/office/excel/2006/main">
          <x14:cfRule type="containsText" priority="9" operator="containsText" id="{B7514877-517E-44C0-A587-DE3206FAF595}">
            <xm:f>NOT(ISERROR(SEARCH($AB$1,H31)))</xm:f>
            <xm:f>$AB$1</xm:f>
            <x14:dxf>
              <fill>
                <patternFill>
                  <bgColor rgb="FFFF0000"/>
                </patternFill>
              </fill>
            </x14:dxf>
          </x14:cfRule>
          <xm:sqref>H31:H72 H74:H130</xm:sqref>
        </x14:conditionalFormatting>
        <x14:conditionalFormatting xmlns:xm="http://schemas.microsoft.com/office/excel/2006/main">
          <x14:cfRule type="containsText" priority="4" operator="containsText" id="{FD59E557-277D-4F06-885F-F2AFE3D95D14}">
            <xm:f>NOT(ISERROR(SEARCH($AB$1,H73)))</xm:f>
            <xm:f>$AB$1</xm:f>
            <x14:dxf>
              <fill>
                <patternFill>
                  <bgColor rgb="FFFF0000"/>
                </patternFill>
              </fill>
            </x14:dxf>
          </x14:cfRule>
          <xm:sqref>H73</xm:sqref>
        </x14:conditionalFormatting>
        <x14:conditionalFormatting xmlns:xm="http://schemas.microsoft.com/office/excel/2006/main">
          <x14:cfRule type="containsText" priority="25" operator="containsText" id="{56556B37-BCCD-4FA0-83BF-19F185B8C31E}">
            <xm:f>NOT(ISERROR(SEARCH($AB$1,I31)))</xm:f>
            <xm:f>$AB$1</xm:f>
            <x14:dxf>
              <fill>
                <patternFill>
                  <bgColor rgb="FFFF0000"/>
                </patternFill>
              </fill>
            </x14:dxf>
          </x14:cfRule>
          <xm:sqref>I31:Z31 I32:T120 U32:Z130 I121:S130</xm:sqref>
        </x14:conditionalFormatting>
        <x14:conditionalFormatting xmlns:xm="http://schemas.microsoft.com/office/excel/2006/main">
          <x14:cfRule type="containsText" priority="13" operator="containsText" id="{67F04099-DDA0-4C73-B581-FF2B1FDC520C}">
            <xm:f>NOT(ISERROR(SEARCH($AB$1,T31)))</xm:f>
            <xm:f>$AB$1</xm:f>
            <x14:dxf>
              <fill>
                <patternFill>
                  <bgColor rgb="FFFF0000"/>
                </patternFill>
              </fill>
            </x14:dxf>
          </x14:cfRule>
          <xm:sqref>T31:T130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tabColor theme="4" tint="-0.249977111117893"/>
  </sheetPr>
  <dimension ref="A1:DZ180"/>
  <sheetViews>
    <sheetView rightToLeft="1" view="pageBreakPreview" topLeftCell="B1" zoomScale="85" zoomScaleNormal="100" zoomScaleSheetLayoutView="85"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45.85546875" style="193" customWidth="1"/>
    <col min="7" max="7" width="28.140625" style="193" customWidth="1"/>
    <col min="8" max="8" width="25.85546875" style="193" customWidth="1"/>
    <col min="9" max="9" width="21.42578125" style="193" hidden="1" customWidth="1"/>
    <col min="10" max="10" width="17.42578125" style="193" hidden="1" customWidth="1"/>
    <col min="11" max="19" width="21.42578125" style="193" hidden="1" customWidth="1"/>
    <col min="20" max="20" width="17.5703125" style="193" hidden="1" customWidth="1"/>
    <col min="21" max="21" width="14" style="193" customWidth="1"/>
    <col min="22" max="25" width="21.42578125" style="193" hidden="1" customWidth="1"/>
    <col min="26" max="26" width="14" style="193"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5.5" customHeight="1" thickBot="1" x14ac:dyDescent="0.3">
      <c r="B1" s="534" t="str">
        <f ca="1">MID(CELL("filename",AC2),FIND("]",CELL("filename",AC2),1)+1,99)</f>
        <v>תיעוד</v>
      </c>
      <c r="C1" s="536"/>
      <c r="D1" s="536"/>
      <c r="E1" s="536"/>
      <c r="F1" s="536"/>
      <c r="G1" s="536"/>
      <c r="H1" s="536"/>
      <c r="I1" s="536"/>
      <c r="J1" s="536"/>
      <c r="K1" s="536"/>
      <c r="L1" s="536"/>
      <c r="M1" s="536"/>
      <c r="N1" s="536"/>
      <c r="O1" s="536"/>
      <c r="P1" s="536"/>
      <c r="Q1" s="536"/>
      <c r="R1" s="536"/>
      <c r="S1" s="536"/>
      <c r="T1" s="536"/>
      <c r="U1" s="536"/>
      <c r="V1" s="536"/>
      <c r="W1" s="536"/>
      <c r="X1" s="536"/>
      <c r="Y1" s="536"/>
      <c r="Z1" s="535"/>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U2" s="198" t="str">
        <f>'פרמטרים לקריטריונים'!$B$4</f>
        <v>שנת תקציב</v>
      </c>
      <c r="V2" s="237"/>
      <c r="W2" s="237"/>
      <c r="X2" s="237"/>
      <c r="Y2" s="198" t="str">
        <f>'פרמטרים לקריטריונים'!$B$4</f>
        <v>שנת תקציב</v>
      </c>
      <c r="Z2" s="1">
        <f>'פרמטרים לקריטריונים'!$C$4</f>
        <v>2025</v>
      </c>
      <c r="AE2" s="192">
        <f>IF(ISNA(MATCH(G31,$AB$30:$AC$30,0)),0,1)</f>
        <v>1</v>
      </c>
      <c r="AF2" s="192">
        <f>IF(IFERROR(G31*1,"bad")="bad",0,1)</f>
        <v>1</v>
      </c>
      <c r="AG2" s="192">
        <f>IF(IFERROR(IF(G31=TRUNC(G31),1,"bad"),"bad")="bad",0,1)</f>
        <v>1</v>
      </c>
      <c r="AH2" s="192">
        <f>IF(AND(IF(IFERROR(G31*1,"bad")="bad",0,1)=1,G31&gt;=0),1,0)</f>
        <v>1</v>
      </c>
      <c r="AI2" s="192">
        <f>IF(AND(IF(IFERROR(IF(G31=TRUNC(G31),1,"bad"),"bad")="bad",0,1)=1,G31&gt;=0),1,0)</f>
        <v>1</v>
      </c>
      <c r="AJ2" s="192">
        <f>IF(AND(IF(IFERROR(G31*1,"bad")="bad",0,1)=1,G31&gt;0),1,0)</f>
        <v>0</v>
      </c>
      <c r="AK2" s="192">
        <f>IF(AND(IF(IFERROR(IF(G31=TRUNC(G31),1,"bad"),"bad")="bad",0,1)=1,G31&gt;0),1,0)</f>
        <v>0</v>
      </c>
      <c r="AL2" s="192">
        <v>1</v>
      </c>
      <c r="AM2" s="192">
        <f>IF(IFERROR(HLOOKUP(G31,$BA$30:$BK$30,1,0),"bad")="bad",0,1)</f>
        <v>0</v>
      </c>
    </row>
    <row r="3" spans="2:52" ht="38.25" thickBot="1" x14ac:dyDescent="0.3">
      <c r="U3" s="199" t="str">
        <f>'פרמטרים לקריטריונים'!$B$5</f>
        <v>תקציב התמיכה</v>
      </c>
      <c r="V3" s="238"/>
      <c r="W3" s="238"/>
      <c r="X3" s="238"/>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לקריטריונים'!B201</f>
        <v>משך התיעוד לפחות (דק')</v>
      </c>
      <c r="G4" s="406" t="str">
        <f>'פרמטרים לקריטריונים'!C201</f>
        <v>ניקוד</v>
      </c>
      <c r="AD4" s="192" t="s">
        <v>128</v>
      </c>
      <c r="AE4" s="234">
        <v>1</v>
      </c>
      <c r="AF4" s="235">
        <v>2</v>
      </c>
      <c r="AG4" s="235">
        <v>3</v>
      </c>
      <c r="AH4" s="235">
        <v>4</v>
      </c>
      <c r="AI4" s="235">
        <v>5</v>
      </c>
      <c r="AJ4" s="235">
        <v>6</v>
      </c>
      <c r="AK4" s="235">
        <v>7</v>
      </c>
      <c r="AL4" s="235">
        <v>8</v>
      </c>
      <c r="AM4" s="235">
        <v>9</v>
      </c>
      <c r="AN4" s="236">
        <v>10</v>
      </c>
    </row>
    <row r="5" spans="2:52" x14ac:dyDescent="0.25">
      <c r="F5" s="407">
        <f>'פרמטרים לקריטריונים'!B202</f>
        <v>30</v>
      </c>
      <c r="G5" s="411">
        <f>'פרמטרים לקריטריונים'!C202</f>
        <v>1</v>
      </c>
    </row>
    <row r="6" spans="2:52" x14ac:dyDescent="0.25">
      <c r="F6" s="407">
        <f>'פרמטרים לקריטריונים'!B203</f>
        <v>50</v>
      </c>
      <c r="G6" s="411">
        <f>'פרמטרים לקריטריונים'!C203</f>
        <v>2</v>
      </c>
    </row>
    <row r="7" spans="2:52" ht="16.5" thickBot="1" x14ac:dyDescent="0.3"/>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idden="1" x14ac:dyDescent="0.25"/>
    <row r="22" spans="1:62" hidden="1" x14ac:dyDescent="0.25"/>
    <row r="23" spans="1:62" hidden="1" x14ac:dyDescent="0.25">
      <c r="F23" s="410" t="str">
        <f>'פרמטרים לקריטריונים'!$D$31</f>
        <v>החלת מקדם תלוי משתנה</v>
      </c>
      <c r="G23" s="411">
        <f ca="1">VLOOKUP(B1,'פרמטרים לקריטריונים'!$B$32:$D$46,3,0)</f>
        <v>0</v>
      </c>
    </row>
    <row r="24" spans="1:62" hidden="1" x14ac:dyDescent="0.25"/>
    <row r="25" spans="1:62" hidden="1" x14ac:dyDescent="0.25"/>
    <row r="26" spans="1:62" hidden="1" x14ac:dyDescent="0.25">
      <c r="F26" s="3"/>
      <c r="G26" s="3"/>
      <c r="H26" s="3"/>
      <c r="I26" s="3"/>
      <c r="J26" s="3"/>
      <c r="K26" s="3"/>
      <c r="L26" s="3"/>
      <c r="M26" s="3"/>
      <c r="N26" s="3"/>
      <c r="O26" s="3"/>
      <c r="P26" s="3"/>
      <c r="Q26" s="3"/>
      <c r="R26" s="3"/>
      <c r="S26" s="3"/>
      <c r="T26" s="3"/>
      <c r="U26" s="3"/>
      <c r="V26" s="3"/>
      <c r="W26" s="3"/>
      <c r="X26" s="3"/>
      <c r="Y26" s="3"/>
    </row>
    <row r="27" spans="1:62" hidden="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62" ht="16.5" hidden="1"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167"/>
      <c r="AD28" s="192">
        <f>MATCH(G$30,$AE$1:$AM$1,0)</f>
        <v>5</v>
      </c>
      <c r="AE28" s="192">
        <f t="shared" ref="AE28:AV28" si="0">MATCH(H$30,$AE$1:$AM$1,0)</f>
        <v>5</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63.75" customHeight="1" thickBot="1" x14ac:dyDescent="0.3">
      <c r="A29" s="221">
        <v>100</v>
      </c>
      <c r="B29" s="544" t="s">
        <v>132</v>
      </c>
      <c r="C29" s="546">
        <f>COLUMN()</f>
        <v>3</v>
      </c>
      <c r="D29" s="546">
        <f>COLUMN()</f>
        <v>4</v>
      </c>
      <c r="E29" s="546">
        <f>COLUMN()</f>
        <v>5</v>
      </c>
      <c r="F29" s="542" t="s">
        <v>133</v>
      </c>
      <c r="G29" s="239" t="s">
        <v>216</v>
      </c>
      <c r="H29" s="239" t="s">
        <v>217</v>
      </c>
      <c r="I29" s="232" t="s">
        <v>201</v>
      </c>
      <c r="J29" s="232" t="s">
        <v>202</v>
      </c>
      <c r="K29" s="232" t="s">
        <v>203</v>
      </c>
      <c r="L29" s="232" t="s">
        <v>204</v>
      </c>
      <c r="M29" s="232" t="s">
        <v>205</v>
      </c>
      <c r="N29" s="232" t="s">
        <v>206</v>
      </c>
      <c r="O29" s="232" t="s">
        <v>207</v>
      </c>
      <c r="P29" s="232" t="s">
        <v>117</v>
      </c>
      <c r="Q29" s="546">
        <f>COLUMN()</f>
        <v>17</v>
      </c>
      <c r="R29" s="546">
        <f>COLUMN()</f>
        <v>18</v>
      </c>
      <c r="S29" s="546">
        <f>COLUMN()</f>
        <v>19</v>
      </c>
      <c r="T29" s="546">
        <f>COLUMN()</f>
        <v>20</v>
      </c>
      <c r="U29" s="542" t="s">
        <v>197</v>
      </c>
      <c r="V29" s="546" t="s">
        <v>190</v>
      </c>
      <c r="W29" s="546" t="s">
        <v>191</v>
      </c>
      <c r="X29" s="546" t="s">
        <v>190</v>
      </c>
      <c r="Y29" s="546" t="s">
        <v>192</v>
      </c>
      <c r="Z29" s="553" t="s">
        <v>199</v>
      </c>
      <c r="AA29" s="224" t="s">
        <v>159</v>
      </c>
      <c r="AD29" s="192" t="str">
        <f>"בקרת "&amp;G29</f>
        <v>בקרת מספר "תיעודי" פעילות הקבוצה בשנת ההערכה שמשכו 30 דקות ולא יותר מ-50 דקות</v>
      </c>
      <c r="AE29" s="192" t="str">
        <f t="shared" ref="AE29:AV29" si="1">"בקרת "&amp;H29</f>
        <v>בקרת מספר "תיעודי" פעילות הקבוצה בשנת ההערכה שמשכו 50 דקות ומעלה</v>
      </c>
      <c r="AF29" s="192" t="str">
        <f t="shared" si="1"/>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 t="shared" si="1"/>
        <v>בקרת 0/1</v>
      </c>
      <c r="AN29" s="192" t="str">
        <f t="shared" si="1"/>
        <v>בקרת 17</v>
      </c>
      <c r="AO29" s="192" t="str">
        <f t="shared" si="1"/>
        <v>בקרת 18</v>
      </c>
      <c r="AP29" s="192" t="str">
        <f t="shared" si="1"/>
        <v>בקרת 19</v>
      </c>
      <c r="AQ29" s="192" t="str">
        <f t="shared" si="1"/>
        <v>בקרת 20</v>
      </c>
      <c r="AR29" s="192" t="str">
        <f t="shared" si="1"/>
        <v>בקרת סה"כ ניקוד</v>
      </c>
      <c r="AS29" s="192" t="str">
        <f t="shared" si="1"/>
        <v>בקרת נתון למכפיל1</v>
      </c>
      <c r="AT29" s="192" t="str">
        <f t="shared" si="1"/>
        <v>בקרת ניקוד לאחר מכפיל1</v>
      </c>
      <c r="AU29" s="192" t="str">
        <f t="shared" si="1"/>
        <v>בקרת נתון למכפיל1</v>
      </c>
      <c r="AV29" s="192" t="str">
        <f t="shared" si="1"/>
        <v>בקרת ניקוד לאחר מכפיל2</v>
      </c>
      <c r="BA29" s="192" t="s">
        <v>128</v>
      </c>
    </row>
    <row r="30" spans="1:62" ht="23.25" customHeight="1" thickBot="1" x14ac:dyDescent="0.3">
      <c r="A30" s="225"/>
      <c r="B30" s="545"/>
      <c r="C30" s="547"/>
      <c r="D30" s="547"/>
      <c r="E30" s="547"/>
      <c r="F30" s="543"/>
      <c r="G30" s="240" t="s">
        <v>121</v>
      </c>
      <c r="H30" s="240" t="s">
        <v>121</v>
      </c>
      <c r="I30" s="233"/>
      <c r="J30" s="233"/>
      <c r="K30" s="233"/>
      <c r="L30" s="233"/>
      <c r="M30" s="233"/>
      <c r="N30" s="233"/>
      <c r="O30" s="233"/>
      <c r="P30" s="233"/>
      <c r="Q30" s="547"/>
      <c r="R30" s="547"/>
      <c r="S30" s="547"/>
      <c r="T30" s="547"/>
      <c r="U30" s="543"/>
      <c r="V30" s="547"/>
      <c r="W30" s="547"/>
      <c r="X30" s="547"/>
      <c r="Y30" s="547"/>
      <c r="Z30" s="554"/>
      <c r="AB30" s="192">
        <v>0</v>
      </c>
      <c r="AC30" s="192">
        <v>1</v>
      </c>
      <c r="AD30" s="192" t="str">
        <f>G30</f>
        <v>מספר שלם שאינו שלילי</v>
      </c>
      <c r="AE30" s="192" t="str">
        <f t="shared" ref="AE30:AV30" si="2">H30</f>
        <v>מספר שלם שאינו שלילי</v>
      </c>
      <c r="AF30" s="192">
        <f t="shared" si="2"/>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29.25" customHeight="1" x14ac:dyDescent="0.25">
      <c r="B31" s="160">
        <f>IF(F31="","",ROW()-30)</f>
        <v>1</v>
      </c>
      <c r="C31" s="157"/>
      <c r="D31" s="157"/>
      <c r="E31" s="157"/>
      <c r="F31" s="241" t="str">
        <f>IF('תנאי סף'!AO31&lt;&gt;1,"",'תנאי סף'!F31)</f>
        <v>אנסמבל פרץ אליהו</v>
      </c>
      <c r="G31" s="158">
        <v>0</v>
      </c>
      <c r="H31" s="158">
        <v>1</v>
      </c>
      <c r="I31" s="158"/>
      <c r="J31" s="176"/>
      <c r="K31" s="158"/>
      <c r="L31" s="176"/>
      <c r="M31" s="158"/>
      <c r="N31" s="158"/>
      <c r="O31" s="158"/>
      <c r="P31" s="177"/>
      <c r="Q31" s="159"/>
      <c r="R31" s="159"/>
      <c r="S31" s="159"/>
      <c r="T31" s="159"/>
      <c r="U31" s="159">
        <f>IF($F31="","",IF($AA31&lt;&gt;1,$AB$1,G31*$G$5+H31*$G$6))</f>
        <v>2</v>
      </c>
      <c r="V31" s="159">
        <v>1</v>
      </c>
      <c r="W31" s="159">
        <f>IF($F31="","",IF($AA31&lt;&gt;1,$AB$1,IFERROR(U31*V31,$AB$1)))</f>
        <v>2</v>
      </c>
      <c r="X31" s="159">
        <v>1</v>
      </c>
      <c r="Y31" s="159">
        <f>IF($F31="","",IF($AA31&lt;&gt;1,$AB$1,IFERROR(W31*X31,$AB$1)))</f>
        <v>2</v>
      </c>
      <c r="Z31" s="343">
        <f>IF($F31="","",IF(OR($AA31&lt;&gt;1,Y31=$AB$1),$AB$1,IFERROR(Y31/SUM($Y$31:$Y$130),0)))</f>
        <v>1.4705882352941176E-2</v>
      </c>
      <c r="AA31" s="192">
        <f>IF(SUM(AD31:AV31)=COUNT(AD31:AV31),1,0)</f>
        <v>1</v>
      </c>
      <c r="AB31" s="192">
        <f>IF($F31="","",AB$30)</f>
        <v>0</v>
      </c>
      <c r="AC31" s="192">
        <f>IF($F31="","",AC$30)</f>
        <v>1</v>
      </c>
      <c r="AD31" s="192">
        <f>IF(G$30="",1,IF(G31="",0,IFERROR(CHOOSE(AD$28,IF(ISNA(MATCH(G31,$AB$30:$AC$30,0)),0,1),IF(ISNUMBER(G31),1,0),IF(G31=TRUNC(G31),1,0),IF(AND(G31*1=G31,G31&gt;=0),1,0),IF(AND(G31=TRUNC(G31),G31&gt;=0),1,0),IF(AND(G31*1=G31,G31&gt;0),1,0),IF(AND(G31=TRUNC(G31),G31&gt;0),1,0),1,IF(ISNA(HLOOKUP(G31,$AE$4:$AN$4,1,0)),0,1)),0)))</f>
        <v>1</v>
      </c>
      <c r="AE31" s="192">
        <f t="shared" ref="AE31:AE45" si="4">IF(H$30="",1,IF(H31="",0,IFERROR(CHOOSE(AE$28,IF(ISNA(MATCH(H31,$AB$30:$AC$30,0)),0,1),IF(ISNUMBER(H31),1,0),IF(H31=TRUNC(H31),1,0),IF(AND(H31*1=H31,H31&gt;=0),1,0),IF(AND(H31=TRUNC(H31),H31&gt;=0),1,0),IF(AND(H31*1=H31,H31&gt;0),1,0),IF(AND(H31=TRUNC(H31),H31&gt;0),1,0),1,IF(ISNA(HLOOKUP(H31,$AE$4:$AN$4,1,0)),0,1)),0)))</f>
        <v>1</v>
      </c>
      <c r="BA31" s="192">
        <f>IF($F31="","",BA$30)</f>
        <v>1</v>
      </c>
      <c r="BB31" s="192">
        <f t="shared" ref="BB31:BJ31" si="5">IF($F31="","",BB$30)</f>
        <v>2</v>
      </c>
      <c r="BC31" s="192">
        <f t="shared" si="5"/>
        <v>3</v>
      </c>
      <c r="BD31" s="192">
        <f t="shared" si="5"/>
        <v>4</v>
      </c>
      <c r="BE31" s="192">
        <f t="shared" si="5"/>
        <v>5</v>
      </c>
      <c r="BF31" s="192">
        <f t="shared" si="5"/>
        <v>6</v>
      </c>
      <c r="BG31" s="192">
        <f t="shared" si="5"/>
        <v>7</v>
      </c>
      <c r="BH31" s="192">
        <f t="shared" si="5"/>
        <v>8</v>
      </c>
      <c r="BI31" s="192">
        <f t="shared" si="5"/>
        <v>9</v>
      </c>
      <c r="BJ31" s="192">
        <f t="shared" si="5"/>
        <v>10</v>
      </c>
    </row>
    <row r="32" spans="1:62" ht="29.25" customHeight="1" x14ac:dyDescent="0.25">
      <c r="B32" s="242" t="str">
        <f t="shared" ref="B32:B95" si="6">IF(F32="","",ROW()-30)</f>
        <v/>
      </c>
      <c r="C32" s="4"/>
      <c r="D32" s="4"/>
      <c r="E32" s="4"/>
      <c r="F32" s="230" t="str">
        <f>IF('תנאי סף'!AO32&lt;&gt;1,"",'תנאי סף'!F32)</f>
        <v/>
      </c>
      <c r="G32" s="6"/>
      <c r="H32" s="6"/>
      <c r="I32" s="6"/>
      <c r="J32" s="5"/>
      <c r="K32" s="6"/>
      <c r="L32" s="5"/>
      <c r="M32" s="6"/>
      <c r="N32" s="6"/>
      <c r="O32" s="158"/>
      <c r="P32" s="177"/>
      <c r="Q32" s="8"/>
      <c r="R32" s="8"/>
      <c r="S32" s="8"/>
      <c r="T32" s="8"/>
      <c r="U32" s="159" t="str">
        <f t="shared" ref="U32:U95" si="7">IF($F32="","",IF($AA32&lt;&gt;1,$AB$1,G32*$G$5+H32*$G$6))</f>
        <v/>
      </c>
      <c r="V32" s="8">
        <v>1</v>
      </c>
      <c r="W32" s="8" t="str">
        <f t="shared" ref="W32:W95" si="8">IF($F32="","",IF($AA32&lt;&gt;1,$AB$1,IFERROR(U32*V32,$AB$1)))</f>
        <v/>
      </c>
      <c r="X32" s="8">
        <v>1</v>
      </c>
      <c r="Y32" s="8" t="str">
        <f t="shared" ref="Y32:Y95" si="9">IF($F32="","",IF($AA32&lt;&gt;1,$AB$1,IFERROR(W32*X32,$AB$1)))</f>
        <v/>
      </c>
      <c r="Z32" s="351" t="str">
        <f t="shared" ref="Z32:Z95" si="10">IF($F32="","",IF(OR($AA32&lt;&gt;1,Y32=$AB$1),$AB$1,IFERROR(Y32/SUM($Y$31:$Y$130),0)))</f>
        <v/>
      </c>
      <c r="AA32" s="192">
        <f t="shared" ref="AA32:AA95" si="11">IF(SUM(AD32:AV32)=COUNT(AD32:AV32),1,0)</f>
        <v>0</v>
      </c>
      <c r="AB32" s="192" t="str">
        <f t="shared" ref="AB32:AC63" si="12">IF($F32="","",AB$30)</f>
        <v/>
      </c>
      <c r="AC32" s="192" t="str">
        <f t="shared" si="12"/>
        <v/>
      </c>
      <c r="AD32" s="192">
        <f t="shared" ref="AD32:AD95" si="13">IF(G$30="",1,IF(G32="",0,IFERROR(CHOOSE(AD$28,IF(ISNA(MATCH(G32,$AB$30:$AC$30,0)),0,1),IF(ISNUMBER(G32),1,0),IF(G32=TRUNC(G32),1,0),IF(AND(G32*1=G32,G32&gt;=0),1,0),IF(AND(G32=TRUNC(G32),G32&gt;=0),1,0),IF(AND(G32*1=G32,G32&gt;0),1,0),IF(AND(G32=TRUNC(G32),G32&gt;0),1,0),1,IF(ISNA(HLOOKUP(G32,$AE$4:$AN$4,1,0)),0,1)),0)))</f>
        <v>0</v>
      </c>
      <c r="AE32" s="192">
        <f t="shared" si="4"/>
        <v>0</v>
      </c>
    </row>
    <row r="33" spans="2:31" ht="29.25" customHeight="1" x14ac:dyDescent="0.25">
      <c r="B33" s="242" t="str">
        <f t="shared" si="6"/>
        <v/>
      </c>
      <c r="C33" s="4"/>
      <c r="D33" s="4"/>
      <c r="E33" s="4"/>
      <c r="F33" s="230" t="str">
        <f>IF('תנאי סף'!AO33&lt;&gt;1,"",'תנאי סף'!F33)</f>
        <v/>
      </c>
      <c r="G33" s="6"/>
      <c r="H33" s="6"/>
      <c r="I33" s="6"/>
      <c r="J33" s="5"/>
      <c r="K33" s="6"/>
      <c r="L33" s="5"/>
      <c r="M33" s="6"/>
      <c r="N33" s="6"/>
      <c r="O33" s="158"/>
      <c r="P33" s="177"/>
      <c r="Q33" s="8"/>
      <c r="R33" s="8"/>
      <c r="S33" s="8"/>
      <c r="T33" s="8"/>
      <c r="U33" s="159" t="str">
        <f t="shared" si="7"/>
        <v/>
      </c>
      <c r="V33" s="8">
        <v>1</v>
      </c>
      <c r="W33" s="8" t="str">
        <f t="shared" si="8"/>
        <v/>
      </c>
      <c r="X33" s="8">
        <v>1</v>
      </c>
      <c r="Y33" s="8" t="str">
        <f t="shared" si="9"/>
        <v/>
      </c>
      <c r="Z33" s="351" t="str">
        <f t="shared" si="10"/>
        <v/>
      </c>
      <c r="AA33" s="192">
        <f t="shared" si="11"/>
        <v>0</v>
      </c>
      <c r="AB33" s="192" t="str">
        <f t="shared" si="12"/>
        <v/>
      </c>
      <c r="AC33" s="192" t="str">
        <f t="shared" si="12"/>
        <v/>
      </c>
      <c r="AD33" s="192">
        <f t="shared" si="13"/>
        <v>0</v>
      </c>
      <c r="AE33" s="192">
        <f t="shared" si="4"/>
        <v>0</v>
      </c>
    </row>
    <row r="34" spans="2:31" ht="29.25" customHeight="1" x14ac:dyDescent="0.25">
      <c r="B34" s="242">
        <f t="shared" si="6"/>
        <v>4</v>
      </c>
      <c r="C34" s="4"/>
      <c r="D34" s="4"/>
      <c r="E34" s="4"/>
      <c r="F34" s="230" t="str">
        <f>IF('תנאי סף'!AO34&lt;&gt;1,"",'תנאי סף'!F34)</f>
        <v>יניב ד'אור - אנסמבל נאיה</v>
      </c>
      <c r="G34" s="6">
        <v>0</v>
      </c>
      <c r="H34" s="6">
        <v>0</v>
      </c>
      <c r="I34" s="6"/>
      <c r="J34" s="5"/>
      <c r="K34" s="6"/>
      <c r="L34" s="5"/>
      <c r="M34" s="6"/>
      <c r="N34" s="6"/>
      <c r="O34" s="158"/>
      <c r="P34" s="177"/>
      <c r="Q34" s="8"/>
      <c r="R34" s="8"/>
      <c r="S34" s="8"/>
      <c r="T34" s="8"/>
      <c r="U34" s="159">
        <f t="shared" si="7"/>
        <v>0</v>
      </c>
      <c r="V34" s="8">
        <v>1</v>
      </c>
      <c r="W34" s="8">
        <f t="shared" si="8"/>
        <v>0</v>
      </c>
      <c r="X34" s="8">
        <v>1</v>
      </c>
      <c r="Y34" s="8">
        <f t="shared" si="9"/>
        <v>0</v>
      </c>
      <c r="Z34" s="351">
        <f t="shared" si="10"/>
        <v>0</v>
      </c>
      <c r="AA34" s="192">
        <f t="shared" si="11"/>
        <v>1</v>
      </c>
      <c r="AB34" s="192">
        <f t="shared" si="12"/>
        <v>0</v>
      </c>
      <c r="AC34" s="192">
        <f t="shared" si="12"/>
        <v>1</v>
      </c>
      <c r="AD34" s="192">
        <f t="shared" si="13"/>
        <v>1</v>
      </c>
      <c r="AE34" s="192">
        <f t="shared" si="4"/>
        <v>1</v>
      </c>
    </row>
    <row r="35" spans="2:31" ht="29.25" customHeight="1" x14ac:dyDescent="0.25">
      <c r="B35" s="242" t="str">
        <f t="shared" si="6"/>
        <v/>
      </c>
      <c r="C35" s="4"/>
      <c r="D35" s="4"/>
      <c r="E35" s="4"/>
      <c r="F35" s="230" t="str">
        <f>IF('תנאי סף'!AO35&lt;&gt;1,"",'תנאי סף'!F35)</f>
        <v/>
      </c>
      <c r="G35" s="6"/>
      <c r="H35" s="6"/>
      <c r="I35" s="6"/>
      <c r="J35" s="5"/>
      <c r="K35" s="6"/>
      <c r="L35" s="5"/>
      <c r="M35" s="6"/>
      <c r="N35" s="6"/>
      <c r="O35" s="158"/>
      <c r="P35" s="177"/>
      <c r="Q35" s="8"/>
      <c r="R35" s="8"/>
      <c r="S35" s="8"/>
      <c r="T35" s="8"/>
      <c r="U35" s="159" t="str">
        <f t="shared" si="7"/>
        <v/>
      </c>
      <c r="V35" s="8">
        <v>1</v>
      </c>
      <c r="W35" s="8" t="str">
        <f t="shared" si="8"/>
        <v/>
      </c>
      <c r="X35" s="8">
        <v>1</v>
      </c>
      <c r="Y35" s="8" t="str">
        <f t="shared" si="9"/>
        <v/>
      </c>
      <c r="Z35" s="351" t="str">
        <f t="shared" si="10"/>
        <v/>
      </c>
      <c r="AA35" s="192">
        <f t="shared" si="11"/>
        <v>0</v>
      </c>
      <c r="AB35" s="192" t="str">
        <f t="shared" si="12"/>
        <v/>
      </c>
      <c r="AC35" s="192" t="str">
        <f t="shared" si="12"/>
        <v/>
      </c>
      <c r="AD35" s="192">
        <f t="shared" si="13"/>
        <v>0</v>
      </c>
      <c r="AE35" s="192">
        <f t="shared" si="4"/>
        <v>0</v>
      </c>
    </row>
    <row r="36" spans="2:31" ht="29.25" customHeight="1" x14ac:dyDescent="0.25">
      <c r="B36" s="242">
        <f t="shared" si="6"/>
        <v>6</v>
      </c>
      <c r="C36" s="4"/>
      <c r="D36" s="4"/>
      <c r="E36" s="4"/>
      <c r="F36" s="230" t="str">
        <f>IF('תנאי סף'!AO36&lt;&gt;1,"",'תנאי סף'!F36)</f>
        <v>הפרויקט הקאמרי הישראלי</v>
      </c>
      <c r="G36" s="6">
        <v>0</v>
      </c>
      <c r="H36" s="6">
        <v>0</v>
      </c>
      <c r="I36" s="6"/>
      <c r="J36" s="5"/>
      <c r="K36" s="6"/>
      <c r="L36" s="5"/>
      <c r="M36" s="6"/>
      <c r="N36" s="6"/>
      <c r="O36" s="158"/>
      <c r="P36" s="177"/>
      <c r="Q36" s="8"/>
      <c r="R36" s="8"/>
      <c r="S36" s="8"/>
      <c r="T36" s="8"/>
      <c r="U36" s="159">
        <f t="shared" si="7"/>
        <v>0</v>
      </c>
      <c r="V36" s="8">
        <v>1</v>
      </c>
      <c r="W36" s="8">
        <f t="shared" si="8"/>
        <v>0</v>
      </c>
      <c r="X36" s="8">
        <v>1</v>
      </c>
      <c r="Y36" s="8">
        <f t="shared" si="9"/>
        <v>0</v>
      </c>
      <c r="Z36" s="351">
        <f t="shared" si="10"/>
        <v>0</v>
      </c>
      <c r="AA36" s="192">
        <f t="shared" si="11"/>
        <v>1</v>
      </c>
      <c r="AB36" s="192">
        <f t="shared" si="12"/>
        <v>0</v>
      </c>
      <c r="AC36" s="192">
        <f t="shared" si="12"/>
        <v>1</v>
      </c>
      <c r="AD36" s="192">
        <f t="shared" si="13"/>
        <v>1</v>
      </c>
      <c r="AE36" s="192">
        <f t="shared" si="4"/>
        <v>1</v>
      </c>
    </row>
    <row r="37" spans="2:31" ht="29.25" customHeight="1" x14ac:dyDescent="0.25">
      <c r="B37" s="242">
        <f t="shared" si="6"/>
        <v>7</v>
      </c>
      <c r="C37" s="4"/>
      <c r="D37" s="4"/>
      <c r="E37" s="4"/>
      <c r="F37" s="230" t="str">
        <f>IF('תנאי סף'!AO37&lt;&gt;1,"",'תנאי סף'!F37)</f>
        <v>מארש דונדורמה</v>
      </c>
      <c r="G37" s="6">
        <v>0</v>
      </c>
      <c r="H37" s="6">
        <v>0</v>
      </c>
      <c r="I37" s="6"/>
      <c r="J37" s="5"/>
      <c r="K37" s="6"/>
      <c r="L37" s="5"/>
      <c r="M37" s="6"/>
      <c r="N37" s="6"/>
      <c r="O37" s="158"/>
      <c r="P37" s="177"/>
      <c r="Q37" s="8"/>
      <c r="R37" s="8"/>
      <c r="S37" s="8"/>
      <c r="T37" s="8"/>
      <c r="U37" s="159">
        <f t="shared" si="7"/>
        <v>0</v>
      </c>
      <c r="V37" s="8">
        <v>1</v>
      </c>
      <c r="W37" s="8">
        <f t="shared" si="8"/>
        <v>0</v>
      </c>
      <c r="X37" s="8">
        <v>1</v>
      </c>
      <c r="Y37" s="8">
        <f t="shared" si="9"/>
        <v>0</v>
      </c>
      <c r="Z37" s="351">
        <f t="shared" si="10"/>
        <v>0</v>
      </c>
      <c r="AA37" s="192">
        <f t="shared" si="11"/>
        <v>1</v>
      </c>
      <c r="AB37" s="192">
        <f t="shared" si="12"/>
        <v>0</v>
      </c>
      <c r="AC37" s="192">
        <f t="shared" si="12"/>
        <v>1</v>
      </c>
      <c r="AD37" s="192">
        <f t="shared" si="13"/>
        <v>1</v>
      </c>
      <c r="AE37" s="192">
        <f t="shared" si="4"/>
        <v>1</v>
      </c>
    </row>
    <row r="38" spans="2:31" ht="29.25" customHeight="1" x14ac:dyDescent="0.25">
      <c r="B38" s="242">
        <f t="shared" si="6"/>
        <v>8</v>
      </c>
      <c r="C38" s="4"/>
      <c r="D38" s="4"/>
      <c r="E38" s="4"/>
      <c r="F38" s="230" t="str">
        <f>IF('תנאי סף'!AO38&lt;&gt;1,"",'תנאי סף'!F38)</f>
        <v>להקת מורין נהדר</v>
      </c>
      <c r="G38" s="6">
        <v>0</v>
      </c>
      <c r="H38" s="6">
        <v>1</v>
      </c>
      <c r="I38" s="6"/>
      <c r="J38" s="5"/>
      <c r="K38" s="6"/>
      <c r="L38" s="5"/>
      <c r="M38" s="6"/>
      <c r="N38" s="6"/>
      <c r="O38" s="158"/>
      <c r="P38" s="177"/>
      <c r="Q38" s="8"/>
      <c r="R38" s="8"/>
      <c r="S38" s="8"/>
      <c r="T38" s="8"/>
      <c r="U38" s="159">
        <f t="shared" si="7"/>
        <v>2</v>
      </c>
      <c r="V38" s="8">
        <v>1</v>
      </c>
      <c r="W38" s="8">
        <f t="shared" si="8"/>
        <v>2</v>
      </c>
      <c r="X38" s="8">
        <v>1</v>
      </c>
      <c r="Y38" s="8">
        <f t="shared" si="9"/>
        <v>2</v>
      </c>
      <c r="Z38" s="351">
        <f t="shared" si="10"/>
        <v>1.4705882352941176E-2</v>
      </c>
      <c r="AA38" s="192">
        <f t="shared" si="11"/>
        <v>1</v>
      </c>
      <c r="AB38" s="192">
        <f t="shared" si="12"/>
        <v>0</v>
      </c>
      <c r="AC38" s="192">
        <f t="shared" si="12"/>
        <v>1</v>
      </c>
      <c r="AD38" s="192">
        <f t="shared" si="13"/>
        <v>1</v>
      </c>
      <c r="AE38" s="192">
        <f t="shared" si="4"/>
        <v>1</v>
      </c>
    </row>
    <row r="39" spans="2:31" ht="29.25" customHeight="1" x14ac:dyDescent="0.25">
      <c r="B39" s="242" t="str">
        <f t="shared" si="6"/>
        <v/>
      </c>
      <c r="C39" s="4"/>
      <c r="D39" s="4"/>
      <c r="E39" s="4"/>
      <c r="F39" s="230" t="str">
        <f>IF('תנאי סף'!AO39&lt;&gt;1,"",'תנאי סף'!F39)</f>
        <v/>
      </c>
      <c r="G39" s="6"/>
      <c r="H39" s="6"/>
      <c r="I39" s="6"/>
      <c r="J39" s="5"/>
      <c r="K39" s="6"/>
      <c r="L39" s="5"/>
      <c r="M39" s="6"/>
      <c r="N39" s="6"/>
      <c r="O39" s="158"/>
      <c r="P39" s="177"/>
      <c r="Q39" s="8"/>
      <c r="R39" s="8"/>
      <c r="S39" s="8"/>
      <c r="T39" s="8"/>
      <c r="U39" s="159" t="str">
        <f t="shared" si="7"/>
        <v/>
      </c>
      <c r="V39" s="8">
        <v>1</v>
      </c>
      <c r="W39" s="8" t="str">
        <f t="shared" si="8"/>
        <v/>
      </c>
      <c r="X39" s="8">
        <v>1</v>
      </c>
      <c r="Y39" s="8" t="str">
        <f t="shared" si="9"/>
        <v/>
      </c>
      <c r="Z39" s="351" t="str">
        <f t="shared" si="10"/>
        <v/>
      </c>
      <c r="AA39" s="192">
        <f t="shared" si="11"/>
        <v>0</v>
      </c>
      <c r="AB39" s="192" t="str">
        <f t="shared" si="12"/>
        <v/>
      </c>
      <c r="AC39" s="192" t="str">
        <f t="shared" si="12"/>
        <v/>
      </c>
      <c r="AD39" s="192">
        <f t="shared" si="13"/>
        <v>0</v>
      </c>
      <c r="AE39" s="192">
        <f t="shared" si="4"/>
        <v>0</v>
      </c>
    </row>
    <row r="40" spans="2:31" ht="29.25" customHeight="1" x14ac:dyDescent="0.25">
      <c r="B40" s="243">
        <f t="shared" si="6"/>
        <v>10</v>
      </c>
      <c r="C40" s="365"/>
      <c r="D40" s="365"/>
      <c r="E40" s="365"/>
      <c r="F40" s="371" t="str">
        <f>IF('תנאי סף'!AO40&lt;&gt;1,"",'תנאי סף'!F40)</f>
        <v>אנסמבל גלעד אפרת</v>
      </c>
      <c r="G40" s="367">
        <v>0</v>
      </c>
      <c r="H40" s="367">
        <v>0</v>
      </c>
      <c r="I40" s="367"/>
      <c r="J40" s="368"/>
      <c r="K40" s="367"/>
      <c r="L40" s="368"/>
      <c r="M40" s="367"/>
      <c r="N40" s="367"/>
      <c r="O40" s="412"/>
      <c r="P40" s="413"/>
      <c r="Q40" s="369"/>
      <c r="R40" s="369"/>
      <c r="S40" s="369"/>
      <c r="T40" s="369"/>
      <c r="U40" s="159">
        <f t="shared" si="7"/>
        <v>0</v>
      </c>
      <c r="V40" s="369">
        <v>1</v>
      </c>
      <c r="W40" s="369">
        <f t="shared" si="8"/>
        <v>0</v>
      </c>
      <c r="X40" s="369">
        <v>1</v>
      </c>
      <c r="Y40" s="369">
        <f t="shared" si="9"/>
        <v>0</v>
      </c>
      <c r="Z40" s="370">
        <f t="shared" si="10"/>
        <v>0</v>
      </c>
      <c r="AA40" s="192">
        <f t="shared" si="11"/>
        <v>1</v>
      </c>
      <c r="AB40" s="192">
        <f t="shared" si="12"/>
        <v>0</v>
      </c>
      <c r="AC40" s="192">
        <f t="shared" si="12"/>
        <v>1</v>
      </c>
      <c r="AD40" s="192">
        <f t="shared" si="13"/>
        <v>1</v>
      </c>
      <c r="AE40" s="192">
        <f t="shared" si="4"/>
        <v>1</v>
      </c>
    </row>
    <row r="41" spans="2:31" ht="29.25" customHeight="1" x14ac:dyDescent="0.25">
      <c r="B41" s="7">
        <f t="shared" si="6"/>
        <v>11</v>
      </c>
      <c r="C41" s="4"/>
      <c r="D41" s="4"/>
      <c r="E41" s="4"/>
      <c r="F41" s="230" t="str">
        <f>IF('תנאי סף'!AO41&lt;&gt;1,"",'תנאי סף'!F41)</f>
        <v>רביעיית כרמל</v>
      </c>
      <c r="G41" s="6">
        <v>0</v>
      </c>
      <c r="H41" s="6">
        <v>6</v>
      </c>
      <c r="I41" s="6"/>
      <c r="J41" s="5"/>
      <c r="K41" s="6"/>
      <c r="L41" s="5"/>
      <c r="M41" s="6"/>
      <c r="N41" s="6"/>
      <c r="O41" s="158"/>
      <c r="P41" s="177"/>
      <c r="Q41" s="8"/>
      <c r="R41" s="8"/>
      <c r="S41" s="8"/>
      <c r="T41" s="8"/>
      <c r="U41" s="159">
        <f t="shared" si="7"/>
        <v>12</v>
      </c>
      <c r="V41" s="8">
        <v>1</v>
      </c>
      <c r="W41" s="8">
        <f t="shared" si="8"/>
        <v>12</v>
      </c>
      <c r="X41" s="8">
        <v>1</v>
      </c>
      <c r="Y41" s="8">
        <f t="shared" si="9"/>
        <v>12</v>
      </c>
      <c r="Z41" s="352">
        <f t="shared" si="10"/>
        <v>8.8235294117647065E-2</v>
      </c>
      <c r="AA41" s="192">
        <f t="shared" si="11"/>
        <v>1</v>
      </c>
      <c r="AB41" s="192">
        <f t="shared" si="12"/>
        <v>0</v>
      </c>
      <c r="AC41" s="192">
        <f t="shared" si="12"/>
        <v>1</v>
      </c>
      <c r="AD41" s="192">
        <f t="shared" si="13"/>
        <v>1</v>
      </c>
      <c r="AE41" s="192">
        <f t="shared" si="4"/>
        <v>1</v>
      </c>
    </row>
    <row r="42" spans="2:31" ht="29.25" customHeight="1" x14ac:dyDescent="0.25">
      <c r="B42" s="7">
        <f t="shared" si="6"/>
        <v>12</v>
      </c>
      <c r="C42" s="4"/>
      <c r="D42" s="4"/>
      <c r="E42" s="4"/>
      <c r="F42" s="230" t="str">
        <f>IF('תנאי סף'!AO42&lt;&gt;1,"",'תנאי סף'!F42)</f>
        <v>שורולה</v>
      </c>
      <c r="G42" s="6">
        <v>0</v>
      </c>
      <c r="H42" s="6">
        <v>1</v>
      </c>
      <c r="I42" s="6"/>
      <c r="J42" s="5"/>
      <c r="K42" s="6"/>
      <c r="L42" s="5"/>
      <c r="M42" s="6"/>
      <c r="N42" s="6"/>
      <c r="O42" s="158"/>
      <c r="P42" s="177"/>
      <c r="Q42" s="8"/>
      <c r="R42" s="8"/>
      <c r="S42" s="8"/>
      <c r="T42" s="8"/>
      <c r="U42" s="159">
        <f t="shared" si="7"/>
        <v>2</v>
      </c>
      <c r="V42" s="8">
        <v>1</v>
      </c>
      <c r="W42" s="8">
        <f t="shared" si="8"/>
        <v>2</v>
      </c>
      <c r="X42" s="8">
        <v>1</v>
      </c>
      <c r="Y42" s="8">
        <f t="shared" si="9"/>
        <v>2</v>
      </c>
      <c r="Z42" s="352">
        <f t="shared" si="10"/>
        <v>1.4705882352941176E-2</v>
      </c>
      <c r="AA42" s="192">
        <f t="shared" si="11"/>
        <v>1</v>
      </c>
      <c r="AB42" s="192">
        <f t="shared" si="12"/>
        <v>0</v>
      </c>
      <c r="AC42" s="192">
        <f t="shared" si="12"/>
        <v>1</v>
      </c>
      <c r="AD42" s="192">
        <f t="shared" si="13"/>
        <v>1</v>
      </c>
      <c r="AE42" s="192">
        <f t="shared" si="4"/>
        <v>1</v>
      </c>
    </row>
    <row r="43" spans="2:31" ht="29.25" customHeight="1" x14ac:dyDescent="0.25">
      <c r="B43" s="7" t="str">
        <f t="shared" si="6"/>
        <v/>
      </c>
      <c r="C43" s="4"/>
      <c r="D43" s="4"/>
      <c r="E43" s="4"/>
      <c r="F43" s="230" t="str">
        <f>IF('תנאי סף'!AO43&lt;&gt;1,"",'תנאי סף'!F43)</f>
        <v/>
      </c>
      <c r="G43" s="6"/>
      <c r="H43" s="6"/>
      <c r="I43" s="6"/>
      <c r="J43" s="5"/>
      <c r="K43" s="6"/>
      <c r="L43" s="5"/>
      <c r="M43" s="6"/>
      <c r="N43" s="6"/>
      <c r="O43" s="158"/>
      <c r="P43" s="177"/>
      <c r="Q43" s="8"/>
      <c r="R43" s="8"/>
      <c r="S43" s="8"/>
      <c r="T43" s="8"/>
      <c r="U43" s="159" t="str">
        <f t="shared" si="7"/>
        <v/>
      </c>
      <c r="V43" s="8">
        <v>1</v>
      </c>
      <c r="W43" s="8" t="str">
        <f t="shared" si="8"/>
        <v/>
      </c>
      <c r="X43" s="8">
        <v>1</v>
      </c>
      <c r="Y43" s="8" t="str">
        <f t="shared" si="9"/>
        <v/>
      </c>
      <c r="Z43" s="352" t="str">
        <f t="shared" si="10"/>
        <v/>
      </c>
      <c r="AA43" s="192">
        <f t="shared" si="11"/>
        <v>0</v>
      </c>
      <c r="AB43" s="192" t="str">
        <f t="shared" si="12"/>
        <v/>
      </c>
      <c r="AC43" s="192" t="str">
        <f t="shared" si="12"/>
        <v/>
      </c>
      <c r="AD43" s="192">
        <f t="shared" si="13"/>
        <v>0</v>
      </c>
      <c r="AE43" s="192">
        <f t="shared" si="4"/>
        <v>0</v>
      </c>
    </row>
    <row r="44" spans="2:31" ht="29.25" customHeight="1" x14ac:dyDescent="0.25">
      <c r="B44" s="7" t="str">
        <f t="shared" si="6"/>
        <v/>
      </c>
      <c r="C44" s="4"/>
      <c r="D44" s="4"/>
      <c r="E44" s="4"/>
      <c r="F44" s="230" t="str">
        <f>IF('תנאי סף'!AO44&lt;&gt;1,"",'תנאי סף'!F44)</f>
        <v/>
      </c>
      <c r="G44" s="6"/>
      <c r="H44" s="6"/>
      <c r="I44" s="6"/>
      <c r="J44" s="5"/>
      <c r="K44" s="6"/>
      <c r="L44" s="5"/>
      <c r="M44" s="6"/>
      <c r="N44" s="6"/>
      <c r="O44" s="158"/>
      <c r="P44" s="177"/>
      <c r="Q44" s="8"/>
      <c r="R44" s="8"/>
      <c r="S44" s="8"/>
      <c r="T44" s="8"/>
      <c r="U44" s="159" t="str">
        <f t="shared" si="7"/>
        <v/>
      </c>
      <c r="V44" s="8">
        <v>1</v>
      </c>
      <c r="W44" s="8" t="str">
        <f t="shared" si="8"/>
        <v/>
      </c>
      <c r="X44" s="8">
        <v>1</v>
      </c>
      <c r="Y44" s="8" t="str">
        <f t="shared" si="9"/>
        <v/>
      </c>
      <c r="Z44" s="352" t="str">
        <f t="shared" si="10"/>
        <v/>
      </c>
      <c r="AA44" s="192">
        <f t="shared" si="11"/>
        <v>0</v>
      </c>
      <c r="AB44" s="192" t="str">
        <f t="shared" si="12"/>
        <v/>
      </c>
      <c r="AC44" s="192" t="str">
        <f t="shared" si="12"/>
        <v/>
      </c>
      <c r="AD44" s="192">
        <f t="shared" si="13"/>
        <v>0</v>
      </c>
      <c r="AE44" s="192">
        <f t="shared" si="4"/>
        <v>0</v>
      </c>
    </row>
    <row r="45" spans="2:31" ht="29.25" customHeight="1" x14ac:dyDescent="0.25">
      <c r="B45" s="7" t="str">
        <f t="shared" si="6"/>
        <v/>
      </c>
      <c r="C45" s="4"/>
      <c r="D45" s="4"/>
      <c r="E45" s="4"/>
      <c r="F45" s="230" t="str">
        <f>IF('תנאי סף'!AO45&lt;&gt;1,"",'תנאי סף'!F45)</f>
        <v/>
      </c>
      <c r="G45" s="6"/>
      <c r="H45" s="6"/>
      <c r="I45" s="6"/>
      <c r="J45" s="5"/>
      <c r="K45" s="6"/>
      <c r="L45" s="5"/>
      <c r="M45" s="6"/>
      <c r="N45" s="6"/>
      <c r="O45" s="158"/>
      <c r="P45" s="177"/>
      <c r="Q45" s="8"/>
      <c r="R45" s="8"/>
      <c r="S45" s="8"/>
      <c r="T45" s="8"/>
      <c r="U45" s="159" t="str">
        <f t="shared" si="7"/>
        <v/>
      </c>
      <c r="V45" s="8">
        <v>1</v>
      </c>
      <c r="W45" s="8" t="str">
        <f t="shared" si="8"/>
        <v/>
      </c>
      <c r="X45" s="8">
        <v>1</v>
      </c>
      <c r="Y45" s="8" t="str">
        <f t="shared" si="9"/>
        <v/>
      </c>
      <c r="Z45" s="352" t="str">
        <f t="shared" si="10"/>
        <v/>
      </c>
      <c r="AA45" s="192">
        <f t="shared" si="11"/>
        <v>0</v>
      </c>
      <c r="AB45" s="192" t="str">
        <f t="shared" si="12"/>
        <v/>
      </c>
      <c r="AC45" s="192" t="str">
        <f t="shared" si="12"/>
        <v/>
      </c>
      <c r="AD45" s="192">
        <f t="shared" si="13"/>
        <v>0</v>
      </c>
      <c r="AE45" s="192">
        <f t="shared" si="4"/>
        <v>0</v>
      </c>
    </row>
    <row r="46" spans="2:31" ht="29.25" customHeight="1" x14ac:dyDescent="0.25">
      <c r="B46" s="7" t="str">
        <f t="shared" si="6"/>
        <v/>
      </c>
      <c r="C46" s="4"/>
      <c r="D46" s="4"/>
      <c r="E46" s="4"/>
      <c r="F46" s="230" t="str">
        <f>IF('תנאי סף'!AO46&lt;&gt;1,"",'תנאי סף'!F46)</f>
        <v/>
      </c>
      <c r="G46" s="6"/>
      <c r="H46" s="6"/>
      <c r="I46" s="6"/>
      <c r="J46" s="5"/>
      <c r="K46" s="6"/>
      <c r="L46" s="5"/>
      <c r="M46" s="6"/>
      <c r="N46" s="6"/>
      <c r="O46" s="158"/>
      <c r="P46" s="177"/>
      <c r="Q46" s="8"/>
      <c r="R46" s="8"/>
      <c r="S46" s="8"/>
      <c r="T46" s="8"/>
      <c r="U46" s="159" t="str">
        <f t="shared" si="7"/>
        <v/>
      </c>
      <c r="V46" s="8">
        <v>1</v>
      </c>
      <c r="W46" s="8" t="str">
        <f t="shared" si="8"/>
        <v/>
      </c>
      <c r="X46" s="8">
        <v>1</v>
      </c>
      <c r="Y46" s="8" t="str">
        <f t="shared" si="9"/>
        <v/>
      </c>
      <c r="Z46" s="352" t="str">
        <f t="shared" si="10"/>
        <v/>
      </c>
      <c r="AA46" s="192">
        <f t="shared" si="11"/>
        <v>0</v>
      </c>
      <c r="AB46" s="192" t="str">
        <f t="shared" si="12"/>
        <v/>
      </c>
      <c r="AC46" s="192" t="str">
        <f t="shared" si="12"/>
        <v/>
      </c>
      <c r="AD46" s="192">
        <f t="shared" si="13"/>
        <v>0</v>
      </c>
      <c r="AE46" s="192">
        <f t="shared" ref="AE46:AE109" si="14">IF(H$30="",1,IF(H46="",0,IFERROR(CHOOSE(AE$28,IF(ISNA(MATCH(H46,$AB$30:$AC$30,0)),0,1),IF(ISNUMBER(H46),1,0),IF(H46=TRUNC(H46),1,0),IF(AND(H46*1=H46,H46&gt;=0),1,0),IF(AND(H46=TRUNC(H46),H46&gt;=0),1,0),IF(AND(H46*1=H46,H46&gt;0),1,0),IF(AND(H46=TRUNC(H46),H46&gt;0),1,0),1,IF(ISNA(HLOOKUP(H46,$AE$4:$AN$4,1,0)),0,1)),0)))</f>
        <v>0</v>
      </c>
    </row>
    <row r="47" spans="2:31" ht="29.25" customHeight="1" x14ac:dyDescent="0.25">
      <c r="B47" s="7">
        <f t="shared" si="6"/>
        <v>17</v>
      </c>
      <c r="C47" s="4"/>
      <c r="D47" s="4"/>
      <c r="E47" s="4"/>
      <c r="F47" s="230" t="str">
        <f>IF('תנאי סף'!AO47&lt;&gt;1,"",'תנאי סף'!F47)</f>
        <v>הרכב עמית פרידמן</v>
      </c>
      <c r="G47" s="6">
        <v>0</v>
      </c>
      <c r="H47" s="6">
        <v>1</v>
      </c>
      <c r="I47" s="6"/>
      <c r="J47" s="5"/>
      <c r="K47" s="6"/>
      <c r="L47" s="5"/>
      <c r="M47" s="6"/>
      <c r="N47" s="6"/>
      <c r="O47" s="158"/>
      <c r="P47" s="177"/>
      <c r="Q47" s="8"/>
      <c r="R47" s="8"/>
      <c r="S47" s="8"/>
      <c r="T47" s="8"/>
      <c r="U47" s="159">
        <f t="shared" si="7"/>
        <v>2</v>
      </c>
      <c r="V47" s="8">
        <v>1</v>
      </c>
      <c r="W47" s="8">
        <f t="shared" si="8"/>
        <v>2</v>
      </c>
      <c r="X47" s="8">
        <v>1</v>
      </c>
      <c r="Y47" s="8">
        <f t="shared" si="9"/>
        <v>2</v>
      </c>
      <c r="Z47" s="352">
        <f t="shared" si="10"/>
        <v>1.4705882352941176E-2</v>
      </c>
      <c r="AA47" s="192">
        <f t="shared" si="11"/>
        <v>1</v>
      </c>
      <c r="AB47" s="192">
        <f t="shared" si="12"/>
        <v>0</v>
      </c>
      <c r="AC47" s="192">
        <f t="shared" si="12"/>
        <v>1</v>
      </c>
      <c r="AD47" s="192">
        <f t="shared" si="13"/>
        <v>1</v>
      </c>
      <c r="AE47" s="192">
        <f t="shared" si="14"/>
        <v>1</v>
      </c>
    </row>
    <row r="48" spans="2:31" ht="29.25" customHeight="1" x14ac:dyDescent="0.25">
      <c r="B48" s="7" t="str">
        <f t="shared" si="6"/>
        <v/>
      </c>
      <c r="C48" s="4"/>
      <c r="D48" s="4"/>
      <c r="E48" s="4"/>
      <c r="F48" s="230" t="str">
        <f>IF('תנאי סף'!AO48&lt;&gt;1,"",'תנאי סף'!F48)</f>
        <v/>
      </c>
      <c r="G48" s="6"/>
      <c r="H48" s="6"/>
      <c r="I48" s="6"/>
      <c r="J48" s="5"/>
      <c r="K48" s="6"/>
      <c r="L48" s="5"/>
      <c r="M48" s="6"/>
      <c r="N48" s="6"/>
      <c r="O48" s="158"/>
      <c r="P48" s="177"/>
      <c r="Q48" s="8"/>
      <c r="R48" s="8"/>
      <c r="S48" s="8"/>
      <c r="T48" s="8"/>
      <c r="U48" s="159" t="str">
        <f t="shared" si="7"/>
        <v/>
      </c>
      <c r="V48" s="8">
        <v>1</v>
      </c>
      <c r="W48" s="8" t="str">
        <f t="shared" si="8"/>
        <v/>
      </c>
      <c r="X48" s="8">
        <v>1</v>
      </c>
      <c r="Y48" s="8" t="str">
        <f t="shared" si="9"/>
        <v/>
      </c>
      <c r="Z48" s="352" t="str">
        <f t="shared" si="10"/>
        <v/>
      </c>
      <c r="AA48" s="192">
        <f t="shared" si="11"/>
        <v>0</v>
      </c>
      <c r="AB48" s="192" t="str">
        <f t="shared" si="12"/>
        <v/>
      </c>
      <c r="AC48" s="192" t="str">
        <f t="shared" si="12"/>
        <v/>
      </c>
      <c r="AD48" s="192">
        <f t="shared" si="13"/>
        <v>0</v>
      </c>
      <c r="AE48" s="192">
        <f t="shared" si="14"/>
        <v>0</v>
      </c>
    </row>
    <row r="49" spans="2:130" ht="29.25" customHeight="1" x14ac:dyDescent="0.25">
      <c r="B49" s="7" t="str">
        <f t="shared" si="6"/>
        <v/>
      </c>
      <c r="C49" s="4"/>
      <c r="D49" s="4"/>
      <c r="E49" s="4"/>
      <c r="F49" s="230" t="str">
        <f>IF('תנאי סף'!AO49&lt;&gt;1,"",'תנאי סף'!F49)</f>
        <v/>
      </c>
      <c r="G49" s="6"/>
      <c r="H49" s="6"/>
      <c r="I49" s="6"/>
      <c r="J49" s="5"/>
      <c r="K49" s="6"/>
      <c r="L49" s="5"/>
      <c r="M49" s="6"/>
      <c r="N49" s="6"/>
      <c r="O49" s="158"/>
      <c r="P49" s="177"/>
      <c r="Q49" s="8"/>
      <c r="R49" s="8"/>
      <c r="S49" s="8"/>
      <c r="T49" s="8"/>
      <c r="U49" s="159" t="str">
        <f t="shared" si="7"/>
        <v/>
      </c>
      <c r="V49" s="8">
        <v>1</v>
      </c>
      <c r="W49" s="8" t="str">
        <f t="shared" si="8"/>
        <v/>
      </c>
      <c r="X49" s="8">
        <v>1</v>
      </c>
      <c r="Y49" s="8" t="str">
        <f t="shared" si="9"/>
        <v/>
      </c>
      <c r="Z49" s="352" t="str">
        <f t="shared" si="10"/>
        <v/>
      </c>
      <c r="AA49" s="192">
        <f t="shared" si="11"/>
        <v>0</v>
      </c>
      <c r="AB49" s="192" t="str">
        <f t="shared" si="12"/>
        <v/>
      </c>
      <c r="AC49" s="192" t="str">
        <f t="shared" si="12"/>
        <v/>
      </c>
      <c r="AD49" s="192">
        <f t="shared" si="13"/>
        <v>0</v>
      </c>
      <c r="AE49" s="192">
        <f t="shared" si="14"/>
        <v>0</v>
      </c>
    </row>
    <row r="50" spans="2:130" ht="29.25" customHeight="1" x14ac:dyDescent="0.25">
      <c r="B50" s="7" t="str">
        <f t="shared" si="6"/>
        <v/>
      </c>
      <c r="C50" s="4"/>
      <c r="D50" s="4"/>
      <c r="E50" s="4"/>
      <c r="F50" s="230" t="str">
        <f>IF('תנאי סף'!AO50&lt;&gt;1,"",'תנאי סף'!F50)</f>
        <v/>
      </c>
      <c r="G50" s="6"/>
      <c r="H50" s="6"/>
      <c r="I50" s="6"/>
      <c r="J50" s="5"/>
      <c r="K50" s="6"/>
      <c r="L50" s="5"/>
      <c r="M50" s="6"/>
      <c r="N50" s="6"/>
      <c r="O50" s="158"/>
      <c r="P50" s="177"/>
      <c r="Q50" s="8"/>
      <c r="R50" s="8"/>
      <c r="S50" s="8"/>
      <c r="T50" s="8"/>
      <c r="U50" s="159" t="str">
        <f t="shared" si="7"/>
        <v/>
      </c>
      <c r="V50" s="8">
        <v>1</v>
      </c>
      <c r="W50" s="8" t="str">
        <f t="shared" si="8"/>
        <v/>
      </c>
      <c r="X50" s="8">
        <v>1</v>
      </c>
      <c r="Y50" s="8" t="str">
        <f t="shared" si="9"/>
        <v/>
      </c>
      <c r="Z50" s="352" t="str">
        <f t="shared" si="10"/>
        <v/>
      </c>
      <c r="AA50" s="192">
        <f t="shared" si="11"/>
        <v>0</v>
      </c>
      <c r="AB50" s="192" t="str">
        <f t="shared" si="12"/>
        <v/>
      </c>
      <c r="AC50" s="192" t="str">
        <f t="shared" si="12"/>
        <v/>
      </c>
      <c r="AD50" s="192">
        <f t="shared" si="13"/>
        <v>0</v>
      </c>
      <c r="AE50" s="192">
        <f t="shared" si="14"/>
        <v>0</v>
      </c>
    </row>
    <row r="51" spans="2:130" ht="29.25" customHeight="1" x14ac:dyDescent="0.25">
      <c r="B51" s="7">
        <f t="shared" si="6"/>
        <v>21</v>
      </c>
      <c r="C51" s="4"/>
      <c r="D51" s="4"/>
      <c r="E51" s="4"/>
      <c r="F51" s="230" t="str">
        <f>IF('תנאי סף'!AO51&lt;&gt;1,"",'תנאי סף'!F51)</f>
        <v>חמישיית תל אביב לכלי נשיפה</v>
      </c>
      <c r="G51" s="6">
        <v>0</v>
      </c>
      <c r="H51" s="6">
        <v>3</v>
      </c>
      <c r="I51" s="6"/>
      <c r="J51" s="5"/>
      <c r="K51" s="6"/>
      <c r="L51" s="5"/>
      <c r="M51" s="6"/>
      <c r="N51" s="6"/>
      <c r="O51" s="158"/>
      <c r="P51" s="177"/>
      <c r="Q51" s="8"/>
      <c r="R51" s="8"/>
      <c r="S51" s="8"/>
      <c r="T51" s="8"/>
      <c r="U51" s="159">
        <f t="shared" si="7"/>
        <v>6</v>
      </c>
      <c r="V51" s="8">
        <v>1</v>
      </c>
      <c r="W51" s="8">
        <f t="shared" si="8"/>
        <v>6</v>
      </c>
      <c r="X51" s="8">
        <v>1</v>
      </c>
      <c r="Y51" s="8">
        <f t="shared" si="9"/>
        <v>6</v>
      </c>
      <c r="Z51" s="352">
        <f t="shared" si="10"/>
        <v>4.4117647058823532E-2</v>
      </c>
      <c r="AA51" s="192">
        <f t="shared" si="11"/>
        <v>1</v>
      </c>
      <c r="AB51" s="192">
        <f t="shared" si="12"/>
        <v>0</v>
      </c>
      <c r="AC51" s="192">
        <f t="shared" si="12"/>
        <v>1</v>
      </c>
      <c r="AD51" s="192">
        <f t="shared" si="13"/>
        <v>1</v>
      </c>
      <c r="AE51" s="192">
        <f t="shared" si="14"/>
        <v>1</v>
      </c>
    </row>
    <row r="52" spans="2:130" ht="29.25" customHeight="1" x14ac:dyDescent="0.25">
      <c r="B52" s="7">
        <f t="shared" si="6"/>
        <v>22</v>
      </c>
      <c r="C52" s="4"/>
      <c r="D52" s="4"/>
      <c r="E52" s="4"/>
      <c r="F52" s="230" t="str">
        <f>IF('תנאי סף'!AO52&lt;&gt;1,"",'תנאי סף'!F52)</f>
        <v>הרכב אקוט</v>
      </c>
      <c r="G52" s="6">
        <v>0</v>
      </c>
      <c r="H52" s="6">
        <v>0</v>
      </c>
      <c r="I52" s="6"/>
      <c r="J52" s="5"/>
      <c r="K52" s="6"/>
      <c r="L52" s="5"/>
      <c r="M52" s="6"/>
      <c r="N52" s="6"/>
      <c r="O52" s="158"/>
      <c r="P52" s="177"/>
      <c r="Q52" s="8"/>
      <c r="R52" s="8"/>
      <c r="S52" s="8"/>
      <c r="T52" s="8"/>
      <c r="U52" s="159">
        <f t="shared" si="7"/>
        <v>0</v>
      </c>
      <c r="V52" s="8">
        <v>1</v>
      </c>
      <c r="W52" s="8">
        <f t="shared" si="8"/>
        <v>0</v>
      </c>
      <c r="X52" s="8">
        <v>1</v>
      </c>
      <c r="Y52" s="8">
        <f t="shared" si="9"/>
        <v>0</v>
      </c>
      <c r="Z52" s="352">
        <f t="shared" si="10"/>
        <v>0</v>
      </c>
      <c r="AA52" s="192">
        <f t="shared" si="11"/>
        <v>1</v>
      </c>
      <c r="AB52" s="192">
        <f t="shared" si="12"/>
        <v>0</v>
      </c>
      <c r="AC52" s="192">
        <f t="shared" si="12"/>
        <v>1</v>
      </c>
      <c r="AD52" s="192">
        <f t="shared" si="13"/>
        <v>1</v>
      </c>
      <c r="AE52" s="192">
        <f t="shared" si="14"/>
        <v>1</v>
      </c>
    </row>
    <row r="53" spans="2:130" ht="29.25" customHeight="1" x14ac:dyDescent="0.25">
      <c r="B53" s="7">
        <f t="shared" si="6"/>
        <v>23</v>
      </c>
      <c r="C53" s="4"/>
      <c r="D53" s="4"/>
      <c r="E53" s="4"/>
      <c r="F53" s="230" t="str">
        <f>IF('תנאי סף'!AO53&lt;&gt;1,"",'תנאי סף'!F53)</f>
        <v>שלישיית עתר</v>
      </c>
      <c r="G53" s="6">
        <v>1</v>
      </c>
      <c r="H53" s="6">
        <v>2</v>
      </c>
      <c r="I53" s="6"/>
      <c r="J53" s="5"/>
      <c r="K53" s="6"/>
      <c r="L53" s="5"/>
      <c r="M53" s="6"/>
      <c r="N53" s="6"/>
      <c r="O53" s="158"/>
      <c r="P53" s="177"/>
      <c r="Q53" s="8"/>
      <c r="R53" s="8"/>
      <c r="S53" s="8"/>
      <c r="T53" s="8"/>
      <c r="U53" s="159">
        <f t="shared" si="7"/>
        <v>5</v>
      </c>
      <c r="V53" s="8">
        <v>1</v>
      </c>
      <c r="W53" s="8">
        <f t="shared" si="8"/>
        <v>5</v>
      </c>
      <c r="X53" s="8">
        <v>1</v>
      </c>
      <c r="Y53" s="8">
        <f t="shared" si="9"/>
        <v>5</v>
      </c>
      <c r="Z53" s="352">
        <f t="shared" si="10"/>
        <v>3.6764705882352942E-2</v>
      </c>
      <c r="AA53" s="192">
        <f t="shared" si="11"/>
        <v>1</v>
      </c>
      <c r="AB53" s="192">
        <f t="shared" si="12"/>
        <v>0</v>
      </c>
      <c r="AC53" s="192">
        <f t="shared" si="12"/>
        <v>1</v>
      </c>
      <c r="AD53" s="192">
        <f t="shared" si="13"/>
        <v>1</v>
      </c>
      <c r="AE53" s="192">
        <f t="shared" si="14"/>
        <v>1</v>
      </c>
    </row>
    <row r="54" spans="2:130" ht="29.25" customHeight="1" x14ac:dyDescent="0.25">
      <c r="B54" s="7" t="str">
        <f t="shared" si="6"/>
        <v/>
      </c>
      <c r="C54" s="4"/>
      <c r="D54" s="4"/>
      <c r="E54" s="4"/>
      <c r="F54" s="230" t="str">
        <f>IF('תנאי סף'!AO54&lt;&gt;1,"",'תנאי סף'!F54)</f>
        <v/>
      </c>
      <c r="G54" s="6"/>
      <c r="H54" s="6"/>
      <c r="I54" s="6"/>
      <c r="J54" s="5"/>
      <c r="K54" s="6"/>
      <c r="L54" s="5"/>
      <c r="M54" s="6"/>
      <c r="N54" s="6"/>
      <c r="O54" s="158"/>
      <c r="P54" s="177"/>
      <c r="Q54" s="8"/>
      <c r="R54" s="8"/>
      <c r="S54" s="8"/>
      <c r="T54" s="8"/>
      <c r="U54" s="159" t="str">
        <f t="shared" si="7"/>
        <v/>
      </c>
      <c r="V54" s="8">
        <v>1</v>
      </c>
      <c r="W54" s="8" t="str">
        <f t="shared" si="8"/>
        <v/>
      </c>
      <c r="X54" s="8">
        <v>1</v>
      </c>
      <c r="Y54" s="8" t="str">
        <f t="shared" si="9"/>
        <v/>
      </c>
      <c r="Z54" s="352" t="str">
        <f t="shared" si="10"/>
        <v/>
      </c>
      <c r="AA54" s="192">
        <f t="shared" si="11"/>
        <v>0</v>
      </c>
      <c r="AB54" s="192" t="str">
        <f t="shared" si="12"/>
        <v/>
      </c>
      <c r="AC54" s="192" t="str">
        <f t="shared" si="12"/>
        <v/>
      </c>
      <c r="AD54" s="192">
        <f t="shared" si="13"/>
        <v>0</v>
      </c>
      <c r="AE54" s="192">
        <f t="shared" si="14"/>
        <v>0</v>
      </c>
    </row>
    <row r="55" spans="2:130" ht="29.25" customHeight="1" x14ac:dyDescent="0.25">
      <c r="B55" s="7" t="str">
        <f t="shared" si="6"/>
        <v/>
      </c>
      <c r="C55" s="4"/>
      <c r="D55" s="4"/>
      <c r="E55" s="4"/>
      <c r="F55" s="230" t="str">
        <f>IF('תנאי סף'!AO55&lt;&gt;1,"",'תנאי סף'!F55)</f>
        <v/>
      </c>
      <c r="G55" s="6"/>
      <c r="H55" s="6"/>
      <c r="I55" s="6"/>
      <c r="J55" s="5"/>
      <c r="K55" s="6"/>
      <c r="L55" s="5"/>
      <c r="M55" s="6"/>
      <c r="N55" s="6"/>
      <c r="O55" s="158"/>
      <c r="P55" s="177"/>
      <c r="Q55" s="8"/>
      <c r="R55" s="8"/>
      <c r="S55" s="8"/>
      <c r="T55" s="8"/>
      <c r="U55" s="159" t="str">
        <f t="shared" si="7"/>
        <v/>
      </c>
      <c r="V55" s="8">
        <v>1</v>
      </c>
      <c r="W55" s="8" t="str">
        <f t="shared" si="8"/>
        <v/>
      </c>
      <c r="X55" s="8">
        <v>1</v>
      </c>
      <c r="Y55" s="8" t="str">
        <f t="shared" si="9"/>
        <v/>
      </c>
      <c r="Z55" s="352" t="str">
        <f t="shared" si="10"/>
        <v/>
      </c>
      <c r="AA55" s="192">
        <f t="shared" si="11"/>
        <v>0</v>
      </c>
      <c r="AB55" s="192" t="str">
        <f t="shared" si="12"/>
        <v/>
      </c>
      <c r="AC55" s="192" t="str">
        <f t="shared" si="12"/>
        <v/>
      </c>
      <c r="AD55" s="192">
        <f t="shared" si="13"/>
        <v>0</v>
      </c>
      <c r="AE55" s="192">
        <f t="shared" si="14"/>
        <v>0</v>
      </c>
    </row>
    <row r="56" spans="2:130" ht="29.25" customHeight="1" x14ac:dyDescent="0.25">
      <c r="B56" s="7">
        <f t="shared" si="6"/>
        <v>26</v>
      </c>
      <c r="C56" s="4"/>
      <c r="D56" s="4"/>
      <c r="E56" s="4"/>
      <c r="F56" s="230" t="str">
        <f>IF('תנאי סף'!AO56&lt;&gt;1,"",'תנאי סף'!F56)</f>
        <v>אנסמבל מצו</v>
      </c>
      <c r="G56" s="6">
        <v>0</v>
      </c>
      <c r="H56" s="6">
        <v>1</v>
      </c>
      <c r="I56" s="6"/>
      <c r="J56" s="5"/>
      <c r="K56" s="6"/>
      <c r="L56" s="5"/>
      <c r="M56" s="6"/>
      <c r="N56" s="6"/>
      <c r="O56" s="158"/>
      <c r="P56" s="177"/>
      <c r="Q56" s="8"/>
      <c r="R56" s="8"/>
      <c r="S56" s="8"/>
      <c r="T56" s="8"/>
      <c r="U56" s="159">
        <f t="shared" si="7"/>
        <v>2</v>
      </c>
      <c r="V56" s="8">
        <v>1</v>
      </c>
      <c r="W56" s="8">
        <f t="shared" si="8"/>
        <v>2</v>
      </c>
      <c r="X56" s="8">
        <v>1</v>
      </c>
      <c r="Y56" s="8">
        <f t="shared" si="9"/>
        <v>2</v>
      </c>
      <c r="Z56" s="352">
        <f t="shared" si="10"/>
        <v>1.4705882352941176E-2</v>
      </c>
      <c r="AA56" s="192">
        <f t="shared" si="11"/>
        <v>1</v>
      </c>
      <c r="AB56" s="192">
        <f t="shared" si="12"/>
        <v>0</v>
      </c>
      <c r="AC56" s="192">
        <f t="shared" si="12"/>
        <v>1</v>
      </c>
      <c r="AD56" s="192">
        <f t="shared" si="13"/>
        <v>1</v>
      </c>
      <c r="AE56" s="334">
        <f t="shared" si="14"/>
        <v>1</v>
      </c>
      <c r="AF56" s="334"/>
      <c r="AG56" s="334"/>
      <c r="AH56" s="334"/>
      <c r="AI56" s="334"/>
      <c r="AJ56" s="334"/>
      <c r="AK56" s="334"/>
      <c r="AL56" s="334"/>
      <c r="AM56" s="334"/>
      <c r="AN56" s="334"/>
      <c r="AO56" s="334"/>
      <c r="AP56" s="334"/>
      <c r="AQ56" s="334"/>
      <c r="AR56" s="334"/>
      <c r="AS56" s="334"/>
      <c r="AT56" s="334"/>
      <c r="AU56" s="334"/>
      <c r="AV56" s="334"/>
      <c r="AW56" s="334"/>
      <c r="AX56" s="334"/>
      <c r="AY56" s="334"/>
      <c r="AZ56" s="334"/>
      <c r="BA56" s="334"/>
      <c r="BB56" s="334"/>
      <c r="BC56" s="334"/>
      <c r="BD56" s="334"/>
      <c r="BE56" s="334"/>
      <c r="BF56" s="334"/>
      <c r="BG56" s="334"/>
      <c r="BH56" s="334"/>
      <c r="BI56" s="334"/>
      <c r="BJ56" s="334"/>
      <c r="BK56" s="335"/>
      <c r="BL56" s="335"/>
      <c r="BM56" s="335"/>
      <c r="BN56" s="335"/>
      <c r="BO56" s="335"/>
      <c r="BP56" s="335"/>
      <c r="BQ56" s="335"/>
      <c r="BR56" s="335"/>
      <c r="BS56" s="335"/>
      <c r="BT56" s="335"/>
      <c r="BU56" s="335"/>
      <c r="BV56" s="335"/>
      <c r="BW56" s="335"/>
      <c r="BX56" s="335"/>
      <c r="BY56" s="335"/>
      <c r="BZ56" s="335"/>
      <c r="CA56" s="335"/>
      <c r="CB56" s="335"/>
      <c r="CC56" s="335"/>
      <c r="CD56" s="335"/>
      <c r="CE56" s="335"/>
      <c r="CF56" s="335"/>
      <c r="CG56" s="335"/>
      <c r="CH56" s="335"/>
      <c r="CI56" s="335"/>
      <c r="CJ56" s="335"/>
      <c r="CK56" s="335"/>
      <c r="CL56" s="335"/>
      <c r="CM56" s="335"/>
      <c r="CN56" s="335"/>
      <c r="CO56" s="335"/>
      <c r="CP56" s="335"/>
      <c r="CQ56" s="335"/>
      <c r="CR56" s="335"/>
      <c r="CS56" s="335"/>
      <c r="CT56" s="335"/>
      <c r="CU56" s="335"/>
      <c r="CV56" s="335"/>
      <c r="CW56" s="335"/>
      <c r="CX56" s="335"/>
      <c r="CY56" s="335"/>
      <c r="CZ56" s="335"/>
      <c r="DA56" s="335"/>
      <c r="DB56" s="335"/>
      <c r="DC56" s="335"/>
      <c r="DD56" s="335"/>
      <c r="DE56" s="335"/>
      <c r="DF56" s="335"/>
      <c r="DG56" s="335"/>
      <c r="DH56" s="335"/>
      <c r="DI56" s="335"/>
      <c r="DJ56" s="335"/>
      <c r="DK56" s="335"/>
      <c r="DL56" s="335"/>
      <c r="DM56" s="335"/>
      <c r="DN56" s="335"/>
      <c r="DO56" s="335"/>
      <c r="DP56" s="335"/>
      <c r="DQ56" s="335"/>
      <c r="DR56" s="335"/>
      <c r="DS56" s="335"/>
      <c r="DT56" s="335"/>
      <c r="DU56" s="335"/>
      <c r="DV56" s="335"/>
      <c r="DW56" s="335"/>
      <c r="DX56" s="335"/>
      <c r="DY56" s="335"/>
      <c r="DZ56" s="335"/>
    </row>
    <row r="57" spans="2:130" ht="29.25" customHeight="1" x14ac:dyDescent="0.25">
      <c r="B57" s="7" t="str">
        <f t="shared" si="6"/>
        <v/>
      </c>
      <c r="C57" s="4"/>
      <c r="D57" s="4"/>
      <c r="E57" s="4"/>
      <c r="F57" s="230" t="str">
        <f>IF('תנאי סף'!AO57&lt;&gt;1,"",'תנאי סף'!F57)</f>
        <v/>
      </c>
      <c r="G57" s="6"/>
      <c r="H57" s="6"/>
      <c r="I57" s="6"/>
      <c r="J57" s="5"/>
      <c r="K57" s="6"/>
      <c r="L57" s="5"/>
      <c r="M57" s="6"/>
      <c r="N57" s="6"/>
      <c r="O57" s="158"/>
      <c r="P57" s="177"/>
      <c r="Q57" s="8"/>
      <c r="R57" s="8"/>
      <c r="S57" s="8"/>
      <c r="T57" s="8"/>
      <c r="U57" s="159" t="str">
        <f t="shared" si="7"/>
        <v/>
      </c>
      <c r="V57" s="8">
        <v>1</v>
      </c>
      <c r="W57" s="8" t="str">
        <f t="shared" si="8"/>
        <v/>
      </c>
      <c r="X57" s="8">
        <v>1</v>
      </c>
      <c r="Y57" s="8" t="str">
        <f t="shared" si="9"/>
        <v/>
      </c>
      <c r="Z57" s="352" t="str">
        <f t="shared" si="10"/>
        <v/>
      </c>
      <c r="AA57" s="192">
        <f t="shared" si="11"/>
        <v>0</v>
      </c>
      <c r="AB57" s="192" t="str">
        <f t="shared" si="12"/>
        <v/>
      </c>
      <c r="AC57" s="192" t="str">
        <f t="shared" si="12"/>
        <v/>
      </c>
      <c r="AD57" s="192">
        <f t="shared" si="13"/>
        <v>0</v>
      </c>
      <c r="AE57" s="192">
        <f t="shared" si="14"/>
        <v>0</v>
      </c>
    </row>
    <row r="58" spans="2:130" ht="29.25" customHeight="1" x14ac:dyDescent="0.25">
      <c r="B58" s="7">
        <f t="shared" si="6"/>
        <v>28</v>
      </c>
      <c r="C58" s="4"/>
      <c r="D58" s="4"/>
      <c r="E58" s="4"/>
      <c r="F58" s="230" t="str">
        <f>IF('תנאי סף'!AO58&lt;&gt;1,"",'תנאי סף'!F58)</f>
        <v>תמיכה שותפת- קבוצת מוסיקה נובה</v>
      </c>
      <c r="G58" s="6">
        <v>0</v>
      </c>
      <c r="H58" s="6">
        <v>5</v>
      </c>
      <c r="I58" s="6"/>
      <c r="J58" s="5"/>
      <c r="K58" s="6"/>
      <c r="L58" s="5"/>
      <c r="M58" s="6"/>
      <c r="N58" s="6"/>
      <c r="O58" s="158"/>
      <c r="P58" s="177"/>
      <c r="Q58" s="8"/>
      <c r="R58" s="8"/>
      <c r="S58" s="8"/>
      <c r="T58" s="8"/>
      <c r="U58" s="159">
        <f t="shared" si="7"/>
        <v>10</v>
      </c>
      <c r="V58" s="8">
        <v>1</v>
      </c>
      <c r="W58" s="8">
        <f t="shared" si="8"/>
        <v>10</v>
      </c>
      <c r="X58" s="8">
        <v>1</v>
      </c>
      <c r="Y58" s="8">
        <f t="shared" si="9"/>
        <v>10</v>
      </c>
      <c r="Z58" s="352">
        <f t="shared" si="10"/>
        <v>7.3529411764705885E-2</v>
      </c>
      <c r="AA58" s="192">
        <f t="shared" si="11"/>
        <v>1</v>
      </c>
      <c r="AB58" s="192">
        <f t="shared" si="12"/>
        <v>0</v>
      </c>
      <c r="AC58" s="192">
        <f t="shared" si="12"/>
        <v>1</v>
      </c>
      <c r="AD58" s="192">
        <f t="shared" si="13"/>
        <v>1</v>
      </c>
      <c r="AE58" s="192">
        <f t="shared" si="14"/>
        <v>1</v>
      </c>
    </row>
    <row r="59" spans="2:130" ht="29.25" customHeight="1" x14ac:dyDescent="0.25">
      <c r="B59" s="7" t="str">
        <f t="shared" si="6"/>
        <v/>
      </c>
      <c r="C59" s="4"/>
      <c r="D59" s="4"/>
      <c r="E59" s="4"/>
      <c r="F59" s="230" t="str">
        <f>IF('תנאי סף'!AO59&lt;&gt;1,"",'תנאי סף'!F59)</f>
        <v/>
      </c>
      <c r="G59" s="6"/>
      <c r="H59" s="6"/>
      <c r="I59" s="6"/>
      <c r="J59" s="5"/>
      <c r="K59" s="6"/>
      <c r="L59" s="5"/>
      <c r="M59" s="6"/>
      <c r="N59" s="6"/>
      <c r="O59" s="158"/>
      <c r="P59" s="177"/>
      <c r="Q59" s="8"/>
      <c r="R59" s="8"/>
      <c r="S59" s="8"/>
      <c r="T59" s="8"/>
      <c r="U59" s="159" t="str">
        <f t="shared" si="7"/>
        <v/>
      </c>
      <c r="V59" s="8">
        <v>1</v>
      </c>
      <c r="W59" s="8" t="str">
        <f t="shared" si="8"/>
        <v/>
      </c>
      <c r="X59" s="8">
        <v>1</v>
      </c>
      <c r="Y59" s="8" t="str">
        <f t="shared" si="9"/>
        <v/>
      </c>
      <c r="Z59" s="352" t="str">
        <f t="shared" si="10"/>
        <v/>
      </c>
      <c r="AA59" s="192">
        <f t="shared" si="11"/>
        <v>0</v>
      </c>
      <c r="AB59" s="192" t="str">
        <f t="shared" si="12"/>
        <v/>
      </c>
      <c r="AC59" s="192" t="str">
        <f t="shared" si="12"/>
        <v/>
      </c>
      <c r="AD59" s="192">
        <f t="shared" si="13"/>
        <v>0</v>
      </c>
      <c r="AE59" s="192">
        <f t="shared" si="14"/>
        <v>0</v>
      </c>
    </row>
    <row r="60" spans="2:130" ht="29.25" customHeight="1" x14ac:dyDescent="0.25">
      <c r="B60" s="7" t="str">
        <f t="shared" si="6"/>
        <v/>
      </c>
      <c r="C60" s="4"/>
      <c r="D60" s="4"/>
      <c r="E60" s="4"/>
      <c r="F60" s="230" t="str">
        <f>IF('תנאי סף'!AO60&lt;&gt;1,"",'תנאי סף'!F60)</f>
        <v/>
      </c>
      <c r="G60" s="6"/>
      <c r="H60" s="6"/>
      <c r="I60" s="6"/>
      <c r="J60" s="5"/>
      <c r="K60" s="6"/>
      <c r="L60" s="5"/>
      <c r="M60" s="6"/>
      <c r="N60" s="6"/>
      <c r="O60" s="158"/>
      <c r="P60" s="177"/>
      <c r="Q60" s="8"/>
      <c r="R60" s="8"/>
      <c r="S60" s="8"/>
      <c r="T60" s="8"/>
      <c r="U60" s="159" t="str">
        <f t="shared" si="7"/>
        <v/>
      </c>
      <c r="V60" s="8">
        <v>1</v>
      </c>
      <c r="W60" s="8" t="str">
        <f t="shared" si="8"/>
        <v/>
      </c>
      <c r="X60" s="8">
        <v>1</v>
      </c>
      <c r="Y60" s="8" t="str">
        <f t="shared" si="9"/>
        <v/>
      </c>
      <c r="Z60" s="352" t="str">
        <f t="shared" si="10"/>
        <v/>
      </c>
      <c r="AA60" s="192">
        <f t="shared" si="11"/>
        <v>0</v>
      </c>
      <c r="AB60" s="192" t="str">
        <f t="shared" si="12"/>
        <v/>
      </c>
      <c r="AC60" s="192" t="str">
        <f t="shared" si="12"/>
        <v/>
      </c>
      <c r="AD60" s="192">
        <f t="shared" si="13"/>
        <v>0</v>
      </c>
      <c r="AE60" s="192">
        <f t="shared" si="14"/>
        <v>0</v>
      </c>
    </row>
    <row r="61" spans="2:130" ht="29.25" customHeight="1" x14ac:dyDescent="0.25">
      <c r="B61" s="7" t="str">
        <f t="shared" si="6"/>
        <v/>
      </c>
      <c r="C61" s="4"/>
      <c r="D61" s="4"/>
      <c r="E61" s="4"/>
      <c r="F61" s="230" t="str">
        <f>IF('תנאי סף'!AO61&lt;&gt;1,"",'תנאי סף'!F61)</f>
        <v/>
      </c>
      <c r="G61" s="6"/>
      <c r="H61" s="6"/>
      <c r="I61" s="6"/>
      <c r="J61" s="5"/>
      <c r="K61" s="6"/>
      <c r="L61" s="5"/>
      <c r="M61" s="6"/>
      <c r="N61" s="6"/>
      <c r="O61" s="158"/>
      <c r="P61" s="177"/>
      <c r="Q61" s="8"/>
      <c r="R61" s="8"/>
      <c r="S61" s="8"/>
      <c r="T61" s="8"/>
      <c r="U61" s="159" t="str">
        <f t="shared" si="7"/>
        <v/>
      </c>
      <c r="V61" s="8">
        <v>1</v>
      </c>
      <c r="W61" s="8" t="str">
        <f t="shared" si="8"/>
        <v/>
      </c>
      <c r="X61" s="8">
        <v>1</v>
      </c>
      <c r="Y61" s="8" t="str">
        <f t="shared" si="9"/>
        <v/>
      </c>
      <c r="Z61" s="352" t="str">
        <f t="shared" si="10"/>
        <v/>
      </c>
      <c r="AA61" s="192">
        <f t="shared" si="11"/>
        <v>0</v>
      </c>
      <c r="AB61" s="192" t="str">
        <f t="shared" si="12"/>
        <v/>
      </c>
      <c r="AC61" s="192" t="str">
        <f t="shared" si="12"/>
        <v/>
      </c>
      <c r="AD61" s="192">
        <f t="shared" si="13"/>
        <v>0</v>
      </c>
      <c r="AE61" s="192">
        <f t="shared" si="14"/>
        <v>0</v>
      </c>
    </row>
    <row r="62" spans="2:130" ht="29.25" customHeight="1" x14ac:dyDescent="0.25">
      <c r="B62" s="7" t="str">
        <f t="shared" si="6"/>
        <v/>
      </c>
      <c r="C62" s="4"/>
      <c r="D62" s="4"/>
      <c r="E62" s="4"/>
      <c r="F62" s="230" t="str">
        <f>IF('תנאי סף'!AO62&lt;&gt;1,"",'תנאי סף'!F62)</f>
        <v/>
      </c>
      <c r="G62" s="6"/>
      <c r="H62" s="6"/>
      <c r="I62" s="6"/>
      <c r="J62" s="5"/>
      <c r="K62" s="6"/>
      <c r="L62" s="5"/>
      <c r="M62" s="6"/>
      <c r="N62" s="6"/>
      <c r="O62" s="158"/>
      <c r="P62" s="177"/>
      <c r="Q62" s="8"/>
      <c r="R62" s="8"/>
      <c r="S62" s="8"/>
      <c r="T62" s="8"/>
      <c r="U62" s="159" t="str">
        <f t="shared" si="7"/>
        <v/>
      </c>
      <c r="V62" s="8">
        <v>1</v>
      </c>
      <c r="W62" s="8" t="str">
        <f t="shared" si="8"/>
        <v/>
      </c>
      <c r="X62" s="8">
        <v>1</v>
      </c>
      <c r="Y62" s="8" t="str">
        <f t="shared" si="9"/>
        <v/>
      </c>
      <c r="Z62" s="352" t="str">
        <f t="shared" si="10"/>
        <v/>
      </c>
      <c r="AA62" s="192">
        <f t="shared" si="11"/>
        <v>0</v>
      </c>
      <c r="AB62" s="192" t="str">
        <f t="shared" si="12"/>
        <v/>
      </c>
      <c r="AC62" s="192" t="str">
        <f t="shared" si="12"/>
        <v/>
      </c>
      <c r="AD62" s="192">
        <f t="shared" si="13"/>
        <v>0</v>
      </c>
      <c r="AE62" s="192">
        <f t="shared" si="14"/>
        <v>0</v>
      </c>
    </row>
    <row r="63" spans="2:130" ht="29.25" customHeight="1" x14ac:dyDescent="0.25">
      <c r="B63" s="7" t="str">
        <f t="shared" si="6"/>
        <v/>
      </c>
      <c r="C63" s="4"/>
      <c r="D63" s="4"/>
      <c r="E63" s="4"/>
      <c r="F63" s="230" t="str">
        <f>IF('תנאי סף'!AO63&lt;&gt;1,"",'תנאי סף'!F63)</f>
        <v/>
      </c>
      <c r="G63" s="6"/>
      <c r="H63" s="6"/>
      <c r="I63" s="6"/>
      <c r="J63" s="5"/>
      <c r="K63" s="6"/>
      <c r="L63" s="5"/>
      <c r="M63" s="6"/>
      <c r="N63" s="6"/>
      <c r="O63" s="158"/>
      <c r="P63" s="177"/>
      <c r="Q63" s="8"/>
      <c r="R63" s="8"/>
      <c r="S63" s="8"/>
      <c r="T63" s="8"/>
      <c r="U63" s="159" t="str">
        <f t="shared" si="7"/>
        <v/>
      </c>
      <c r="V63" s="8">
        <v>1</v>
      </c>
      <c r="W63" s="8" t="str">
        <f t="shared" si="8"/>
        <v/>
      </c>
      <c r="X63" s="8">
        <v>1</v>
      </c>
      <c r="Y63" s="8" t="str">
        <f t="shared" si="9"/>
        <v/>
      </c>
      <c r="Z63" s="352" t="str">
        <f t="shared" si="10"/>
        <v/>
      </c>
      <c r="AA63" s="192">
        <f t="shared" si="11"/>
        <v>0</v>
      </c>
      <c r="AB63" s="192" t="str">
        <f t="shared" si="12"/>
        <v/>
      </c>
      <c r="AC63" s="192" t="str">
        <f t="shared" si="12"/>
        <v/>
      </c>
      <c r="AD63" s="192">
        <f t="shared" si="13"/>
        <v>0</v>
      </c>
      <c r="AE63" s="192">
        <f t="shared" si="14"/>
        <v>0</v>
      </c>
    </row>
    <row r="64" spans="2:130" ht="29.25" customHeight="1" x14ac:dyDescent="0.25">
      <c r="B64" s="7" t="str">
        <f t="shared" si="6"/>
        <v/>
      </c>
      <c r="C64" s="4"/>
      <c r="D64" s="4"/>
      <c r="E64" s="4"/>
      <c r="F64" s="230" t="str">
        <f>IF('תנאי סף'!AO64&lt;&gt;1,"",'תנאי סף'!F64)</f>
        <v/>
      </c>
      <c r="G64" s="6"/>
      <c r="H64" s="6"/>
      <c r="I64" s="6"/>
      <c r="J64" s="5"/>
      <c r="K64" s="6"/>
      <c r="L64" s="5"/>
      <c r="M64" s="6"/>
      <c r="N64" s="6"/>
      <c r="O64" s="158"/>
      <c r="P64" s="177"/>
      <c r="Q64" s="8"/>
      <c r="R64" s="8"/>
      <c r="S64" s="8"/>
      <c r="T64" s="8"/>
      <c r="U64" s="159" t="str">
        <f t="shared" si="7"/>
        <v/>
      </c>
      <c r="V64" s="8">
        <v>1</v>
      </c>
      <c r="W64" s="8" t="str">
        <f t="shared" si="8"/>
        <v/>
      </c>
      <c r="X64" s="8">
        <v>1</v>
      </c>
      <c r="Y64" s="8" t="str">
        <f t="shared" si="9"/>
        <v/>
      </c>
      <c r="Z64" s="352" t="str">
        <f t="shared" si="10"/>
        <v/>
      </c>
      <c r="AA64" s="192">
        <f t="shared" si="11"/>
        <v>0</v>
      </c>
      <c r="AB64" s="192" t="str">
        <f t="shared" ref="AB64:AC91" si="15">IF($F64="","",AB$30)</f>
        <v/>
      </c>
      <c r="AC64" s="192" t="str">
        <f t="shared" si="15"/>
        <v/>
      </c>
      <c r="AD64" s="192">
        <f t="shared" si="13"/>
        <v>0</v>
      </c>
      <c r="AE64" s="192">
        <f t="shared" si="14"/>
        <v>0</v>
      </c>
    </row>
    <row r="65" spans="2:31" ht="29.25" customHeight="1" x14ac:dyDescent="0.25">
      <c r="B65" s="7">
        <f t="shared" si="6"/>
        <v>35</v>
      </c>
      <c r="C65" s="4"/>
      <c r="D65" s="4"/>
      <c r="E65" s="4"/>
      <c r="F65" s="230" t="str">
        <f>IF('תנאי סף'!AO65&lt;&gt;1,"",'תנאי סף'!F65)</f>
        <v>אנסמבל מיתר</v>
      </c>
      <c r="G65" s="6">
        <v>6</v>
      </c>
      <c r="H65" s="6">
        <v>11</v>
      </c>
      <c r="I65" s="6"/>
      <c r="J65" s="5"/>
      <c r="K65" s="6"/>
      <c r="L65" s="5"/>
      <c r="M65" s="6"/>
      <c r="N65" s="6"/>
      <c r="O65" s="158"/>
      <c r="P65" s="177"/>
      <c r="Q65" s="8"/>
      <c r="R65" s="8"/>
      <c r="S65" s="8"/>
      <c r="T65" s="8"/>
      <c r="U65" s="159">
        <f t="shared" si="7"/>
        <v>28</v>
      </c>
      <c r="V65" s="8">
        <v>1</v>
      </c>
      <c r="W65" s="8">
        <f t="shared" si="8"/>
        <v>28</v>
      </c>
      <c r="X65" s="8">
        <v>1</v>
      </c>
      <c r="Y65" s="8">
        <f t="shared" si="9"/>
        <v>28</v>
      </c>
      <c r="Z65" s="352">
        <f t="shared" si="10"/>
        <v>0.20588235294117646</v>
      </c>
      <c r="AA65" s="192">
        <f t="shared" si="11"/>
        <v>1</v>
      </c>
      <c r="AB65" s="192">
        <f t="shared" si="15"/>
        <v>0</v>
      </c>
      <c r="AC65" s="192">
        <f t="shared" si="15"/>
        <v>1</v>
      </c>
      <c r="AD65" s="192">
        <f t="shared" si="13"/>
        <v>1</v>
      </c>
      <c r="AE65" s="192">
        <f t="shared" si="14"/>
        <v>1</v>
      </c>
    </row>
    <row r="66" spans="2:31" ht="29.25" customHeight="1" x14ac:dyDescent="0.25">
      <c r="B66" s="7" t="str">
        <f t="shared" si="6"/>
        <v/>
      </c>
      <c r="C66" s="4"/>
      <c r="D66" s="4"/>
      <c r="E66" s="4"/>
      <c r="F66" s="230" t="str">
        <f>IF('תנאי סף'!AO66&lt;&gt;1,"",'תנאי סף'!F66)</f>
        <v/>
      </c>
      <c r="G66" s="6"/>
      <c r="H66" s="6"/>
      <c r="I66" s="6"/>
      <c r="J66" s="5"/>
      <c r="K66" s="6"/>
      <c r="L66" s="5"/>
      <c r="M66" s="6"/>
      <c r="N66" s="6"/>
      <c r="O66" s="158"/>
      <c r="P66" s="177"/>
      <c r="Q66" s="8"/>
      <c r="R66" s="8"/>
      <c r="S66" s="8"/>
      <c r="T66" s="8"/>
      <c r="U66" s="159" t="str">
        <f t="shared" si="7"/>
        <v/>
      </c>
      <c r="V66" s="8">
        <v>1</v>
      </c>
      <c r="W66" s="8" t="str">
        <f t="shared" si="8"/>
        <v/>
      </c>
      <c r="X66" s="8">
        <v>1</v>
      </c>
      <c r="Y66" s="8" t="str">
        <f t="shared" si="9"/>
        <v/>
      </c>
      <c r="Z66" s="352" t="str">
        <f t="shared" si="10"/>
        <v/>
      </c>
      <c r="AA66" s="192">
        <f t="shared" si="11"/>
        <v>0</v>
      </c>
      <c r="AB66" s="192" t="str">
        <f t="shared" si="15"/>
        <v/>
      </c>
      <c r="AC66" s="192" t="str">
        <f t="shared" si="15"/>
        <v/>
      </c>
      <c r="AD66" s="192">
        <f t="shared" si="13"/>
        <v>0</v>
      </c>
      <c r="AE66" s="192">
        <f t="shared" si="14"/>
        <v>0</v>
      </c>
    </row>
    <row r="67" spans="2:31" ht="29.25" customHeight="1" x14ac:dyDescent="0.25">
      <c r="B67" s="7">
        <f t="shared" si="6"/>
        <v>37</v>
      </c>
      <c r="C67" s="4"/>
      <c r="D67" s="4"/>
      <c r="E67" s="4"/>
      <c r="F67" s="230" t="str">
        <f>IF('תנאי סף'!AO67&lt;&gt;1,"",'תנאי סף'!F67)</f>
        <v>אנסמבל ארז נטף</v>
      </c>
      <c r="G67" s="6">
        <v>1</v>
      </c>
      <c r="H67" s="6">
        <v>1</v>
      </c>
      <c r="I67" s="6"/>
      <c r="J67" s="5"/>
      <c r="K67" s="6"/>
      <c r="L67" s="5"/>
      <c r="M67" s="6"/>
      <c r="N67" s="6"/>
      <c r="O67" s="158"/>
      <c r="P67" s="177"/>
      <c r="Q67" s="8"/>
      <c r="R67" s="8"/>
      <c r="S67" s="8"/>
      <c r="T67" s="8"/>
      <c r="U67" s="159">
        <f t="shared" si="7"/>
        <v>3</v>
      </c>
      <c r="V67" s="8">
        <v>1</v>
      </c>
      <c r="W67" s="8">
        <f t="shared" si="8"/>
        <v>3</v>
      </c>
      <c r="X67" s="8">
        <v>1</v>
      </c>
      <c r="Y67" s="8">
        <f t="shared" si="9"/>
        <v>3</v>
      </c>
      <c r="Z67" s="352">
        <f t="shared" si="10"/>
        <v>2.2058823529411766E-2</v>
      </c>
      <c r="AA67" s="192">
        <f t="shared" si="11"/>
        <v>1</v>
      </c>
      <c r="AB67" s="192">
        <f t="shared" si="15"/>
        <v>0</v>
      </c>
      <c r="AC67" s="192">
        <f t="shared" si="15"/>
        <v>1</v>
      </c>
      <c r="AD67" s="192">
        <f t="shared" si="13"/>
        <v>1</v>
      </c>
      <c r="AE67" s="192">
        <f t="shared" si="14"/>
        <v>1</v>
      </c>
    </row>
    <row r="68" spans="2:31" ht="29.25" customHeight="1" x14ac:dyDescent="0.25">
      <c r="B68" s="7" t="str">
        <f t="shared" si="6"/>
        <v/>
      </c>
      <c r="C68" s="4"/>
      <c r="D68" s="4"/>
      <c r="E68" s="4"/>
      <c r="F68" s="230" t="str">
        <f>IF('תנאי סף'!AO68&lt;&gt;1,"",'תנאי סף'!F68)</f>
        <v/>
      </c>
      <c r="G68" s="6"/>
      <c r="H68" s="6"/>
      <c r="I68" s="6"/>
      <c r="J68" s="5"/>
      <c r="K68" s="6"/>
      <c r="L68" s="5"/>
      <c r="M68" s="6"/>
      <c r="N68" s="6"/>
      <c r="O68" s="158"/>
      <c r="P68" s="177"/>
      <c r="Q68" s="8"/>
      <c r="R68" s="8"/>
      <c r="S68" s="8"/>
      <c r="T68" s="8"/>
      <c r="U68" s="159" t="str">
        <f t="shared" si="7"/>
        <v/>
      </c>
      <c r="V68" s="8">
        <v>1</v>
      </c>
      <c r="W68" s="8" t="str">
        <f t="shared" si="8"/>
        <v/>
      </c>
      <c r="X68" s="8">
        <v>1</v>
      </c>
      <c r="Y68" s="8" t="str">
        <f t="shared" si="9"/>
        <v/>
      </c>
      <c r="Z68" s="352" t="str">
        <f t="shared" si="10"/>
        <v/>
      </c>
      <c r="AA68" s="192">
        <f t="shared" si="11"/>
        <v>0</v>
      </c>
      <c r="AB68" s="192" t="str">
        <f t="shared" si="15"/>
        <v/>
      </c>
      <c r="AC68" s="192" t="str">
        <f t="shared" si="15"/>
        <v/>
      </c>
      <c r="AD68" s="192">
        <f t="shared" si="13"/>
        <v>0</v>
      </c>
      <c r="AE68" s="192">
        <f t="shared" si="14"/>
        <v>0</v>
      </c>
    </row>
    <row r="69" spans="2:31" ht="29.25" customHeight="1" x14ac:dyDescent="0.25">
      <c r="B69" s="7" t="str">
        <f t="shared" si="6"/>
        <v/>
      </c>
      <c r="C69" s="4"/>
      <c r="D69" s="4"/>
      <c r="E69" s="4"/>
      <c r="F69" s="230" t="str">
        <f>IF('תנאי סף'!AO69&lt;&gt;1,"",'תנאי סף'!F69)</f>
        <v/>
      </c>
      <c r="G69" s="6"/>
      <c r="H69" s="6"/>
      <c r="I69" s="6"/>
      <c r="J69" s="5"/>
      <c r="K69" s="6"/>
      <c r="L69" s="5"/>
      <c r="M69" s="6"/>
      <c r="N69" s="6"/>
      <c r="O69" s="158"/>
      <c r="P69" s="177"/>
      <c r="Q69" s="8"/>
      <c r="R69" s="8"/>
      <c r="S69" s="8"/>
      <c r="T69" s="8"/>
      <c r="U69" s="159" t="str">
        <f t="shared" si="7"/>
        <v/>
      </c>
      <c r="V69" s="8">
        <v>1</v>
      </c>
      <c r="W69" s="8" t="str">
        <f t="shared" si="8"/>
        <v/>
      </c>
      <c r="X69" s="8">
        <v>1</v>
      </c>
      <c r="Y69" s="8" t="str">
        <f t="shared" si="9"/>
        <v/>
      </c>
      <c r="Z69" s="352" t="str">
        <f t="shared" si="10"/>
        <v/>
      </c>
      <c r="AA69" s="192">
        <f t="shared" si="11"/>
        <v>0</v>
      </c>
      <c r="AB69" s="192" t="str">
        <f t="shared" si="15"/>
        <v/>
      </c>
      <c r="AC69" s="192" t="str">
        <f t="shared" si="15"/>
        <v/>
      </c>
      <c r="AD69" s="192">
        <f t="shared" si="13"/>
        <v>0</v>
      </c>
      <c r="AE69" s="192">
        <f t="shared" si="14"/>
        <v>0</v>
      </c>
    </row>
    <row r="70" spans="2:31" ht="29.25" customHeight="1" x14ac:dyDescent="0.25">
      <c r="B70" s="7">
        <f t="shared" si="6"/>
        <v>40</v>
      </c>
      <c r="C70" s="4"/>
      <c r="D70" s="4"/>
      <c r="E70" s="4"/>
      <c r="F70" s="230" t="str">
        <f>IF('תנאי סף'!AO70&lt;&gt;1,"",'תנאי סף'!F70)</f>
        <v>תו המשווה (ע"ר)</v>
      </c>
      <c r="G70" s="6">
        <v>0</v>
      </c>
      <c r="H70" s="6">
        <v>5</v>
      </c>
      <c r="I70" s="6"/>
      <c r="J70" s="5"/>
      <c r="K70" s="6"/>
      <c r="L70" s="5"/>
      <c r="M70" s="6"/>
      <c r="N70" s="6"/>
      <c r="O70" s="158"/>
      <c r="P70" s="177"/>
      <c r="Q70" s="8"/>
      <c r="R70" s="8"/>
      <c r="S70" s="8"/>
      <c r="T70" s="8"/>
      <c r="U70" s="159">
        <f t="shared" si="7"/>
        <v>10</v>
      </c>
      <c r="V70" s="8">
        <v>1</v>
      </c>
      <c r="W70" s="8">
        <f t="shared" si="8"/>
        <v>10</v>
      </c>
      <c r="X70" s="8">
        <v>1</v>
      </c>
      <c r="Y70" s="8">
        <f t="shared" si="9"/>
        <v>10</v>
      </c>
      <c r="Z70" s="352">
        <f t="shared" si="10"/>
        <v>7.3529411764705885E-2</v>
      </c>
      <c r="AA70" s="192">
        <f t="shared" si="11"/>
        <v>1</v>
      </c>
      <c r="AB70" s="192">
        <f t="shared" si="15"/>
        <v>0</v>
      </c>
      <c r="AC70" s="192">
        <f t="shared" si="15"/>
        <v>1</v>
      </c>
      <c r="AD70" s="192">
        <f t="shared" si="13"/>
        <v>1</v>
      </c>
      <c r="AE70" s="192">
        <f t="shared" si="14"/>
        <v>1</v>
      </c>
    </row>
    <row r="71" spans="2:31" ht="29.25" customHeight="1" x14ac:dyDescent="0.25">
      <c r="B71" s="7" t="str">
        <f t="shared" si="6"/>
        <v/>
      </c>
      <c r="C71" s="4"/>
      <c r="D71" s="4"/>
      <c r="E71" s="4"/>
      <c r="F71" s="230" t="str">
        <f>IF('תנאי סף'!AO71&lt;&gt;1,"",'תנאי סף'!F71)</f>
        <v/>
      </c>
      <c r="G71" s="6"/>
      <c r="H71" s="6"/>
      <c r="I71" s="6"/>
      <c r="J71" s="5"/>
      <c r="K71" s="6"/>
      <c r="L71" s="5"/>
      <c r="M71" s="6"/>
      <c r="N71" s="6"/>
      <c r="O71" s="158"/>
      <c r="P71" s="177"/>
      <c r="Q71" s="8"/>
      <c r="R71" s="8"/>
      <c r="S71" s="8"/>
      <c r="T71" s="8"/>
      <c r="U71" s="159" t="str">
        <f t="shared" si="7"/>
        <v/>
      </c>
      <c r="V71" s="8">
        <v>1</v>
      </c>
      <c r="W71" s="8" t="str">
        <f t="shared" si="8"/>
        <v/>
      </c>
      <c r="X71" s="8">
        <v>1</v>
      </c>
      <c r="Y71" s="8" t="str">
        <f t="shared" si="9"/>
        <v/>
      </c>
      <c r="Z71" s="123" t="str">
        <f t="shared" si="10"/>
        <v/>
      </c>
      <c r="AA71" s="192">
        <f t="shared" si="11"/>
        <v>0</v>
      </c>
      <c r="AB71" s="192" t="str">
        <f t="shared" si="15"/>
        <v/>
      </c>
      <c r="AC71" s="192" t="str">
        <f t="shared" si="15"/>
        <v/>
      </c>
      <c r="AD71" s="192">
        <f t="shared" si="13"/>
        <v>0</v>
      </c>
      <c r="AE71" s="192">
        <f t="shared" si="14"/>
        <v>0</v>
      </c>
    </row>
    <row r="72" spans="2:31" ht="29.25" customHeight="1" x14ac:dyDescent="0.25">
      <c r="B72" s="7" t="str">
        <f t="shared" si="6"/>
        <v/>
      </c>
      <c r="C72" s="4"/>
      <c r="D72" s="4"/>
      <c r="E72" s="4"/>
      <c r="F72" s="230" t="str">
        <f>IF('תנאי סף'!AO72&lt;&gt;1,"",'תנאי סף'!F72)</f>
        <v/>
      </c>
      <c r="G72" s="6"/>
      <c r="H72" s="6"/>
      <c r="I72" s="6"/>
      <c r="J72" s="5"/>
      <c r="K72" s="6"/>
      <c r="L72" s="5"/>
      <c r="M72" s="6"/>
      <c r="N72" s="6"/>
      <c r="O72" s="158"/>
      <c r="P72" s="177"/>
      <c r="Q72" s="8"/>
      <c r="R72" s="8"/>
      <c r="S72" s="8"/>
      <c r="T72" s="8"/>
      <c r="U72" s="159" t="str">
        <f t="shared" si="7"/>
        <v/>
      </c>
      <c r="V72" s="8">
        <v>1</v>
      </c>
      <c r="W72" s="8" t="str">
        <f t="shared" si="8"/>
        <v/>
      </c>
      <c r="X72" s="8">
        <v>1</v>
      </c>
      <c r="Y72" s="8" t="str">
        <f t="shared" si="9"/>
        <v/>
      </c>
      <c r="Z72" s="123" t="str">
        <f t="shared" si="10"/>
        <v/>
      </c>
      <c r="AA72" s="192">
        <f t="shared" si="11"/>
        <v>0</v>
      </c>
      <c r="AB72" s="192" t="str">
        <f t="shared" si="15"/>
        <v/>
      </c>
      <c r="AC72" s="192" t="str">
        <f t="shared" si="15"/>
        <v/>
      </c>
      <c r="AD72" s="192">
        <f t="shared" si="13"/>
        <v>0</v>
      </c>
      <c r="AE72" s="192">
        <f t="shared" si="14"/>
        <v>0</v>
      </c>
    </row>
    <row r="73" spans="2:31" ht="29.25" customHeight="1" x14ac:dyDescent="0.25">
      <c r="B73" s="7">
        <f t="shared" si="6"/>
        <v>43</v>
      </c>
      <c r="C73" s="4"/>
      <c r="D73" s="4"/>
      <c r="E73" s="4"/>
      <c r="F73" s="230" t="str">
        <f>IF('תנאי סף'!AO73&lt;&gt;1,"",'תנאי סף'!F73)</f>
        <v>בר קיימא ואקלקוטנטקט</v>
      </c>
      <c r="G73" s="6">
        <v>2</v>
      </c>
      <c r="H73" s="6">
        <v>4</v>
      </c>
      <c r="I73" s="6"/>
      <c r="J73" s="5"/>
      <c r="K73" s="6"/>
      <c r="L73" s="5"/>
      <c r="M73" s="6"/>
      <c r="N73" s="6"/>
      <c r="O73" s="158"/>
      <c r="P73" s="177"/>
      <c r="Q73" s="8"/>
      <c r="R73" s="8"/>
      <c r="S73" s="8"/>
      <c r="T73" s="8"/>
      <c r="U73" s="159">
        <f t="shared" si="7"/>
        <v>10</v>
      </c>
      <c r="V73" s="8">
        <v>1</v>
      </c>
      <c r="W73" s="8">
        <f t="shared" si="8"/>
        <v>10</v>
      </c>
      <c r="X73" s="8">
        <v>1</v>
      </c>
      <c r="Y73" s="8">
        <f t="shared" si="9"/>
        <v>10</v>
      </c>
      <c r="Z73" s="123">
        <f t="shared" si="10"/>
        <v>7.3529411764705885E-2</v>
      </c>
      <c r="AA73" s="192">
        <f t="shared" si="11"/>
        <v>1</v>
      </c>
      <c r="AB73" s="192">
        <f t="shared" si="15"/>
        <v>0</v>
      </c>
      <c r="AC73" s="192">
        <f t="shared" si="15"/>
        <v>1</v>
      </c>
      <c r="AD73" s="192">
        <f t="shared" si="13"/>
        <v>1</v>
      </c>
      <c r="AE73" s="192">
        <f t="shared" si="14"/>
        <v>1</v>
      </c>
    </row>
    <row r="74" spans="2:31" ht="29.25" customHeight="1" x14ac:dyDescent="0.25">
      <c r="B74" s="7" t="str">
        <f t="shared" si="6"/>
        <v/>
      </c>
      <c r="C74" s="4"/>
      <c r="D74" s="4"/>
      <c r="E74" s="4"/>
      <c r="F74" s="230" t="str">
        <f>IF('תנאי סף'!AO74&lt;&gt;1,"",'תנאי סף'!F74)</f>
        <v/>
      </c>
      <c r="G74" s="6"/>
      <c r="H74" s="6"/>
      <c r="I74" s="6"/>
      <c r="J74" s="5"/>
      <c r="K74" s="6"/>
      <c r="L74" s="5"/>
      <c r="M74" s="6"/>
      <c r="N74" s="6"/>
      <c r="O74" s="158"/>
      <c r="P74" s="177"/>
      <c r="Q74" s="8"/>
      <c r="R74" s="8"/>
      <c r="S74" s="8"/>
      <c r="T74" s="8"/>
      <c r="U74" s="159" t="str">
        <f t="shared" si="7"/>
        <v/>
      </c>
      <c r="V74" s="8">
        <v>1</v>
      </c>
      <c r="W74" s="8" t="str">
        <f t="shared" si="8"/>
        <v/>
      </c>
      <c r="X74" s="8">
        <v>1</v>
      </c>
      <c r="Y74" s="8" t="str">
        <f t="shared" si="9"/>
        <v/>
      </c>
      <c r="Z74" s="123" t="str">
        <f t="shared" si="10"/>
        <v/>
      </c>
      <c r="AA74" s="192">
        <f t="shared" si="11"/>
        <v>0</v>
      </c>
      <c r="AB74" s="192" t="str">
        <f t="shared" si="15"/>
        <v/>
      </c>
      <c r="AC74" s="192" t="str">
        <f t="shared" si="15"/>
        <v/>
      </c>
      <c r="AD74" s="192">
        <f t="shared" si="13"/>
        <v>0</v>
      </c>
      <c r="AE74" s="192">
        <f t="shared" si="14"/>
        <v>0</v>
      </c>
    </row>
    <row r="75" spans="2:31" ht="29.25" customHeight="1" x14ac:dyDescent="0.25">
      <c r="B75" s="7">
        <f t="shared" si="6"/>
        <v>45</v>
      </c>
      <c r="C75" s="4"/>
      <c r="D75" s="4"/>
      <c r="E75" s="4"/>
      <c r="F75" s="230" t="str">
        <f>IF('תנאי סף'!AO75&lt;&gt;1,"",'תנאי סף'!F75)</f>
        <v>אלקאת התזמורת התימנית</v>
      </c>
      <c r="G75" s="6">
        <v>1</v>
      </c>
      <c r="H75" s="6">
        <v>2</v>
      </c>
      <c r="I75" s="6"/>
      <c r="J75" s="5"/>
      <c r="K75" s="6"/>
      <c r="L75" s="5"/>
      <c r="M75" s="6"/>
      <c r="N75" s="6"/>
      <c r="O75" s="158"/>
      <c r="P75" s="177"/>
      <c r="Q75" s="8"/>
      <c r="R75" s="8"/>
      <c r="S75" s="8"/>
      <c r="T75" s="8"/>
      <c r="U75" s="159">
        <f t="shared" si="7"/>
        <v>5</v>
      </c>
      <c r="V75" s="8">
        <v>1</v>
      </c>
      <c r="W75" s="8">
        <f t="shared" si="8"/>
        <v>5</v>
      </c>
      <c r="X75" s="8">
        <v>1</v>
      </c>
      <c r="Y75" s="8">
        <f t="shared" si="9"/>
        <v>5</v>
      </c>
      <c r="Z75" s="123">
        <f t="shared" si="10"/>
        <v>3.6764705882352942E-2</v>
      </c>
      <c r="AA75" s="192">
        <f t="shared" si="11"/>
        <v>1</v>
      </c>
      <c r="AB75" s="192">
        <f t="shared" si="15"/>
        <v>0</v>
      </c>
      <c r="AC75" s="192">
        <f t="shared" si="15"/>
        <v>1</v>
      </c>
      <c r="AD75" s="192">
        <f t="shared" si="13"/>
        <v>1</v>
      </c>
      <c r="AE75" s="192">
        <f t="shared" si="14"/>
        <v>1</v>
      </c>
    </row>
    <row r="76" spans="2:31" ht="29.25" customHeight="1" x14ac:dyDescent="0.25">
      <c r="B76" s="7" t="str">
        <f t="shared" si="6"/>
        <v/>
      </c>
      <c r="C76" s="4"/>
      <c r="D76" s="4"/>
      <c r="E76" s="4"/>
      <c r="F76" s="230" t="str">
        <f>IF('תנאי סף'!AO76&lt;&gt;1,"",'תנאי סף'!F76)</f>
        <v/>
      </c>
      <c r="G76" s="6"/>
      <c r="H76" s="6"/>
      <c r="I76" s="6"/>
      <c r="J76" s="5"/>
      <c r="K76" s="6"/>
      <c r="L76" s="5"/>
      <c r="M76" s="6"/>
      <c r="N76" s="6"/>
      <c r="O76" s="158"/>
      <c r="P76" s="177"/>
      <c r="Q76" s="8"/>
      <c r="R76" s="8"/>
      <c r="S76" s="8"/>
      <c r="T76" s="8"/>
      <c r="U76" s="159" t="str">
        <f t="shared" si="7"/>
        <v/>
      </c>
      <c r="V76" s="8">
        <v>1</v>
      </c>
      <c r="W76" s="8" t="str">
        <f t="shared" si="8"/>
        <v/>
      </c>
      <c r="X76" s="8">
        <v>1</v>
      </c>
      <c r="Y76" s="8" t="str">
        <f t="shared" si="9"/>
        <v/>
      </c>
      <c r="Z76" s="123" t="str">
        <f t="shared" si="10"/>
        <v/>
      </c>
      <c r="AA76" s="192">
        <f t="shared" si="11"/>
        <v>0</v>
      </c>
      <c r="AB76" s="192" t="str">
        <f t="shared" si="15"/>
        <v/>
      </c>
      <c r="AC76" s="192" t="str">
        <f t="shared" si="15"/>
        <v/>
      </c>
      <c r="AD76" s="192">
        <f t="shared" si="13"/>
        <v>0</v>
      </c>
      <c r="AE76" s="192">
        <f t="shared" si="14"/>
        <v>0</v>
      </c>
    </row>
    <row r="77" spans="2:31" ht="29.25" customHeight="1" x14ac:dyDescent="0.25">
      <c r="B77" s="7" t="str">
        <f t="shared" si="6"/>
        <v/>
      </c>
      <c r="C77" s="4"/>
      <c r="D77" s="4"/>
      <c r="E77" s="4"/>
      <c r="F77" s="230" t="str">
        <f>IF('תנאי סף'!AO77&lt;&gt;1,"",'תנאי סף'!F77)</f>
        <v/>
      </c>
      <c r="G77" s="6"/>
      <c r="H77" s="6"/>
      <c r="I77" s="6"/>
      <c r="J77" s="5"/>
      <c r="K77" s="6"/>
      <c r="L77" s="5"/>
      <c r="M77" s="6"/>
      <c r="N77" s="6"/>
      <c r="O77" s="158"/>
      <c r="P77" s="177"/>
      <c r="Q77" s="8"/>
      <c r="R77" s="8"/>
      <c r="S77" s="8"/>
      <c r="T77" s="8"/>
      <c r="U77" s="159" t="str">
        <f t="shared" si="7"/>
        <v/>
      </c>
      <c r="V77" s="8">
        <v>1</v>
      </c>
      <c r="W77" s="8" t="str">
        <f t="shared" si="8"/>
        <v/>
      </c>
      <c r="X77" s="8">
        <v>1</v>
      </c>
      <c r="Y77" s="8" t="str">
        <f t="shared" si="9"/>
        <v/>
      </c>
      <c r="Z77" s="123" t="str">
        <f t="shared" si="10"/>
        <v/>
      </c>
      <c r="AA77" s="192">
        <f t="shared" si="11"/>
        <v>0</v>
      </c>
      <c r="AB77" s="192" t="str">
        <f t="shared" si="15"/>
        <v/>
      </c>
      <c r="AC77" s="192" t="str">
        <f t="shared" si="15"/>
        <v/>
      </c>
      <c r="AD77" s="192">
        <f t="shared" si="13"/>
        <v>0</v>
      </c>
      <c r="AE77" s="192">
        <f t="shared" si="14"/>
        <v>0</v>
      </c>
    </row>
    <row r="78" spans="2:31" ht="29.25" customHeight="1" x14ac:dyDescent="0.25">
      <c r="B78" s="7">
        <f t="shared" si="6"/>
        <v>48</v>
      </c>
      <c r="C78" s="4"/>
      <c r="D78" s="4"/>
      <c r="E78" s="4"/>
      <c r="F78" s="230" t="str">
        <f>IF('תנאי סף'!AO78&lt;&gt;1,"",'תנאי סף'!F78)</f>
        <v>גיא מינטוס- טריו</v>
      </c>
      <c r="G78" s="6">
        <v>2</v>
      </c>
      <c r="H78" s="6">
        <v>0</v>
      </c>
      <c r="I78" s="6"/>
      <c r="J78" s="5"/>
      <c r="K78" s="6"/>
      <c r="L78" s="5"/>
      <c r="M78" s="6"/>
      <c r="N78" s="6"/>
      <c r="O78" s="158"/>
      <c r="P78" s="177"/>
      <c r="Q78" s="8"/>
      <c r="R78" s="8"/>
      <c r="S78" s="8"/>
      <c r="T78" s="8"/>
      <c r="U78" s="159">
        <f t="shared" si="7"/>
        <v>2</v>
      </c>
      <c r="V78" s="8">
        <v>1</v>
      </c>
      <c r="W78" s="8">
        <f t="shared" si="8"/>
        <v>2</v>
      </c>
      <c r="X78" s="8">
        <v>1</v>
      </c>
      <c r="Y78" s="8">
        <f t="shared" si="9"/>
        <v>2</v>
      </c>
      <c r="Z78" s="123">
        <f t="shared" si="10"/>
        <v>1.4705882352941176E-2</v>
      </c>
      <c r="AA78" s="192">
        <f t="shared" si="11"/>
        <v>1</v>
      </c>
      <c r="AB78" s="192">
        <f t="shared" si="15"/>
        <v>0</v>
      </c>
      <c r="AC78" s="192">
        <f t="shared" si="15"/>
        <v>1</v>
      </c>
      <c r="AD78" s="192">
        <f t="shared" si="13"/>
        <v>1</v>
      </c>
      <c r="AE78" s="192">
        <f t="shared" si="14"/>
        <v>1</v>
      </c>
    </row>
    <row r="79" spans="2:31" ht="29.25" customHeight="1" x14ac:dyDescent="0.25">
      <c r="B79" s="7" t="str">
        <f t="shared" si="6"/>
        <v/>
      </c>
      <c r="C79" s="4"/>
      <c r="D79" s="4"/>
      <c r="E79" s="4"/>
      <c r="F79" s="230" t="str">
        <f>IF('תנאי סף'!AO79&lt;&gt;1,"",'תנאי סף'!F79)</f>
        <v/>
      </c>
      <c r="G79" s="6"/>
      <c r="H79" s="6"/>
      <c r="I79" s="6"/>
      <c r="J79" s="5"/>
      <c r="K79" s="6"/>
      <c r="L79" s="5"/>
      <c r="M79" s="6"/>
      <c r="N79" s="6"/>
      <c r="O79" s="158"/>
      <c r="P79" s="177"/>
      <c r="Q79" s="8"/>
      <c r="R79" s="8"/>
      <c r="S79" s="8"/>
      <c r="T79" s="8"/>
      <c r="U79" s="159" t="str">
        <f t="shared" si="7"/>
        <v/>
      </c>
      <c r="V79" s="8">
        <v>1</v>
      </c>
      <c r="W79" s="8" t="str">
        <f t="shared" si="8"/>
        <v/>
      </c>
      <c r="X79" s="8">
        <v>1</v>
      </c>
      <c r="Y79" s="8" t="str">
        <f t="shared" si="9"/>
        <v/>
      </c>
      <c r="Z79" s="123" t="str">
        <f t="shared" si="10"/>
        <v/>
      </c>
      <c r="AA79" s="192">
        <f t="shared" si="11"/>
        <v>0</v>
      </c>
      <c r="AB79" s="192" t="str">
        <f t="shared" si="15"/>
        <v/>
      </c>
      <c r="AC79" s="192" t="str">
        <f t="shared" si="15"/>
        <v/>
      </c>
      <c r="AD79" s="192">
        <f t="shared" si="13"/>
        <v>0</v>
      </c>
      <c r="AE79" s="192">
        <f t="shared" si="14"/>
        <v>0</v>
      </c>
    </row>
    <row r="80" spans="2:31" ht="29.25" customHeight="1" x14ac:dyDescent="0.25">
      <c r="B80" s="7" t="str">
        <f t="shared" si="6"/>
        <v/>
      </c>
      <c r="C80" s="4"/>
      <c r="D80" s="4"/>
      <c r="E80" s="4"/>
      <c r="F80" s="230" t="str">
        <f>IF('תנאי סף'!AO80&lt;&gt;1,"",'תנאי סף'!F80)</f>
        <v/>
      </c>
      <c r="G80" s="6"/>
      <c r="H80" s="6"/>
      <c r="I80" s="6"/>
      <c r="J80" s="5"/>
      <c r="K80" s="6"/>
      <c r="L80" s="5"/>
      <c r="M80" s="6"/>
      <c r="N80" s="6"/>
      <c r="O80" s="158"/>
      <c r="P80" s="177"/>
      <c r="Q80" s="8"/>
      <c r="R80" s="8"/>
      <c r="S80" s="8"/>
      <c r="T80" s="8"/>
      <c r="U80" s="159" t="str">
        <f t="shared" si="7"/>
        <v/>
      </c>
      <c r="V80" s="8">
        <v>1</v>
      </c>
      <c r="W80" s="8" t="str">
        <f t="shared" si="8"/>
        <v/>
      </c>
      <c r="X80" s="8">
        <v>1</v>
      </c>
      <c r="Y80" s="8" t="str">
        <f t="shared" si="9"/>
        <v/>
      </c>
      <c r="Z80" s="123" t="str">
        <f t="shared" si="10"/>
        <v/>
      </c>
      <c r="AA80" s="192">
        <f t="shared" si="11"/>
        <v>0</v>
      </c>
      <c r="AB80" s="192" t="str">
        <f t="shared" si="15"/>
        <v/>
      </c>
      <c r="AC80" s="192" t="str">
        <f t="shared" si="15"/>
        <v/>
      </c>
      <c r="AD80" s="192">
        <f t="shared" si="13"/>
        <v>0</v>
      </c>
      <c r="AE80" s="192">
        <f t="shared" si="14"/>
        <v>0</v>
      </c>
    </row>
    <row r="81" spans="2:31" ht="29.25" customHeight="1" x14ac:dyDescent="0.25">
      <c r="B81" s="7" t="str">
        <f t="shared" si="6"/>
        <v/>
      </c>
      <c r="C81" s="4"/>
      <c r="D81" s="4"/>
      <c r="E81" s="4"/>
      <c r="F81" s="230" t="str">
        <f>IF('תנאי סף'!AO81&lt;&gt;1,"",'תנאי סף'!F81)</f>
        <v/>
      </c>
      <c r="G81" s="6"/>
      <c r="H81" s="6"/>
      <c r="I81" s="6"/>
      <c r="J81" s="5"/>
      <c r="K81" s="6"/>
      <c r="L81" s="5"/>
      <c r="M81" s="6"/>
      <c r="N81" s="6"/>
      <c r="O81" s="158"/>
      <c r="P81" s="177"/>
      <c r="Q81" s="8"/>
      <c r="R81" s="8"/>
      <c r="S81" s="8"/>
      <c r="T81" s="8"/>
      <c r="U81" s="159" t="str">
        <f t="shared" si="7"/>
        <v/>
      </c>
      <c r="V81" s="8">
        <v>1</v>
      </c>
      <c r="W81" s="8" t="str">
        <f t="shared" si="8"/>
        <v/>
      </c>
      <c r="X81" s="8">
        <v>1</v>
      </c>
      <c r="Y81" s="8" t="str">
        <f t="shared" si="9"/>
        <v/>
      </c>
      <c r="Z81" s="123" t="str">
        <f t="shared" si="10"/>
        <v/>
      </c>
      <c r="AA81" s="192">
        <f t="shared" si="11"/>
        <v>0</v>
      </c>
      <c r="AB81" s="192" t="str">
        <f t="shared" si="15"/>
        <v/>
      </c>
      <c r="AC81" s="192" t="str">
        <f t="shared" si="15"/>
        <v/>
      </c>
      <c r="AD81" s="192">
        <f t="shared" si="13"/>
        <v>0</v>
      </c>
      <c r="AE81" s="192">
        <f t="shared" si="14"/>
        <v>0</v>
      </c>
    </row>
    <row r="82" spans="2:31" ht="29.25" customHeight="1" x14ac:dyDescent="0.25">
      <c r="B82" s="7">
        <f t="shared" si="6"/>
        <v>52</v>
      </c>
      <c r="C82" s="4"/>
      <c r="D82" s="4"/>
      <c r="E82" s="4"/>
      <c r="F82" s="230" t="str">
        <f>IF('תנאי סף'!AO82&lt;&gt;1,"",'תנאי סף'!F82)</f>
        <v xml:space="preserve">פולקעס - בר-קיימא לתרבות </v>
      </c>
      <c r="G82" s="6">
        <v>0</v>
      </c>
      <c r="H82" s="6">
        <v>1</v>
      </c>
      <c r="I82" s="6"/>
      <c r="J82" s="5"/>
      <c r="K82" s="6"/>
      <c r="L82" s="5"/>
      <c r="M82" s="6"/>
      <c r="N82" s="6"/>
      <c r="O82" s="158"/>
      <c r="P82" s="177"/>
      <c r="Q82" s="8"/>
      <c r="R82" s="8"/>
      <c r="S82" s="8"/>
      <c r="T82" s="8"/>
      <c r="U82" s="159">
        <f t="shared" si="7"/>
        <v>2</v>
      </c>
      <c r="V82" s="8">
        <v>1</v>
      </c>
      <c r="W82" s="8">
        <f t="shared" si="8"/>
        <v>2</v>
      </c>
      <c r="X82" s="8">
        <v>1</v>
      </c>
      <c r="Y82" s="8">
        <f t="shared" si="9"/>
        <v>2</v>
      </c>
      <c r="Z82" s="123">
        <f t="shared" si="10"/>
        <v>1.4705882352941176E-2</v>
      </c>
      <c r="AA82" s="192">
        <f t="shared" si="11"/>
        <v>1</v>
      </c>
      <c r="AB82" s="192">
        <f t="shared" si="15"/>
        <v>0</v>
      </c>
      <c r="AC82" s="192">
        <f t="shared" si="15"/>
        <v>1</v>
      </c>
      <c r="AD82" s="192">
        <f t="shared" si="13"/>
        <v>1</v>
      </c>
      <c r="AE82" s="192">
        <f t="shared" si="14"/>
        <v>1</v>
      </c>
    </row>
    <row r="83" spans="2:31" ht="29.25" customHeight="1" x14ac:dyDescent="0.25">
      <c r="B83" s="7" t="str">
        <f t="shared" si="6"/>
        <v/>
      </c>
      <c r="C83" s="4"/>
      <c r="D83" s="4"/>
      <c r="E83" s="4"/>
      <c r="F83" s="230" t="str">
        <f>IF('תנאי סף'!AO83&lt;&gt;1,"",'תנאי סף'!F83)</f>
        <v/>
      </c>
      <c r="G83" s="6"/>
      <c r="H83" s="6"/>
      <c r="I83" s="6"/>
      <c r="J83" s="5"/>
      <c r="K83" s="6"/>
      <c r="L83" s="5"/>
      <c r="M83" s="6"/>
      <c r="N83" s="6"/>
      <c r="O83" s="158"/>
      <c r="P83" s="177"/>
      <c r="Q83" s="8"/>
      <c r="R83" s="8"/>
      <c r="S83" s="8"/>
      <c r="T83" s="8"/>
      <c r="U83" s="159" t="str">
        <f t="shared" si="7"/>
        <v/>
      </c>
      <c r="V83" s="8">
        <v>1</v>
      </c>
      <c r="W83" s="8" t="str">
        <f t="shared" si="8"/>
        <v/>
      </c>
      <c r="X83" s="8">
        <v>1</v>
      </c>
      <c r="Y83" s="8" t="str">
        <f t="shared" si="9"/>
        <v/>
      </c>
      <c r="Z83" s="123" t="str">
        <f t="shared" si="10"/>
        <v/>
      </c>
      <c r="AA83" s="192">
        <f t="shared" si="11"/>
        <v>0</v>
      </c>
      <c r="AB83" s="192" t="str">
        <f t="shared" si="15"/>
        <v/>
      </c>
      <c r="AC83" s="192" t="str">
        <f t="shared" si="15"/>
        <v/>
      </c>
      <c r="AD83" s="192">
        <f t="shared" si="13"/>
        <v>0</v>
      </c>
      <c r="AE83" s="192">
        <f t="shared" si="14"/>
        <v>0</v>
      </c>
    </row>
    <row r="84" spans="2:31" ht="29.25" customHeight="1" x14ac:dyDescent="0.25">
      <c r="B84" s="7" t="str">
        <f t="shared" si="6"/>
        <v/>
      </c>
      <c r="C84" s="4"/>
      <c r="D84" s="4"/>
      <c r="E84" s="4"/>
      <c r="F84" s="230" t="str">
        <f>IF('תנאי סף'!AO84&lt;&gt;1,"",'תנאי סף'!F84)</f>
        <v/>
      </c>
      <c r="G84" s="6"/>
      <c r="H84" s="6"/>
      <c r="I84" s="6"/>
      <c r="J84" s="5"/>
      <c r="K84" s="6"/>
      <c r="L84" s="5"/>
      <c r="M84" s="6"/>
      <c r="N84" s="6"/>
      <c r="O84" s="158"/>
      <c r="P84" s="177"/>
      <c r="Q84" s="8"/>
      <c r="R84" s="8"/>
      <c r="S84" s="8"/>
      <c r="T84" s="8"/>
      <c r="U84" s="159" t="str">
        <f t="shared" si="7"/>
        <v/>
      </c>
      <c r="V84" s="8">
        <v>1</v>
      </c>
      <c r="W84" s="8" t="str">
        <f t="shared" si="8"/>
        <v/>
      </c>
      <c r="X84" s="8">
        <v>1</v>
      </c>
      <c r="Y84" s="8" t="str">
        <f t="shared" si="9"/>
        <v/>
      </c>
      <c r="Z84" s="123" t="str">
        <f t="shared" si="10"/>
        <v/>
      </c>
      <c r="AA84" s="192">
        <f t="shared" si="11"/>
        <v>0</v>
      </c>
      <c r="AB84" s="192" t="str">
        <f t="shared" si="15"/>
        <v/>
      </c>
      <c r="AC84" s="192" t="str">
        <f t="shared" si="15"/>
        <v/>
      </c>
      <c r="AD84" s="192">
        <f t="shared" si="13"/>
        <v>0</v>
      </c>
      <c r="AE84" s="192">
        <f t="shared" si="14"/>
        <v>0</v>
      </c>
    </row>
    <row r="85" spans="2:31" ht="29.25" customHeight="1" x14ac:dyDescent="0.25">
      <c r="B85" s="7">
        <f t="shared" si="6"/>
        <v>55</v>
      </c>
      <c r="C85" s="4"/>
      <c r="D85" s="4"/>
      <c r="E85" s="4"/>
      <c r="F85" s="230" t="str">
        <f>IF('תנאי סף'!AO85&lt;&gt;1,"",'תנאי סף'!F85)</f>
        <v>מכון רננות</v>
      </c>
      <c r="G85" s="6">
        <v>0</v>
      </c>
      <c r="H85" s="6">
        <v>1</v>
      </c>
      <c r="I85" s="6"/>
      <c r="J85" s="5"/>
      <c r="K85" s="6"/>
      <c r="L85" s="5"/>
      <c r="M85" s="6"/>
      <c r="N85" s="6"/>
      <c r="O85" s="158"/>
      <c r="P85" s="177"/>
      <c r="Q85" s="8"/>
      <c r="R85" s="8"/>
      <c r="S85" s="8"/>
      <c r="T85" s="8"/>
      <c r="U85" s="159">
        <f t="shared" si="7"/>
        <v>2</v>
      </c>
      <c r="V85" s="8">
        <v>1</v>
      </c>
      <c r="W85" s="8">
        <f t="shared" si="8"/>
        <v>2</v>
      </c>
      <c r="X85" s="8">
        <v>1</v>
      </c>
      <c r="Y85" s="8">
        <f t="shared" si="9"/>
        <v>2</v>
      </c>
      <c r="Z85" s="123">
        <f t="shared" si="10"/>
        <v>1.4705882352941176E-2</v>
      </c>
      <c r="AA85" s="192">
        <f t="shared" si="11"/>
        <v>1</v>
      </c>
      <c r="AB85" s="192">
        <f t="shared" si="15"/>
        <v>0</v>
      </c>
      <c r="AC85" s="192">
        <f t="shared" si="15"/>
        <v>1</v>
      </c>
      <c r="AD85" s="192">
        <f t="shared" si="13"/>
        <v>1</v>
      </c>
      <c r="AE85" s="192">
        <f t="shared" si="14"/>
        <v>1</v>
      </c>
    </row>
    <row r="86" spans="2:31" ht="29.25" customHeight="1" x14ac:dyDescent="0.25">
      <c r="B86" s="7" t="str">
        <f t="shared" si="6"/>
        <v/>
      </c>
      <c r="C86" s="4"/>
      <c r="D86" s="4"/>
      <c r="E86" s="4"/>
      <c r="F86" s="230" t="str">
        <f>IF('תנאי סף'!AO86&lt;&gt;1,"",'תנאי סף'!F86)</f>
        <v/>
      </c>
      <c r="G86" s="6"/>
      <c r="H86" s="6"/>
      <c r="I86" s="6"/>
      <c r="J86" s="5"/>
      <c r="K86" s="6"/>
      <c r="L86" s="5"/>
      <c r="M86" s="6"/>
      <c r="N86" s="6"/>
      <c r="O86" s="158"/>
      <c r="P86" s="177"/>
      <c r="Q86" s="8"/>
      <c r="R86" s="8"/>
      <c r="S86" s="8"/>
      <c r="T86" s="8"/>
      <c r="U86" s="159" t="str">
        <f t="shared" si="7"/>
        <v/>
      </c>
      <c r="V86" s="8">
        <v>1</v>
      </c>
      <c r="W86" s="8" t="str">
        <f t="shared" si="8"/>
        <v/>
      </c>
      <c r="X86" s="8">
        <v>1</v>
      </c>
      <c r="Y86" s="8" t="str">
        <f t="shared" si="9"/>
        <v/>
      </c>
      <c r="Z86" s="123" t="str">
        <f t="shared" si="10"/>
        <v/>
      </c>
      <c r="AA86" s="192">
        <f t="shared" si="11"/>
        <v>0</v>
      </c>
      <c r="AB86" s="192" t="str">
        <f t="shared" si="15"/>
        <v/>
      </c>
      <c r="AC86" s="192" t="str">
        <f t="shared" si="15"/>
        <v/>
      </c>
      <c r="AD86" s="192">
        <f t="shared" si="13"/>
        <v>0</v>
      </c>
      <c r="AE86" s="192">
        <f t="shared" si="14"/>
        <v>0</v>
      </c>
    </row>
    <row r="87" spans="2:31" ht="29.25" customHeight="1" x14ac:dyDescent="0.25">
      <c r="B87" s="7">
        <f t="shared" si="6"/>
        <v>57</v>
      </c>
      <c r="C87" s="4"/>
      <c r="D87" s="4"/>
      <c r="E87" s="4"/>
      <c r="F87" s="230" t="str">
        <f>IF('תנאי סף'!AO87&lt;&gt;1,"",'תנאי סף'!F87)</f>
        <v>עמותת מפעל המוזיקה צימבליסטה</v>
      </c>
      <c r="G87" s="6">
        <v>0</v>
      </c>
      <c r="H87" s="6">
        <v>2</v>
      </c>
      <c r="I87" s="6"/>
      <c r="J87" s="5"/>
      <c r="K87" s="6"/>
      <c r="L87" s="5"/>
      <c r="M87" s="6"/>
      <c r="N87" s="6"/>
      <c r="O87" s="158"/>
      <c r="P87" s="177"/>
      <c r="Q87" s="8"/>
      <c r="R87" s="8"/>
      <c r="S87" s="8"/>
      <c r="T87" s="8"/>
      <c r="U87" s="159">
        <f t="shared" si="7"/>
        <v>4</v>
      </c>
      <c r="V87" s="8">
        <v>1</v>
      </c>
      <c r="W87" s="8">
        <f t="shared" si="8"/>
        <v>4</v>
      </c>
      <c r="X87" s="8">
        <v>1</v>
      </c>
      <c r="Y87" s="8">
        <f t="shared" si="9"/>
        <v>4</v>
      </c>
      <c r="Z87" s="123">
        <f t="shared" si="10"/>
        <v>2.9411764705882353E-2</v>
      </c>
      <c r="AA87" s="192">
        <f t="shared" si="11"/>
        <v>1</v>
      </c>
      <c r="AB87" s="192">
        <f t="shared" si="15"/>
        <v>0</v>
      </c>
      <c r="AC87" s="192">
        <f t="shared" si="15"/>
        <v>1</v>
      </c>
      <c r="AD87" s="192">
        <f t="shared" si="13"/>
        <v>1</v>
      </c>
      <c r="AE87" s="192">
        <f t="shared" si="14"/>
        <v>1</v>
      </c>
    </row>
    <row r="88" spans="2:31" ht="29.25" customHeight="1" x14ac:dyDescent="0.25">
      <c r="B88" s="7" t="str">
        <f t="shared" si="6"/>
        <v/>
      </c>
      <c r="C88" s="4"/>
      <c r="D88" s="4"/>
      <c r="E88" s="4"/>
      <c r="F88" s="230" t="str">
        <f>IF('תנאי סף'!AO88&lt;&gt;1,"",'תנאי סף'!F88)</f>
        <v/>
      </c>
      <c r="G88" s="6"/>
      <c r="H88" s="6"/>
      <c r="I88" s="6"/>
      <c r="J88" s="5"/>
      <c r="K88" s="6"/>
      <c r="L88" s="5"/>
      <c r="M88" s="6"/>
      <c r="N88" s="6"/>
      <c r="O88" s="158"/>
      <c r="P88" s="177"/>
      <c r="Q88" s="8"/>
      <c r="R88" s="8"/>
      <c r="S88" s="8"/>
      <c r="T88" s="8"/>
      <c r="U88" s="159" t="str">
        <f t="shared" si="7"/>
        <v/>
      </c>
      <c r="V88" s="8">
        <v>1</v>
      </c>
      <c r="W88" s="8" t="str">
        <f t="shared" si="8"/>
        <v/>
      </c>
      <c r="X88" s="8">
        <v>1</v>
      </c>
      <c r="Y88" s="8" t="str">
        <f t="shared" si="9"/>
        <v/>
      </c>
      <c r="Z88" s="123" t="str">
        <f t="shared" si="10"/>
        <v/>
      </c>
      <c r="AA88" s="192">
        <f t="shared" si="11"/>
        <v>0</v>
      </c>
      <c r="AB88" s="192" t="str">
        <f t="shared" si="15"/>
        <v/>
      </c>
      <c r="AC88" s="192" t="str">
        <f t="shared" si="15"/>
        <v/>
      </c>
      <c r="AD88" s="192">
        <f t="shared" si="13"/>
        <v>0</v>
      </c>
      <c r="AE88" s="192">
        <f t="shared" si="14"/>
        <v>0</v>
      </c>
    </row>
    <row r="89" spans="2:31" ht="29.25" customHeight="1" x14ac:dyDescent="0.25">
      <c r="B89" s="7">
        <f t="shared" si="6"/>
        <v>59</v>
      </c>
      <c r="C89" s="4"/>
      <c r="D89" s="4"/>
      <c r="E89" s="4"/>
      <c r="F89" s="230" t="str">
        <f>IF('תנאי סף'!AO89&lt;&gt;1,"",'תנאי סף'!F89)</f>
        <v>העמותה לקידום המוסיקה הערבית</v>
      </c>
      <c r="G89" s="6">
        <v>0</v>
      </c>
      <c r="H89" s="6">
        <v>0</v>
      </c>
      <c r="I89" s="6"/>
      <c r="J89" s="5"/>
      <c r="K89" s="6"/>
      <c r="L89" s="5"/>
      <c r="M89" s="6"/>
      <c r="N89" s="6"/>
      <c r="O89" s="158"/>
      <c r="P89" s="177"/>
      <c r="Q89" s="8"/>
      <c r="R89" s="8"/>
      <c r="S89" s="8"/>
      <c r="T89" s="8"/>
      <c r="U89" s="159">
        <f t="shared" si="7"/>
        <v>0</v>
      </c>
      <c r="V89" s="8">
        <v>1</v>
      </c>
      <c r="W89" s="8">
        <f t="shared" si="8"/>
        <v>0</v>
      </c>
      <c r="X89" s="8">
        <v>1</v>
      </c>
      <c r="Y89" s="8">
        <f t="shared" si="9"/>
        <v>0</v>
      </c>
      <c r="Z89" s="123">
        <f t="shared" si="10"/>
        <v>0</v>
      </c>
      <c r="AA89" s="192">
        <f t="shared" si="11"/>
        <v>1</v>
      </c>
      <c r="AB89" s="192">
        <f t="shared" si="15"/>
        <v>0</v>
      </c>
      <c r="AC89" s="192">
        <f t="shared" si="15"/>
        <v>1</v>
      </c>
      <c r="AD89" s="192">
        <f t="shared" si="13"/>
        <v>1</v>
      </c>
      <c r="AE89" s="192">
        <f t="shared" si="14"/>
        <v>1</v>
      </c>
    </row>
    <row r="90" spans="2:31" ht="29.25" customHeight="1" x14ac:dyDescent="0.25">
      <c r="B90" s="7">
        <f t="shared" si="6"/>
        <v>60</v>
      </c>
      <c r="C90" s="4"/>
      <c r="D90" s="4"/>
      <c r="E90" s="4"/>
      <c r="F90" s="230" t="str">
        <f>IF('תנאי סף'!AO90&lt;&gt;1,"",'תנאי סף'!F90)</f>
        <v>תמיכה בתזמורת TLV (הערבית יהודית)</v>
      </c>
      <c r="G90" s="6">
        <v>0</v>
      </c>
      <c r="H90" s="6">
        <v>1</v>
      </c>
      <c r="I90" s="6"/>
      <c r="J90" s="5"/>
      <c r="K90" s="6"/>
      <c r="L90" s="5"/>
      <c r="M90" s="6"/>
      <c r="N90" s="6"/>
      <c r="O90" s="158"/>
      <c r="P90" s="177"/>
      <c r="Q90" s="8"/>
      <c r="R90" s="8"/>
      <c r="S90" s="8"/>
      <c r="T90" s="8"/>
      <c r="U90" s="159">
        <f t="shared" si="7"/>
        <v>2</v>
      </c>
      <c r="V90" s="8">
        <v>1</v>
      </c>
      <c r="W90" s="8">
        <f t="shared" si="8"/>
        <v>2</v>
      </c>
      <c r="X90" s="8">
        <v>1</v>
      </c>
      <c r="Y90" s="8">
        <f t="shared" si="9"/>
        <v>2</v>
      </c>
      <c r="Z90" s="123">
        <f t="shared" si="10"/>
        <v>1.4705882352941176E-2</v>
      </c>
      <c r="AA90" s="192">
        <f t="shared" si="11"/>
        <v>1</v>
      </c>
      <c r="AB90" s="192">
        <f t="shared" si="15"/>
        <v>0</v>
      </c>
      <c r="AC90" s="192">
        <f t="shared" si="15"/>
        <v>1</v>
      </c>
      <c r="AD90" s="192">
        <f t="shared" si="13"/>
        <v>1</v>
      </c>
      <c r="AE90" s="192">
        <f t="shared" si="14"/>
        <v>1</v>
      </c>
    </row>
    <row r="91" spans="2:31" ht="29.25" customHeight="1" x14ac:dyDescent="0.25">
      <c r="B91" s="7">
        <f t="shared" si="6"/>
        <v>61</v>
      </c>
      <c r="C91" s="4"/>
      <c r="D91" s="4"/>
      <c r="E91" s="4"/>
      <c r="F91" s="230" t="str">
        <f>IF('תנאי סף'!AO91&lt;&gt;1,"",'תנאי סף'!F91)</f>
        <v>אנסמבל גליל</v>
      </c>
      <c r="G91" s="6">
        <v>0</v>
      </c>
      <c r="H91" s="6">
        <v>1</v>
      </c>
      <c r="I91" s="6"/>
      <c r="J91" s="5"/>
      <c r="K91" s="6"/>
      <c r="L91" s="5"/>
      <c r="M91" s="6"/>
      <c r="N91" s="6"/>
      <c r="O91" s="158"/>
      <c r="P91" s="177"/>
      <c r="Q91" s="8"/>
      <c r="R91" s="8"/>
      <c r="S91" s="8"/>
      <c r="T91" s="8"/>
      <c r="U91" s="159">
        <f t="shared" si="7"/>
        <v>2</v>
      </c>
      <c r="V91" s="8">
        <v>1</v>
      </c>
      <c r="W91" s="8">
        <f t="shared" si="8"/>
        <v>2</v>
      </c>
      <c r="X91" s="8">
        <v>1</v>
      </c>
      <c r="Y91" s="8">
        <f t="shared" si="9"/>
        <v>2</v>
      </c>
      <c r="Z91" s="123">
        <f t="shared" si="10"/>
        <v>1.4705882352941176E-2</v>
      </c>
      <c r="AA91" s="192">
        <f t="shared" si="11"/>
        <v>1</v>
      </c>
      <c r="AB91" s="192">
        <f t="shared" si="15"/>
        <v>0</v>
      </c>
      <c r="AC91" s="192">
        <f t="shared" si="15"/>
        <v>1</v>
      </c>
      <c r="AD91" s="192">
        <f t="shared" si="13"/>
        <v>1</v>
      </c>
      <c r="AE91" s="192">
        <f t="shared" si="14"/>
        <v>1</v>
      </c>
    </row>
    <row r="92" spans="2:31" ht="29.25" customHeight="1" x14ac:dyDescent="0.25">
      <c r="B92" s="7">
        <f t="shared" si="6"/>
        <v>62</v>
      </c>
      <c r="C92" s="4"/>
      <c r="D92" s="4"/>
      <c r="E92" s="4"/>
      <c r="F92" s="230" t="str">
        <f>IF('תנאי סף'!AO92&lt;&gt;1,"",'תנאי סף'!F92)</f>
        <v>דריה- הרכב אינסטרומנטלי</v>
      </c>
      <c r="G92" s="6">
        <v>0</v>
      </c>
      <c r="H92" s="6">
        <v>1</v>
      </c>
      <c r="I92" s="6"/>
      <c r="J92" s="5"/>
      <c r="K92" s="6"/>
      <c r="L92" s="5"/>
      <c r="M92" s="6"/>
      <c r="N92" s="6"/>
      <c r="O92" s="158"/>
      <c r="P92" s="177"/>
      <c r="Q92" s="8"/>
      <c r="R92" s="8"/>
      <c r="S92" s="8"/>
      <c r="T92" s="8"/>
      <c r="U92" s="159">
        <f t="shared" si="7"/>
        <v>2</v>
      </c>
      <c r="V92" s="8">
        <v>1</v>
      </c>
      <c r="W92" s="8">
        <f t="shared" si="8"/>
        <v>2</v>
      </c>
      <c r="X92" s="8">
        <v>1</v>
      </c>
      <c r="Y92" s="8">
        <f t="shared" si="9"/>
        <v>2</v>
      </c>
      <c r="Z92" s="123">
        <f t="shared" si="10"/>
        <v>1.4705882352941176E-2</v>
      </c>
      <c r="AA92" s="192">
        <f t="shared" si="11"/>
        <v>1</v>
      </c>
      <c r="AB92" s="192">
        <f t="shared" ref="AB92:AC130" si="16">IF($F92="","",AB$30)</f>
        <v>0</v>
      </c>
      <c r="AC92" s="192">
        <f t="shared" si="16"/>
        <v>1</v>
      </c>
      <c r="AD92" s="192">
        <f t="shared" si="13"/>
        <v>1</v>
      </c>
      <c r="AE92" s="192">
        <f t="shared" si="14"/>
        <v>1</v>
      </c>
    </row>
    <row r="93" spans="2:31" ht="29.25" customHeight="1" x14ac:dyDescent="0.25">
      <c r="B93" s="7">
        <f t="shared" si="6"/>
        <v>63</v>
      </c>
      <c r="C93" s="4"/>
      <c r="D93" s="4"/>
      <c r="E93" s="4"/>
      <c r="F93" s="230" t="str">
        <f>IF('תנאי סף'!AO93&lt;&gt;1,"",'תנאי סף'!F93)</f>
        <v>להקת שלוש</v>
      </c>
      <c r="G93" s="6">
        <v>1</v>
      </c>
      <c r="H93" s="6">
        <v>1</v>
      </c>
      <c r="I93" s="6"/>
      <c r="J93" s="5"/>
      <c r="K93" s="6"/>
      <c r="L93" s="5"/>
      <c r="M93" s="6"/>
      <c r="N93" s="6"/>
      <c r="O93" s="158"/>
      <c r="P93" s="177"/>
      <c r="Q93" s="8"/>
      <c r="R93" s="8"/>
      <c r="S93" s="8"/>
      <c r="T93" s="8"/>
      <c r="U93" s="159">
        <f t="shared" si="7"/>
        <v>3</v>
      </c>
      <c r="V93" s="8">
        <v>1</v>
      </c>
      <c r="W93" s="8">
        <f t="shared" si="8"/>
        <v>3</v>
      </c>
      <c r="X93" s="8">
        <v>1</v>
      </c>
      <c r="Y93" s="8">
        <f t="shared" si="9"/>
        <v>3</v>
      </c>
      <c r="Z93" s="123">
        <f t="shared" si="10"/>
        <v>2.2058823529411766E-2</v>
      </c>
      <c r="AA93" s="192">
        <f t="shared" si="11"/>
        <v>1</v>
      </c>
      <c r="AB93" s="192">
        <f t="shared" si="16"/>
        <v>0</v>
      </c>
      <c r="AC93" s="192">
        <f t="shared" si="16"/>
        <v>1</v>
      </c>
      <c r="AD93" s="192">
        <f t="shared" si="13"/>
        <v>1</v>
      </c>
      <c r="AE93" s="192">
        <f t="shared" si="14"/>
        <v>1</v>
      </c>
    </row>
    <row r="94" spans="2:31" ht="29.25" customHeight="1" x14ac:dyDescent="0.25">
      <c r="B94" s="7">
        <f t="shared" si="6"/>
        <v>64</v>
      </c>
      <c r="C94" s="4"/>
      <c r="D94" s="4"/>
      <c r="E94" s="4"/>
      <c r="F94" s="230" t="str">
        <f>IF('תנאי סף'!AO94&lt;&gt;1,"",'תנאי סף'!F94)</f>
        <v>רביעיית טוסקאניני</v>
      </c>
      <c r="G94" s="6">
        <v>0</v>
      </c>
      <c r="H94" s="6">
        <v>0</v>
      </c>
      <c r="I94" s="6"/>
      <c r="J94" s="5"/>
      <c r="K94" s="6"/>
      <c r="L94" s="5"/>
      <c r="M94" s="6"/>
      <c r="N94" s="6"/>
      <c r="O94" s="158"/>
      <c r="P94" s="177"/>
      <c r="Q94" s="8"/>
      <c r="R94" s="8"/>
      <c r="S94" s="8"/>
      <c r="T94" s="8"/>
      <c r="U94" s="159">
        <f t="shared" si="7"/>
        <v>0</v>
      </c>
      <c r="V94" s="8">
        <v>1</v>
      </c>
      <c r="W94" s="8">
        <f t="shared" si="8"/>
        <v>0</v>
      </c>
      <c r="X94" s="8">
        <v>1</v>
      </c>
      <c r="Y94" s="8">
        <f t="shared" si="9"/>
        <v>0</v>
      </c>
      <c r="Z94" s="123">
        <f t="shared" si="10"/>
        <v>0</v>
      </c>
      <c r="AA94" s="192">
        <f t="shared" si="11"/>
        <v>1</v>
      </c>
      <c r="AB94" s="192">
        <f t="shared" si="16"/>
        <v>0</v>
      </c>
      <c r="AC94" s="192">
        <f t="shared" si="16"/>
        <v>1</v>
      </c>
      <c r="AD94" s="192">
        <f t="shared" si="13"/>
        <v>1</v>
      </c>
      <c r="AE94" s="192">
        <f t="shared" si="14"/>
        <v>1</v>
      </c>
    </row>
    <row r="95" spans="2:31" ht="29.25" customHeight="1" x14ac:dyDescent="0.25">
      <c r="B95" s="7">
        <f t="shared" si="6"/>
        <v>65</v>
      </c>
      <c r="C95" s="4"/>
      <c r="D95" s="4"/>
      <c r="E95" s="4"/>
      <c r="F95" s="230" t="str">
        <f>IF('תנאי סף'!AO95&lt;&gt;1,"",'תנאי סף'!F95)</f>
        <v>תקוע-קבוצה מוזיקלית - 'דאפה' 2024</v>
      </c>
      <c r="G95" s="6">
        <v>0</v>
      </c>
      <c r="H95" s="6">
        <v>1</v>
      </c>
      <c r="I95" s="6"/>
      <c r="J95" s="5"/>
      <c r="K95" s="6"/>
      <c r="L95" s="5"/>
      <c r="M95" s="6"/>
      <c r="N95" s="6"/>
      <c r="O95" s="158"/>
      <c r="P95" s="177"/>
      <c r="Q95" s="8"/>
      <c r="R95" s="8"/>
      <c r="S95" s="8"/>
      <c r="T95" s="8"/>
      <c r="U95" s="159">
        <f t="shared" si="7"/>
        <v>2</v>
      </c>
      <c r="V95" s="8">
        <v>1</v>
      </c>
      <c r="W95" s="8">
        <f t="shared" si="8"/>
        <v>2</v>
      </c>
      <c r="X95" s="8">
        <v>1</v>
      </c>
      <c r="Y95" s="8">
        <f t="shared" si="9"/>
        <v>2</v>
      </c>
      <c r="Z95" s="123">
        <f t="shared" si="10"/>
        <v>1.4705882352941176E-2</v>
      </c>
      <c r="AA95" s="192">
        <f t="shared" si="11"/>
        <v>1</v>
      </c>
      <c r="AB95" s="192">
        <f t="shared" si="16"/>
        <v>0</v>
      </c>
      <c r="AC95" s="192">
        <f t="shared" si="16"/>
        <v>1</v>
      </c>
      <c r="AD95" s="192">
        <f t="shared" si="13"/>
        <v>1</v>
      </c>
      <c r="AE95" s="192">
        <f t="shared" si="14"/>
        <v>1</v>
      </c>
    </row>
    <row r="96" spans="2:31" ht="29.25" customHeight="1" x14ac:dyDescent="0.25">
      <c r="B96" s="7">
        <f t="shared" ref="B96:B130" si="17">IF(F96="","",ROW()-30)</f>
        <v>66</v>
      </c>
      <c r="C96" s="4"/>
      <c r="D96" s="4"/>
      <c r="E96" s="4"/>
      <c r="F96" s="230" t="str">
        <f>IF('תנאי סף'!AO96&lt;&gt;1,"",'תנאי סף'!F96)</f>
        <v>טריו בן חיים</v>
      </c>
      <c r="G96" s="6">
        <v>0</v>
      </c>
      <c r="H96" s="6">
        <v>1</v>
      </c>
      <c r="I96" s="6"/>
      <c r="J96" s="5"/>
      <c r="K96" s="6"/>
      <c r="L96" s="5"/>
      <c r="M96" s="6"/>
      <c r="N96" s="6"/>
      <c r="O96" s="158"/>
      <c r="P96" s="177"/>
      <c r="Q96" s="8"/>
      <c r="R96" s="8"/>
      <c r="S96" s="8"/>
      <c r="T96" s="8"/>
      <c r="U96" s="159">
        <f t="shared" ref="U96:U130" si="18">IF($F96="","",IF($AA96&lt;&gt;1,$AB$1,G96*$G$5+H96*$G$6))</f>
        <v>2</v>
      </c>
      <c r="V96" s="8">
        <v>1</v>
      </c>
      <c r="W96" s="8">
        <f t="shared" ref="W96:W130" si="19">IF($F96="","",IF($AA96&lt;&gt;1,$AB$1,IFERROR(U96*V96,$AB$1)))</f>
        <v>2</v>
      </c>
      <c r="X96" s="8">
        <v>1</v>
      </c>
      <c r="Y96" s="8">
        <f t="shared" ref="Y96:Y130" si="20">IF($F96="","",IF($AA96&lt;&gt;1,$AB$1,IFERROR(W96*X96,$AB$1)))</f>
        <v>2</v>
      </c>
      <c r="Z96" s="123">
        <f t="shared" ref="Z96:Z130" si="21">IF($F96="","",IF(OR($AA96&lt;&gt;1,Y96=$AB$1),$AB$1,IFERROR(Y96/SUM($Y$31:$Y$130),0)))</f>
        <v>1.4705882352941176E-2</v>
      </c>
      <c r="AA96" s="192">
        <f t="shared" ref="AA96:AA130" si="22">IF(SUM(AD96:AV96)=COUNT(AD96:AV96),1,0)</f>
        <v>1</v>
      </c>
      <c r="AB96" s="192">
        <f t="shared" si="16"/>
        <v>0</v>
      </c>
      <c r="AC96" s="192">
        <f t="shared" si="16"/>
        <v>1</v>
      </c>
      <c r="AD96" s="192">
        <f t="shared" ref="AD96:AD130" si="23">IF(G$30="",1,IF(G96="",0,IFERROR(CHOOSE(AD$28,IF(ISNA(MATCH(G96,$AB$30:$AC$30,0)),0,1),IF(ISNUMBER(G96),1,0),IF(G96=TRUNC(G96),1,0),IF(AND(G96*1=G96,G96&gt;=0),1,0),IF(AND(G96=TRUNC(G96),G96&gt;=0),1,0),IF(AND(G96*1=G96,G96&gt;0),1,0),IF(AND(G96=TRUNC(G96),G96&gt;0),1,0),1,IF(ISNA(HLOOKUP(G96,$AE$4:$AN$4,1,0)),0,1)),0)))</f>
        <v>1</v>
      </c>
      <c r="AE96" s="192">
        <f t="shared" si="14"/>
        <v>1</v>
      </c>
    </row>
    <row r="97" spans="2:31" ht="29.25" customHeight="1" x14ac:dyDescent="0.25">
      <c r="B97" s="7" t="str">
        <f t="shared" si="17"/>
        <v/>
      </c>
      <c r="C97" s="4"/>
      <c r="D97" s="4"/>
      <c r="E97" s="4"/>
      <c r="F97" s="230" t="str">
        <f>IF('תנאי סף'!AO97&lt;&gt;1,"",'תנאי סף'!F97)</f>
        <v/>
      </c>
      <c r="G97" s="6"/>
      <c r="H97" s="6"/>
      <c r="I97" s="6"/>
      <c r="J97" s="5"/>
      <c r="K97" s="6"/>
      <c r="L97" s="5"/>
      <c r="M97" s="6"/>
      <c r="N97" s="6"/>
      <c r="O97" s="158"/>
      <c r="P97" s="177"/>
      <c r="Q97" s="8"/>
      <c r="R97" s="8"/>
      <c r="S97" s="8"/>
      <c r="T97" s="8"/>
      <c r="U97" s="159" t="str">
        <f t="shared" si="18"/>
        <v/>
      </c>
      <c r="V97" s="8">
        <v>1</v>
      </c>
      <c r="W97" s="8" t="str">
        <f t="shared" si="19"/>
        <v/>
      </c>
      <c r="X97" s="8">
        <v>1</v>
      </c>
      <c r="Y97" s="8" t="str">
        <f t="shared" si="20"/>
        <v/>
      </c>
      <c r="Z97" s="123" t="str">
        <f t="shared" si="21"/>
        <v/>
      </c>
      <c r="AA97" s="192">
        <f t="shared" si="22"/>
        <v>0</v>
      </c>
      <c r="AB97" s="192" t="str">
        <f t="shared" si="16"/>
        <v/>
      </c>
      <c r="AC97" s="192" t="str">
        <f t="shared" si="16"/>
        <v/>
      </c>
      <c r="AD97" s="192">
        <f t="shared" si="23"/>
        <v>0</v>
      </c>
      <c r="AE97" s="192">
        <f t="shared" si="14"/>
        <v>0</v>
      </c>
    </row>
    <row r="98" spans="2:31" ht="29.25" customHeight="1" x14ac:dyDescent="0.25">
      <c r="B98" s="7">
        <f t="shared" si="17"/>
        <v>68</v>
      </c>
      <c r="C98" s="4"/>
      <c r="D98" s="4"/>
      <c r="E98" s="4"/>
      <c r="F98" s="230" t="str">
        <f>IF('תנאי סף'!AO98&lt;&gt;1,"",'תנאי סף'!F98)</f>
        <v>אמיתי אריכא והפרויקט D1</v>
      </c>
      <c r="G98" s="6">
        <v>0</v>
      </c>
      <c r="H98" s="6">
        <v>0</v>
      </c>
      <c r="I98" s="6"/>
      <c r="J98" s="5"/>
      <c r="K98" s="6"/>
      <c r="L98" s="5"/>
      <c r="M98" s="6"/>
      <c r="N98" s="6"/>
      <c r="O98" s="158"/>
      <c r="P98" s="177"/>
      <c r="Q98" s="8"/>
      <c r="R98" s="8"/>
      <c r="S98" s="8"/>
      <c r="T98" s="8"/>
      <c r="U98" s="159">
        <f t="shared" si="18"/>
        <v>0</v>
      </c>
      <c r="V98" s="8">
        <v>1</v>
      </c>
      <c r="W98" s="8">
        <f t="shared" si="19"/>
        <v>0</v>
      </c>
      <c r="X98" s="8">
        <v>1</v>
      </c>
      <c r="Y98" s="8">
        <f t="shared" si="20"/>
        <v>0</v>
      </c>
      <c r="Z98" s="123">
        <f t="shared" si="21"/>
        <v>0</v>
      </c>
      <c r="AA98" s="192">
        <f t="shared" si="22"/>
        <v>1</v>
      </c>
      <c r="AB98" s="192">
        <f t="shared" si="16"/>
        <v>0</v>
      </c>
      <c r="AC98" s="192">
        <f t="shared" si="16"/>
        <v>1</v>
      </c>
      <c r="AD98" s="192">
        <f t="shared" si="23"/>
        <v>1</v>
      </c>
      <c r="AE98" s="192">
        <f t="shared" si="14"/>
        <v>1</v>
      </c>
    </row>
    <row r="99" spans="2:31" x14ac:dyDescent="0.25">
      <c r="B99" s="7" t="str">
        <f t="shared" si="17"/>
        <v/>
      </c>
      <c r="C99" s="4"/>
      <c r="D99" s="4"/>
      <c r="E99" s="4"/>
      <c r="F99" s="230" t="str">
        <f>IF('תנאי סף'!AO99&lt;&gt;1,"",'תנאי סף'!F99)</f>
        <v/>
      </c>
      <c r="G99" s="6"/>
      <c r="H99" s="6"/>
      <c r="I99" s="6"/>
      <c r="J99" s="5"/>
      <c r="K99" s="6"/>
      <c r="L99" s="5"/>
      <c r="M99" s="6"/>
      <c r="N99" s="6"/>
      <c r="O99" s="158"/>
      <c r="P99" s="177"/>
      <c r="Q99" s="8"/>
      <c r="R99" s="8"/>
      <c r="S99" s="8"/>
      <c r="T99" s="8"/>
      <c r="U99" s="159" t="str">
        <f t="shared" si="18"/>
        <v/>
      </c>
      <c r="V99" s="8">
        <v>1</v>
      </c>
      <c r="W99" s="8" t="str">
        <f t="shared" si="19"/>
        <v/>
      </c>
      <c r="X99" s="8">
        <v>1</v>
      </c>
      <c r="Y99" s="8" t="str">
        <f t="shared" si="20"/>
        <v/>
      </c>
      <c r="Z99" s="123" t="str">
        <f t="shared" si="21"/>
        <v/>
      </c>
      <c r="AA99" s="192">
        <f t="shared" si="22"/>
        <v>0</v>
      </c>
      <c r="AB99" s="192" t="str">
        <f t="shared" si="16"/>
        <v/>
      </c>
      <c r="AC99" s="192" t="str">
        <f t="shared" si="16"/>
        <v/>
      </c>
      <c r="AD99" s="192">
        <f t="shared" si="23"/>
        <v>0</v>
      </c>
      <c r="AE99" s="192">
        <f t="shared" si="14"/>
        <v>0</v>
      </c>
    </row>
    <row r="100" spans="2:31" x14ac:dyDescent="0.25">
      <c r="B100" s="7" t="str">
        <f t="shared" si="17"/>
        <v/>
      </c>
      <c r="C100" s="4"/>
      <c r="D100" s="4"/>
      <c r="E100" s="4"/>
      <c r="F100" s="230" t="str">
        <f>IF('תנאי סף'!AO100&lt;&gt;1,"",'תנאי סף'!F100)</f>
        <v/>
      </c>
      <c r="G100" s="6"/>
      <c r="H100" s="6"/>
      <c r="I100" s="6"/>
      <c r="J100" s="5"/>
      <c r="K100" s="6"/>
      <c r="L100" s="5"/>
      <c r="M100" s="6"/>
      <c r="N100" s="6"/>
      <c r="O100" s="158"/>
      <c r="P100" s="177"/>
      <c r="Q100" s="8"/>
      <c r="R100" s="8"/>
      <c r="S100" s="8"/>
      <c r="T100" s="8"/>
      <c r="U100" s="159" t="str">
        <f t="shared" si="18"/>
        <v/>
      </c>
      <c r="V100" s="8">
        <v>1</v>
      </c>
      <c r="W100" s="8" t="str">
        <f t="shared" si="19"/>
        <v/>
      </c>
      <c r="X100" s="8">
        <v>1</v>
      </c>
      <c r="Y100" s="8" t="str">
        <f t="shared" si="20"/>
        <v/>
      </c>
      <c r="Z100" s="123" t="str">
        <f t="shared" si="21"/>
        <v/>
      </c>
      <c r="AA100" s="192">
        <f t="shared" si="22"/>
        <v>0</v>
      </c>
      <c r="AB100" s="192" t="str">
        <f t="shared" si="16"/>
        <v/>
      </c>
      <c r="AC100" s="192" t="str">
        <f t="shared" si="16"/>
        <v/>
      </c>
      <c r="AD100" s="192">
        <f t="shared" si="23"/>
        <v>0</v>
      </c>
      <c r="AE100" s="192">
        <f t="shared" si="14"/>
        <v>0</v>
      </c>
    </row>
    <row r="101" spans="2:31" x14ac:dyDescent="0.25">
      <c r="B101" s="7" t="str">
        <f t="shared" si="17"/>
        <v/>
      </c>
      <c r="C101" s="4"/>
      <c r="D101" s="4"/>
      <c r="E101" s="4"/>
      <c r="F101" s="230" t="str">
        <f>IF('תנאי סף'!AO101&lt;&gt;1,"",'תנאי סף'!F101)</f>
        <v/>
      </c>
      <c r="G101" s="6"/>
      <c r="H101" s="6"/>
      <c r="I101" s="6"/>
      <c r="J101" s="5"/>
      <c r="K101" s="6"/>
      <c r="L101" s="5"/>
      <c r="M101" s="6"/>
      <c r="N101" s="6"/>
      <c r="O101" s="158"/>
      <c r="P101" s="177"/>
      <c r="Q101" s="8"/>
      <c r="R101" s="8"/>
      <c r="S101" s="8"/>
      <c r="T101" s="8"/>
      <c r="U101" s="159" t="str">
        <f t="shared" si="18"/>
        <v/>
      </c>
      <c r="V101" s="8">
        <v>1</v>
      </c>
      <c r="W101" s="8" t="str">
        <f t="shared" si="19"/>
        <v/>
      </c>
      <c r="X101" s="8">
        <v>1</v>
      </c>
      <c r="Y101" s="8" t="str">
        <f t="shared" si="20"/>
        <v/>
      </c>
      <c r="Z101" s="123" t="str">
        <f t="shared" si="21"/>
        <v/>
      </c>
      <c r="AA101" s="192">
        <f t="shared" si="22"/>
        <v>0</v>
      </c>
      <c r="AB101" s="192" t="str">
        <f t="shared" si="16"/>
        <v/>
      </c>
      <c r="AC101" s="192" t="str">
        <f t="shared" si="16"/>
        <v/>
      </c>
      <c r="AD101" s="192">
        <f t="shared" si="23"/>
        <v>0</v>
      </c>
      <c r="AE101" s="192">
        <f t="shared" si="14"/>
        <v>0</v>
      </c>
    </row>
    <row r="102" spans="2:31" x14ac:dyDescent="0.25">
      <c r="B102" s="7" t="str">
        <f t="shared" si="17"/>
        <v/>
      </c>
      <c r="C102" s="4"/>
      <c r="D102" s="4"/>
      <c r="E102" s="4"/>
      <c r="F102" s="230" t="str">
        <f>IF('תנאי סף'!AO102&lt;&gt;1,"",'תנאי סף'!F102)</f>
        <v/>
      </c>
      <c r="G102" s="6"/>
      <c r="H102" s="6"/>
      <c r="I102" s="6"/>
      <c r="J102" s="5"/>
      <c r="K102" s="6"/>
      <c r="L102" s="5"/>
      <c r="M102" s="6"/>
      <c r="N102" s="6"/>
      <c r="O102" s="158"/>
      <c r="P102" s="177"/>
      <c r="Q102" s="8"/>
      <c r="R102" s="8"/>
      <c r="S102" s="8"/>
      <c r="T102" s="8"/>
      <c r="U102" s="159" t="str">
        <f t="shared" si="18"/>
        <v/>
      </c>
      <c r="V102" s="8">
        <v>1</v>
      </c>
      <c r="W102" s="8" t="str">
        <f t="shared" si="19"/>
        <v/>
      </c>
      <c r="X102" s="8">
        <v>1</v>
      </c>
      <c r="Y102" s="8" t="str">
        <f t="shared" si="20"/>
        <v/>
      </c>
      <c r="Z102" s="123" t="str">
        <f t="shared" si="21"/>
        <v/>
      </c>
      <c r="AA102" s="192">
        <f t="shared" si="22"/>
        <v>0</v>
      </c>
      <c r="AB102" s="192" t="str">
        <f t="shared" si="16"/>
        <v/>
      </c>
      <c r="AC102" s="192" t="str">
        <f t="shared" si="16"/>
        <v/>
      </c>
      <c r="AD102" s="192">
        <f t="shared" si="23"/>
        <v>0</v>
      </c>
      <c r="AE102" s="192">
        <f t="shared" si="14"/>
        <v>0</v>
      </c>
    </row>
    <row r="103" spans="2:31" x14ac:dyDescent="0.25">
      <c r="B103" s="7" t="str">
        <f t="shared" si="17"/>
        <v/>
      </c>
      <c r="C103" s="4"/>
      <c r="D103" s="4"/>
      <c r="E103" s="4"/>
      <c r="F103" s="230" t="str">
        <f>IF('תנאי סף'!AO103&lt;&gt;1,"",'תנאי סף'!F103)</f>
        <v/>
      </c>
      <c r="G103" s="6"/>
      <c r="H103" s="6"/>
      <c r="I103" s="6"/>
      <c r="J103" s="5"/>
      <c r="K103" s="6"/>
      <c r="L103" s="5"/>
      <c r="M103" s="6"/>
      <c r="N103" s="6"/>
      <c r="O103" s="158"/>
      <c r="P103" s="177"/>
      <c r="Q103" s="8"/>
      <c r="R103" s="8"/>
      <c r="S103" s="8"/>
      <c r="T103" s="8"/>
      <c r="U103" s="159" t="str">
        <f t="shared" si="18"/>
        <v/>
      </c>
      <c r="V103" s="8">
        <v>1</v>
      </c>
      <c r="W103" s="8" t="str">
        <f t="shared" si="19"/>
        <v/>
      </c>
      <c r="X103" s="8">
        <v>1</v>
      </c>
      <c r="Y103" s="8" t="str">
        <f t="shared" si="20"/>
        <v/>
      </c>
      <c r="Z103" s="123" t="str">
        <f t="shared" si="21"/>
        <v/>
      </c>
      <c r="AA103" s="192">
        <f t="shared" si="22"/>
        <v>0</v>
      </c>
      <c r="AB103" s="192" t="str">
        <f t="shared" si="16"/>
        <v/>
      </c>
      <c r="AC103" s="192" t="str">
        <f t="shared" si="16"/>
        <v/>
      </c>
      <c r="AD103" s="192">
        <f t="shared" si="23"/>
        <v>0</v>
      </c>
      <c r="AE103" s="192">
        <f t="shared" si="14"/>
        <v>0</v>
      </c>
    </row>
    <row r="104" spans="2:31" x14ac:dyDescent="0.25">
      <c r="B104" s="7" t="str">
        <f t="shared" si="17"/>
        <v/>
      </c>
      <c r="C104" s="4"/>
      <c r="D104" s="4"/>
      <c r="E104" s="4"/>
      <c r="F104" s="230" t="str">
        <f>IF('תנאי סף'!AO104&lt;&gt;1,"",'תנאי סף'!F104)</f>
        <v/>
      </c>
      <c r="G104" s="6"/>
      <c r="H104" s="6"/>
      <c r="I104" s="6"/>
      <c r="J104" s="5"/>
      <c r="K104" s="6"/>
      <c r="L104" s="5"/>
      <c r="M104" s="6"/>
      <c r="N104" s="6"/>
      <c r="O104" s="158"/>
      <c r="P104" s="177"/>
      <c r="Q104" s="8"/>
      <c r="R104" s="8"/>
      <c r="S104" s="8"/>
      <c r="T104" s="8"/>
      <c r="U104" s="159" t="str">
        <f t="shared" si="18"/>
        <v/>
      </c>
      <c r="V104" s="8">
        <v>1</v>
      </c>
      <c r="W104" s="8" t="str">
        <f t="shared" si="19"/>
        <v/>
      </c>
      <c r="X104" s="8">
        <v>1</v>
      </c>
      <c r="Y104" s="8" t="str">
        <f t="shared" si="20"/>
        <v/>
      </c>
      <c r="Z104" s="123" t="str">
        <f t="shared" si="21"/>
        <v/>
      </c>
      <c r="AA104" s="192">
        <f t="shared" si="22"/>
        <v>0</v>
      </c>
      <c r="AB104" s="192" t="str">
        <f t="shared" si="16"/>
        <v/>
      </c>
      <c r="AC104" s="192" t="str">
        <f t="shared" si="16"/>
        <v/>
      </c>
      <c r="AD104" s="192">
        <f t="shared" si="23"/>
        <v>0</v>
      </c>
      <c r="AE104" s="192">
        <f t="shared" si="14"/>
        <v>0</v>
      </c>
    </row>
    <row r="105" spans="2:31" x14ac:dyDescent="0.25">
      <c r="B105" s="7">
        <f t="shared" si="17"/>
        <v>75</v>
      </c>
      <c r="C105" s="4"/>
      <c r="D105" s="4"/>
      <c r="E105" s="4"/>
      <c r="F105" s="230" t="str">
        <f>IF('תנאי סף'!AO105&lt;&gt;1,"",'תנאי סף'!F105)</f>
        <v>לבונטין 7</v>
      </c>
      <c r="G105" s="6">
        <v>2</v>
      </c>
      <c r="H105" s="6">
        <v>2</v>
      </c>
      <c r="I105" s="6"/>
      <c r="J105" s="5"/>
      <c r="K105" s="6"/>
      <c r="L105" s="5"/>
      <c r="M105" s="6"/>
      <c r="N105" s="6"/>
      <c r="O105" s="158"/>
      <c r="P105" s="177"/>
      <c r="Q105" s="8"/>
      <c r="R105" s="8"/>
      <c r="S105" s="8"/>
      <c r="T105" s="8"/>
      <c r="U105" s="159">
        <f t="shared" si="18"/>
        <v>6</v>
      </c>
      <c r="V105" s="8">
        <v>1</v>
      </c>
      <c r="W105" s="8">
        <f t="shared" si="19"/>
        <v>6</v>
      </c>
      <c r="X105" s="8">
        <v>1</v>
      </c>
      <c r="Y105" s="8">
        <f t="shared" si="20"/>
        <v>6</v>
      </c>
      <c r="Z105" s="123">
        <f t="shared" si="21"/>
        <v>4.4117647058823532E-2</v>
      </c>
      <c r="AA105" s="192">
        <f t="shared" si="22"/>
        <v>1</v>
      </c>
      <c r="AB105" s="192">
        <f t="shared" si="16"/>
        <v>0</v>
      </c>
      <c r="AC105" s="192">
        <f t="shared" si="16"/>
        <v>1</v>
      </c>
      <c r="AD105" s="192">
        <f t="shared" si="23"/>
        <v>1</v>
      </c>
      <c r="AE105" s="192">
        <f t="shared" si="14"/>
        <v>1</v>
      </c>
    </row>
    <row r="106" spans="2:31" x14ac:dyDescent="0.25">
      <c r="B106" s="7">
        <f t="shared" si="17"/>
        <v>76</v>
      </c>
      <c r="C106" s="4"/>
      <c r="D106" s="4"/>
      <c r="E106" s="4"/>
      <c r="F106" s="230" t="str">
        <f>IF('תנאי סף'!AO106&lt;&gt;1,"",'תנאי סף'!F106)</f>
        <v>מולטי פיאנו- פליציה בלומנטל</v>
      </c>
      <c r="G106" s="6">
        <v>0</v>
      </c>
      <c r="H106" s="6">
        <v>1</v>
      </c>
      <c r="I106" s="6"/>
      <c r="J106" s="5"/>
      <c r="K106" s="6"/>
      <c r="L106" s="5"/>
      <c r="M106" s="6"/>
      <c r="N106" s="6"/>
      <c r="O106" s="158"/>
      <c r="P106" s="177"/>
      <c r="Q106" s="8"/>
      <c r="R106" s="8"/>
      <c r="S106" s="8"/>
      <c r="T106" s="8"/>
      <c r="U106" s="159">
        <f t="shared" si="18"/>
        <v>2</v>
      </c>
      <c r="V106" s="8">
        <v>1</v>
      </c>
      <c r="W106" s="8">
        <f t="shared" si="19"/>
        <v>2</v>
      </c>
      <c r="X106" s="8">
        <v>1</v>
      </c>
      <c r="Y106" s="8">
        <f t="shared" si="20"/>
        <v>2</v>
      </c>
      <c r="Z106" s="123">
        <f t="shared" si="21"/>
        <v>1.4705882352941176E-2</v>
      </c>
      <c r="AA106" s="192">
        <f t="shared" si="22"/>
        <v>1</v>
      </c>
      <c r="AB106" s="192">
        <f t="shared" si="16"/>
        <v>0</v>
      </c>
      <c r="AC106" s="192">
        <f t="shared" si="16"/>
        <v>1</v>
      </c>
      <c r="AD106" s="192">
        <f t="shared" si="23"/>
        <v>1</v>
      </c>
      <c r="AE106" s="192">
        <f t="shared" si="14"/>
        <v>1</v>
      </c>
    </row>
    <row r="107" spans="2:31" x14ac:dyDescent="0.25">
      <c r="B107" s="7">
        <f t="shared" si="17"/>
        <v>77</v>
      </c>
      <c r="C107" s="4"/>
      <c r="D107" s="4"/>
      <c r="E107" s="4"/>
      <c r="F107" s="230" t="str">
        <f>IF('תנאי סף'!AO107&lt;&gt;1,"",'תנאי סף'!F107)</f>
        <v>ארמון בזמן - העמותה לתרבות רב תחומית</v>
      </c>
      <c r="G107" s="6">
        <v>0</v>
      </c>
      <c r="H107" s="6">
        <v>3</v>
      </c>
      <c r="I107" s="6"/>
      <c r="J107" s="5"/>
      <c r="K107" s="6"/>
      <c r="L107" s="5"/>
      <c r="M107" s="6"/>
      <c r="N107" s="6"/>
      <c r="O107" s="158"/>
      <c r="P107" s="177"/>
      <c r="Q107" s="8"/>
      <c r="R107" s="8"/>
      <c r="S107" s="8"/>
      <c r="T107" s="8"/>
      <c r="U107" s="159">
        <f t="shared" si="18"/>
        <v>6</v>
      </c>
      <c r="V107" s="8">
        <v>1</v>
      </c>
      <c r="W107" s="8">
        <f t="shared" si="19"/>
        <v>6</v>
      </c>
      <c r="X107" s="8">
        <v>1</v>
      </c>
      <c r="Y107" s="8">
        <f t="shared" si="20"/>
        <v>6</v>
      </c>
      <c r="Z107" s="123">
        <f t="shared" si="21"/>
        <v>4.4117647058823532E-2</v>
      </c>
      <c r="AA107" s="192">
        <f t="shared" si="22"/>
        <v>1</v>
      </c>
      <c r="AB107" s="192">
        <f t="shared" si="16"/>
        <v>0</v>
      </c>
      <c r="AC107" s="192">
        <f t="shared" si="16"/>
        <v>1</v>
      </c>
      <c r="AD107" s="192">
        <f t="shared" si="23"/>
        <v>1</v>
      </c>
      <c r="AE107" s="192">
        <f t="shared" si="14"/>
        <v>1</v>
      </c>
    </row>
    <row r="108" spans="2:31" x14ac:dyDescent="0.25">
      <c r="B108" s="7" t="str">
        <f t="shared" si="17"/>
        <v/>
      </c>
      <c r="C108" s="4"/>
      <c r="D108" s="4"/>
      <c r="E108" s="4"/>
      <c r="F108" s="230" t="str">
        <f>IF('תנאי סף'!AO108&lt;&gt;1,"",'תנאי סף'!F108)</f>
        <v/>
      </c>
      <c r="G108" s="6"/>
      <c r="H108" s="6"/>
      <c r="I108" s="6"/>
      <c r="J108" s="5"/>
      <c r="K108" s="6"/>
      <c r="L108" s="5"/>
      <c r="M108" s="6"/>
      <c r="N108" s="6"/>
      <c r="O108" s="158"/>
      <c r="P108" s="177"/>
      <c r="Q108" s="8"/>
      <c r="R108" s="8"/>
      <c r="S108" s="8"/>
      <c r="T108" s="8"/>
      <c r="U108" s="159" t="str">
        <f t="shared" si="18"/>
        <v/>
      </c>
      <c r="V108" s="8">
        <v>1</v>
      </c>
      <c r="W108" s="8" t="str">
        <f t="shared" si="19"/>
        <v/>
      </c>
      <c r="X108" s="8">
        <v>1</v>
      </c>
      <c r="Y108" s="8" t="str">
        <f t="shared" si="20"/>
        <v/>
      </c>
      <c r="Z108" s="123" t="str">
        <f t="shared" si="21"/>
        <v/>
      </c>
      <c r="AA108" s="192">
        <f t="shared" si="22"/>
        <v>0</v>
      </c>
      <c r="AB108" s="192" t="str">
        <f t="shared" si="16"/>
        <v/>
      </c>
      <c r="AC108" s="192" t="str">
        <f t="shared" si="16"/>
        <v/>
      </c>
      <c r="AD108" s="192">
        <f t="shared" si="23"/>
        <v>0</v>
      </c>
      <c r="AE108" s="192">
        <f t="shared" si="14"/>
        <v>0</v>
      </c>
    </row>
    <row r="109" spans="2:31" x14ac:dyDescent="0.25">
      <c r="B109" s="7" t="str">
        <f t="shared" si="17"/>
        <v/>
      </c>
      <c r="C109" s="4"/>
      <c r="D109" s="4"/>
      <c r="E109" s="4"/>
      <c r="F109" s="230" t="str">
        <f>IF('תנאי סף'!AO109&lt;&gt;1,"",'תנאי סף'!F109)</f>
        <v/>
      </c>
      <c r="G109" s="6"/>
      <c r="H109" s="6"/>
      <c r="I109" s="6"/>
      <c r="J109" s="5"/>
      <c r="K109" s="6"/>
      <c r="L109" s="5"/>
      <c r="M109" s="6"/>
      <c r="N109" s="6"/>
      <c r="O109" s="158"/>
      <c r="P109" s="177"/>
      <c r="Q109" s="8"/>
      <c r="R109" s="8"/>
      <c r="S109" s="8"/>
      <c r="T109" s="8"/>
      <c r="U109" s="159" t="str">
        <f t="shared" si="18"/>
        <v/>
      </c>
      <c r="V109" s="8">
        <v>1</v>
      </c>
      <c r="W109" s="8" t="str">
        <f t="shared" si="19"/>
        <v/>
      </c>
      <c r="X109" s="8">
        <v>1</v>
      </c>
      <c r="Y109" s="8" t="str">
        <f t="shared" si="20"/>
        <v/>
      </c>
      <c r="Z109" s="123" t="str">
        <f t="shared" si="21"/>
        <v/>
      </c>
      <c r="AA109" s="192">
        <f t="shared" si="22"/>
        <v>0</v>
      </c>
      <c r="AB109" s="192" t="str">
        <f t="shared" si="16"/>
        <v/>
      </c>
      <c r="AC109" s="192" t="str">
        <f t="shared" si="16"/>
        <v/>
      </c>
      <c r="AD109" s="192">
        <f t="shared" si="23"/>
        <v>0</v>
      </c>
      <c r="AE109" s="192">
        <f t="shared" si="14"/>
        <v>0</v>
      </c>
    </row>
    <row r="110" spans="2:31" x14ac:dyDescent="0.25">
      <c r="B110" s="7" t="str">
        <f t="shared" si="17"/>
        <v/>
      </c>
      <c r="C110" s="4"/>
      <c r="D110" s="4"/>
      <c r="E110" s="4"/>
      <c r="F110" s="230" t="str">
        <f>IF('תנאי סף'!AO110&lt;&gt;1,"",'תנאי סף'!F110)</f>
        <v/>
      </c>
      <c r="G110" s="6"/>
      <c r="H110" s="6"/>
      <c r="I110" s="6"/>
      <c r="J110" s="5"/>
      <c r="K110" s="6"/>
      <c r="L110" s="5"/>
      <c r="M110" s="6"/>
      <c r="N110" s="6"/>
      <c r="O110" s="158"/>
      <c r="P110" s="177"/>
      <c r="Q110" s="8"/>
      <c r="R110" s="8"/>
      <c r="S110" s="8"/>
      <c r="T110" s="8"/>
      <c r="U110" s="159" t="str">
        <f t="shared" si="18"/>
        <v/>
      </c>
      <c r="V110" s="8">
        <v>1</v>
      </c>
      <c r="W110" s="8" t="str">
        <f t="shared" si="19"/>
        <v/>
      </c>
      <c r="X110" s="8">
        <v>1</v>
      </c>
      <c r="Y110" s="8" t="str">
        <f t="shared" si="20"/>
        <v/>
      </c>
      <c r="Z110" s="123" t="str">
        <f t="shared" si="21"/>
        <v/>
      </c>
      <c r="AA110" s="192">
        <f t="shared" si="22"/>
        <v>0</v>
      </c>
      <c r="AB110" s="192" t="str">
        <f t="shared" si="16"/>
        <v/>
      </c>
      <c r="AC110" s="192" t="str">
        <f t="shared" si="16"/>
        <v/>
      </c>
      <c r="AD110" s="192">
        <f t="shared" si="23"/>
        <v>0</v>
      </c>
      <c r="AE110" s="192">
        <f t="shared" ref="AE110:AE130" si="24">IF(H$30="",1,IF(H110="",0,IFERROR(CHOOSE(AE$28,IF(ISNA(MATCH(H110,$AB$30:$AC$30,0)),0,1),IF(ISNUMBER(H110),1,0),IF(H110=TRUNC(H110),1,0),IF(AND(H110*1=H110,H110&gt;=0),1,0),IF(AND(H110=TRUNC(H110),H110&gt;=0),1,0),IF(AND(H110*1=H110,H110&gt;0),1,0),IF(AND(H110=TRUNC(H110),H110&gt;0),1,0),1,IF(ISNA(HLOOKUP(H110,$AE$4:$AN$4,1,0)),0,1)),0)))</f>
        <v>0</v>
      </c>
    </row>
    <row r="111" spans="2:31" x14ac:dyDescent="0.25">
      <c r="B111" s="7" t="str">
        <f t="shared" si="17"/>
        <v/>
      </c>
      <c r="C111" s="4"/>
      <c r="D111" s="4"/>
      <c r="E111" s="4"/>
      <c r="F111" s="230" t="str">
        <f>IF('תנאי סף'!AO111&lt;&gt;1,"",'תנאי סף'!F111)</f>
        <v/>
      </c>
      <c r="G111" s="6"/>
      <c r="H111" s="6"/>
      <c r="I111" s="6"/>
      <c r="J111" s="5"/>
      <c r="K111" s="6"/>
      <c r="L111" s="5"/>
      <c r="M111" s="6"/>
      <c r="N111" s="6"/>
      <c r="O111" s="158"/>
      <c r="P111" s="177"/>
      <c r="Q111" s="8"/>
      <c r="R111" s="8"/>
      <c r="S111" s="8"/>
      <c r="T111" s="8"/>
      <c r="U111" s="159" t="str">
        <f t="shared" si="18"/>
        <v/>
      </c>
      <c r="V111" s="8">
        <v>1</v>
      </c>
      <c r="W111" s="8" t="str">
        <f t="shared" si="19"/>
        <v/>
      </c>
      <c r="X111" s="8">
        <v>1</v>
      </c>
      <c r="Y111" s="8" t="str">
        <f t="shared" si="20"/>
        <v/>
      </c>
      <c r="Z111" s="123" t="str">
        <f t="shared" si="21"/>
        <v/>
      </c>
      <c r="AA111" s="192">
        <f t="shared" si="22"/>
        <v>0</v>
      </c>
      <c r="AB111" s="192" t="str">
        <f t="shared" si="16"/>
        <v/>
      </c>
      <c r="AC111" s="192" t="str">
        <f t="shared" si="16"/>
        <v/>
      </c>
      <c r="AD111" s="192">
        <f t="shared" si="23"/>
        <v>0</v>
      </c>
      <c r="AE111" s="192">
        <f t="shared" si="24"/>
        <v>0</v>
      </c>
    </row>
    <row r="112" spans="2:31" x14ac:dyDescent="0.25">
      <c r="B112" s="7" t="str">
        <f t="shared" si="17"/>
        <v/>
      </c>
      <c r="C112" s="4"/>
      <c r="D112" s="4"/>
      <c r="E112" s="4"/>
      <c r="F112" s="230" t="str">
        <f>IF('תנאי סף'!AO112&lt;&gt;1,"",'תנאי סף'!F112)</f>
        <v/>
      </c>
      <c r="G112" s="6"/>
      <c r="H112" s="6"/>
      <c r="I112" s="6"/>
      <c r="J112" s="5"/>
      <c r="K112" s="6"/>
      <c r="L112" s="5"/>
      <c r="M112" s="6"/>
      <c r="N112" s="6"/>
      <c r="O112" s="158"/>
      <c r="P112" s="177"/>
      <c r="Q112" s="8"/>
      <c r="R112" s="8"/>
      <c r="S112" s="8"/>
      <c r="T112" s="8"/>
      <c r="U112" s="159" t="str">
        <f t="shared" si="18"/>
        <v/>
      </c>
      <c r="V112" s="8">
        <v>1</v>
      </c>
      <c r="W112" s="8" t="str">
        <f t="shared" si="19"/>
        <v/>
      </c>
      <c r="X112" s="8">
        <v>1</v>
      </c>
      <c r="Y112" s="8" t="str">
        <f t="shared" si="20"/>
        <v/>
      </c>
      <c r="Z112" s="123" t="str">
        <f t="shared" si="21"/>
        <v/>
      </c>
      <c r="AA112" s="192">
        <f t="shared" si="22"/>
        <v>0</v>
      </c>
      <c r="AB112" s="192" t="str">
        <f t="shared" si="16"/>
        <v/>
      </c>
      <c r="AC112" s="192" t="str">
        <f t="shared" si="16"/>
        <v/>
      </c>
      <c r="AD112" s="192">
        <f t="shared" si="23"/>
        <v>0</v>
      </c>
      <c r="AE112" s="192">
        <f t="shared" si="24"/>
        <v>0</v>
      </c>
    </row>
    <row r="113" spans="2:31" x14ac:dyDescent="0.25">
      <c r="B113" s="7" t="str">
        <f t="shared" si="17"/>
        <v/>
      </c>
      <c r="C113" s="4"/>
      <c r="D113" s="4"/>
      <c r="E113" s="4"/>
      <c r="F113" s="230" t="str">
        <f>IF('תנאי סף'!AO113&lt;&gt;1,"",'תנאי סף'!F113)</f>
        <v/>
      </c>
      <c r="G113" s="6"/>
      <c r="H113" s="6"/>
      <c r="I113" s="6"/>
      <c r="J113" s="5"/>
      <c r="K113" s="6"/>
      <c r="L113" s="5"/>
      <c r="M113" s="6"/>
      <c r="N113" s="6"/>
      <c r="O113" s="158"/>
      <c r="P113" s="177"/>
      <c r="Q113" s="8"/>
      <c r="R113" s="8"/>
      <c r="S113" s="8"/>
      <c r="T113" s="8"/>
      <c r="U113" s="159" t="str">
        <f t="shared" si="18"/>
        <v/>
      </c>
      <c r="V113" s="8">
        <v>1</v>
      </c>
      <c r="W113" s="8" t="str">
        <f t="shared" si="19"/>
        <v/>
      </c>
      <c r="X113" s="8">
        <v>1</v>
      </c>
      <c r="Y113" s="8" t="str">
        <f t="shared" si="20"/>
        <v/>
      </c>
      <c r="Z113" s="123" t="str">
        <f t="shared" si="21"/>
        <v/>
      </c>
      <c r="AA113" s="192">
        <f t="shared" si="22"/>
        <v>0</v>
      </c>
      <c r="AB113" s="192" t="str">
        <f t="shared" si="16"/>
        <v/>
      </c>
      <c r="AC113" s="192" t="str">
        <f t="shared" si="16"/>
        <v/>
      </c>
      <c r="AD113" s="192">
        <f t="shared" si="23"/>
        <v>0</v>
      </c>
      <c r="AE113" s="192">
        <f t="shared" si="24"/>
        <v>0</v>
      </c>
    </row>
    <row r="114" spans="2:31" x14ac:dyDescent="0.25">
      <c r="B114" s="7" t="str">
        <f t="shared" si="17"/>
        <v/>
      </c>
      <c r="C114" s="4"/>
      <c r="D114" s="4"/>
      <c r="E114" s="4"/>
      <c r="F114" s="230" t="str">
        <f>IF('תנאי סף'!AO114&lt;&gt;1,"",'תנאי סף'!F114)</f>
        <v/>
      </c>
      <c r="G114" s="6"/>
      <c r="H114" s="6"/>
      <c r="I114" s="6"/>
      <c r="J114" s="5"/>
      <c r="K114" s="6"/>
      <c r="L114" s="5"/>
      <c r="M114" s="6"/>
      <c r="N114" s="6"/>
      <c r="O114" s="158"/>
      <c r="P114" s="177"/>
      <c r="Q114" s="8"/>
      <c r="R114" s="8"/>
      <c r="S114" s="8"/>
      <c r="T114" s="8"/>
      <c r="U114" s="159" t="str">
        <f t="shared" si="18"/>
        <v/>
      </c>
      <c r="V114" s="8">
        <v>1</v>
      </c>
      <c r="W114" s="8" t="str">
        <f t="shared" si="19"/>
        <v/>
      </c>
      <c r="X114" s="8">
        <v>1</v>
      </c>
      <c r="Y114" s="8" t="str">
        <f t="shared" si="20"/>
        <v/>
      </c>
      <c r="Z114" s="123" t="str">
        <f t="shared" si="21"/>
        <v/>
      </c>
      <c r="AA114" s="192">
        <f t="shared" si="22"/>
        <v>0</v>
      </c>
      <c r="AB114" s="192" t="str">
        <f t="shared" si="16"/>
        <v/>
      </c>
      <c r="AC114" s="192" t="str">
        <f t="shared" si="16"/>
        <v/>
      </c>
      <c r="AD114" s="192">
        <f t="shared" si="23"/>
        <v>0</v>
      </c>
      <c r="AE114" s="192">
        <f t="shared" si="24"/>
        <v>0</v>
      </c>
    </row>
    <row r="115" spans="2:31" x14ac:dyDescent="0.25">
      <c r="B115" s="7" t="str">
        <f t="shared" si="17"/>
        <v/>
      </c>
      <c r="C115" s="4"/>
      <c r="D115" s="4"/>
      <c r="E115" s="4"/>
      <c r="F115" s="230" t="str">
        <f>IF('תנאי סף'!AO115&lt;&gt;1,"",'תנאי סף'!F115)</f>
        <v/>
      </c>
      <c r="G115" s="6"/>
      <c r="H115" s="6"/>
      <c r="I115" s="6"/>
      <c r="J115" s="5"/>
      <c r="K115" s="6"/>
      <c r="L115" s="5"/>
      <c r="M115" s="6"/>
      <c r="N115" s="6"/>
      <c r="O115" s="158"/>
      <c r="P115" s="177"/>
      <c r="Q115" s="8"/>
      <c r="R115" s="8"/>
      <c r="S115" s="8"/>
      <c r="T115" s="8"/>
      <c r="U115" s="159" t="str">
        <f t="shared" si="18"/>
        <v/>
      </c>
      <c r="V115" s="8">
        <v>1</v>
      </c>
      <c r="W115" s="8" t="str">
        <f t="shared" si="19"/>
        <v/>
      </c>
      <c r="X115" s="8">
        <v>1</v>
      </c>
      <c r="Y115" s="8" t="str">
        <f t="shared" si="20"/>
        <v/>
      </c>
      <c r="Z115" s="123" t="str">
        <f t="shared" si="21"/>
        <v/>
      </c>
      <c r="AA115" s="192">
        <f t="shared" si="22"/>
        <v>0</v>
      </c>
      <c r="AB115" s="192" t="str">
        <f t="shared" si="16"/>
        <v/>
      </c>
      <c r="AC115" s="192" t="str">
        <f t="shared" si="16"/>
        <v/>
      </c>
      <c r="AD115" s="192">
        <f t="shared" si="23"/>
        <v>0</v>
      </c>
      <c r="AE115" s="192">
        <f t="shared" si="24"/>
        <v>0</v>
      </c>
    </row>
    <row r="116" spans="2:31" x14ac:dyDescent="0.25">
      <c r="B116" s="7" t="str">
        <f t="shared" si="17"/>
        <v/>
      </c>
      <c r="C116" s="4"/>
      <c r="D116" s="4"/>
      <c r="E116" s="4"/>
      <c r="F116" s="230" t="str">
        <f>IF('תנאי סף'!AO116&lt;&gt;1,"",'תנאי סף'!F116)</f>
        <v/>
      </c>
      <c r="G116" s="6"/>
      <c r="H116" s="6"/>
      <c r="I116" s="6"/>
      <c r="J116" s="5"/>
      <c r="K116" s="6"/>
      <c r="L116" s="5"/>
      <c r="M116" s="6"/>
      <c r="N116" s="6"/>
      <c r="O116" s="158"/>
      <c r="P116" s="177"/>
      <c r="Q116" s="8"/>
      <c r="R116" s="8"/>
      <c r="S116" s="8"/>
      <c r="T116" s="8"/>
      <c r="U116" s="159" t="str">
        <f t="shared" si="18"/>
        <v/>
      </c>
      <c r="V116" s="8">
        <v>1</v>
      </c>
      <c r="W116" s="8" t="str">
        <f t="shared" si="19"/>
        <v/>
      </c>
      <c r="X116" s="8">
        <v>1</v>
      </c>
      <c r="Y116" s="8" t="str">
        <f t="shared" si="20"/>
        <v/>
      </c>
      <c r="Z116" s="123" t="str">
        <f t="shared" si="21"/>
        <v/>
      </c>
      <c r="AA116" s="192">
        <f t="shared" si="22"/>
        <v>0</v>
      </c>
      <c r="AB116" s="192" t="str">
        <f t="shared" si="16"/>
        <v/>
      </c>
      <c r="AC116" s="192" t="str">
        <f t="shared" si="16"/>
        <v/>
      </c>
      <c r="AD116" s="192">
        <f t="shared" si="23"/>
        <v>0</v>
      </c>
      <c r="AE116" s="192">
        <f t="shared" si="24"/>
        <v>0</v>
      </c>
    </row>
    <row r="117" spans="2:31" x14ac:dyDescent="0.25">
      <c r="B117" s="7" t="str">
        <f t="shared" si="17"/>
        <v/>
      </c>
      <c r="C117" s="4"/>
      <c r="D117" s="4"/>
      <c r="E117" s="4"/>
      <c r="F117" s="230" t="str">
        <f>IF('תנאי סף'!AO117&lt;&gt;1,"",'תנאי סף'!F117)</f>
        <v/>
      </c>
      <c r="G117" s="6"/>
      <c r="H117" s="6"/>
      <c r="I117" s="6"/>
      <c r="J117" s="5"/>
      <c r="K117" s="6"/>
      <c r="L117" s="5"/>
      <c r="M117" s="6"/>
      <c r="N117" s="6"/>
      <c r="O117" s="158"/>
      <c r="P117" s="177"/>
      <c r="Q117" s="8"/>
      <c r="R117" s="8"/>
      <c r="S117" s="8"/>
      <c r="T117" s="8"/>
      <c r="U117" s="159" t="str">
        <f t="shared" si="18"/>
        <v/>
      </c>
      <c r="V117" s="8">
        <v>1</v>
      </c>
      <c r="W117" s="8" t="str">
        <f t="shared" si="19"/>
        <v/>
      </c>
      <c r="X117" s="8">
        <v>1</v>
      </c>
      <c r="Y117" s="8" t="str">
        <f t="shared" si="20"/>
        <v/>
      </c>
      <c r="Z117" s="123" t="str">
        <f t="shared" si="21"/>
        <v/>
      </c>
      <c r="AA117" s="192">
        <f t="shared" si="22"/>
        <v>0</v>
      </c>
      <c r="AB117" s="192" t="str">
        <f t="shared" si="16"/>
        <v/>
      </c>
      <c r="AC117" s="192" t="str">
        <f t="shared" si="16"/>
        <v/>
      </c>
      <c r="AD117" s="192">
        <f t="shared" si="23"/>
        <v>0</v>
      </c>
      <c r="AE117" s="192">
        <f t="shared" si="24"/>
        <v>0</v>
      </c>
    </row>
    <row r="118" spans="2:31" x14ac:dyDescent="0.25">
      <c r="B118" s="7" t="str">
        <f t="shared" si="17"/>
        <v/>
      </c>
      <c r="C118" s="4"/>
      <c r="D118" s="4"/>
      <c r="E118" s="4"/>
      <c r="F118" s="230" t="str">
        <f>IF('תנאי סף'!AO118&lt;&gt;1,"",'תנאי סף'!F118)</f>
        <v/>
      </c>
      <c r="G118" s="6"/>
      <c r="H118" s="6"/>
      <c r="I118" s="6"/>
      <c r="J118" s="5"/>
      <c r="K118" s="6"/>
      <c r="L118" s="5"/>
      <c r="M118" s="6"/>
      <c r="N118" s="6"/>
      <c r="O118" s="158"/>
      <c r="P118" s="177"/>
      <c r="Q118" s="8"/>
      <c r="R118" s="8"/>
      <c r="S118" s="8"/>
      <c r="T118" s="8"/>
      <c r="U118" s="159" t="str">
        <f t="shared" si="18"/>
        <v/>
      </c>
      <c r="V118" s="8">
        <v>1</v>
      </c>
      <c r="W118" s="8" t="str">
        <f t="shared" si="19"/>
        <v/>
      </c>
      <c r="X118" s="8">
        <v>1</v>
      </c>
      <c r="Y118" s="8" t="str">
        <f t="shared" si="20"/>
        <v/>
      </c>
      <c r="Z118" s="123" t="str">
        <f t="shared" si="21"/>
        <v/>
      </c>
      <c r="AA118" s="192">
        <f t="shared" si="22"/>
        <v>0</v>
      </c>
      <c r="AB118" s="192" t="str">
        <f t="shared" si="16"/>
        <v/>
      </c>
      <c r="AC118" s="192" t="str">
        <f t="shared" si="16"/>
        <v/>
      </c>
      <c r="AD118" s="192">
        <f t="shared" si="23"/>
        <v>0</v>
      </c>
      <c r="AE118" s="192">
        <f t="shared" si="24"/>
        <v>0</v>
      </c>
    </row>
    <row r="119" spans="2:31" x14ac:dyDescent="0.25">
      <c r="B119" s="7" t="str">
        <f t="shared" si="17"/>
        <v/>
      </c>
      <c r="C119" s="4"/>
      <c r="D119" s="4"/>
      <c r="E119" s="4"/>
      <c r="F119" s="230" t="str">
        <f>IF('תנאי סף'!AO119&lt;&gt;1,"",'תנאי סף'!F119)</f>
        <v/>
      </c>
      <c r="G119" s="6"/>
      <c r="H119" s="6"/>
      <c r="I119" s="6"/>
      <c r="J119" s="5"/>
      <c r="K119" s="6"/>
      <c r="L119" s="5"/>
      <c r="M119" s="6"/>
      <c r="N119" s="6"/>
      <c r="O119" s="158"/>
      <c r="P119" s="177"/>
      <c r="Q119" s="8"/>
      <c r="R119" s="8"/>
      <c r="S119" s="8"/>
      <c r="T119" s="8"/>
      <c r="U119" s="159" t="str">
        <f t="shared" si="18"/>
        <v/>
      </c>
      <c r="V119" s="8">
        <v>1</v>
      </c>
      <c r="W119" s="8" t="str">
        <f t="shared" si="19"/>
        <v/>
      </c>
      <c r="X119" s="8">
        <v>1</v>
      </c>
      <c r="Y119" s="8" t="str">
        <f t="shared" si="20"/>
        <v/>
      </c>
      <c r="Z119" s="123" t="str">
        <f t="shared" si="21"/>
        <v/>
      </c>
      <c r="AA119" s="192">
        <f t="shared" si="22"/>
        <v>0</v>
      </c>
      <c r="AB119" s="192" t="str">
        <f t="shared" si="16"/>
        <v/>
      </c>
      <c r="AC119" s="192" t="str">
        <f t="shared" si="16"/>
        <v/>
      </c>
      <c r="AD119" s="192">
        <f t="shared" si="23"/>
        <v>0</v>
      </c>
      <c r="AE119" s="192">
        <f t="shared" si="24"/>
        <v>0</v>
      </c>
    </row>
    <row r="120" spans="2:31" x14ac:dyDescent="0.25">
      <c r="B120" s="7" t="str">
        <f t="shared" si="17"/>
        <v/>
      </c>
      <c r="C120" s="4"/>
      <c r="D120" s="4"/>
      <c r="E120" s="4"/>
      <c r="F120" s="230" t="str">
        <f>IF('תנאי סף'!AO120&lt;&gt;1,"",'תנאי סף'!F120)</f>
        <v/>
      </c>
      <c r="G120" s="6"/>
      <c r="H120" s="6"/>
      <c r="I120" s="6"/>
      <c r="J120" s="5"/>
      <c r="K120" s="6"/>
      <c r="L120" s="5"/>
      <c r="M120" s="6"/>
      <c r="N120" s="6"/>
      <c r="O120" s="158"/>
      <c r="P120" s="177"/>
      <c r="Q120" s="8"/>
      <c r="R120" s="8"/>
      <c r="S120" s="8"/>
      <c r="T120" s="8"/>
      <c r="U120" s="159" t="str">
        <f t="shared" si="18"/>
        <v/>
      </c>
      <c r="V120" s="8">
        <v>1</v>
      </c>
      <c r="W120" s="8" t="str">
        <f t="shared" si="19"/>
        <v/>
      </c>
      <c r="X120" s="8">
        <v>1</v>
      </c>
      <c r="Y120" s="8" t="str">
        <f t="shared" si="20"/>
        <v/>
      </c>
      <c r="Z120" s="123" t="str">
        <f t="shared" si="21"/>
        <v/>
      </c>
      <c r="AA120" s="192">
        <f t="shared" si="22"/>
        <v>0</v>
      </c>
      <c r="AB120" s="192" t="str">
        <f t="shared" si="16"/>
        <v/>
      </c>
      <c r="AC120" s="192" t="str">
        <f t="shared" si="16"/>
        <v/>
      </c>
      <c r="AD120" s="192">
        <f t="shared" si="23"/>
        <v>0</v>
      </c>
      <c r="AE120" s="192">
        <f t="shared" si="24"/>
        <v>0</v>
      </c>
    </row>
    <row r="121" spans="2:31" x14ac:dyDescent="0.25">
      <c r="B121" s="7" t="str">
        <f t="shared" si="17"/>
        <v/>
      </c>
      <c r="C121" s="4"/>
      <c r="D121" s="4"/>
      <c r="E121" s="4"/>
      <c r="F121" s="230" t="str">
        <f>IF('תנאי סף'!AO121&lt;&gt;1,"",'תנאי סף'!F121)</f>
        <v/>
      </c>
      <c r="G121" s="6"/>
      <c r="H121" s="6"/>
      <c r="I121" s="6"/>
      <c r="J121" s="5"/>
      <c r="K121" s="6"/>
      <c r="L121" s="5"/>
      <c r="M121" s="6"/>
      <c r="N121" s="6"/>
      <c r="O121" s="158"/>
      <c r="P121" s="177"/>
      <c r="Q121" s="8"/>
      <c r="R121" s="8"/>
      <c r="S121" s="8"/>
      <c r="T121" s="8"/>
      <c r="U121" s="159" t="str">
        <f t="shared" si="18"/>
        <v/>
      </c>
      <c r="V121" s="8">
        <v>1</v>
      </c>
      <c r="W121" s="8" t="str">
        <f t="shared" si="19"/>
        <v/>
      </c>
      <c r="X121" s="8">
        <v>1</v>
      </c>
      <c r="Y121" s="8" t="str">
        <f t="shared" si="20"/>
        <v/>
      </c>
      <c r="Z121" s="123" t="str">
        <f t="shared" si="21"/>
        <v/>
      </c>
      <c r="AA121" s="192">
        <f t="shared" si="22"/>
        <v>0</v>
      </c>
      <c r="AB121" s="192" t="str">
        <f t="shared" si="16"/>
        <v/>
      </c>
      <c r="AC121" s="192" t="str">
        <f t="shared" si="16"/>
        <v/>
      </c>
      <c r="AD121" s="192">
        <f t="shared" si="23"/>
        <v>0</v>
      </c>
      <c r="AE121" s="192">
        <f t="shared" si="24"/>
        <v>0</v>
      </c>
    </row>
    <row r="122" spans="2:31" x14ac:dyDescent="0.25">
      <c r="B122" s="7" t="str">
        <f t="shared" si="17"/>
        <v/>
      </c>
      <c r="C122" s="4"/>
      <c r="D122" s="4"/>
      <c r="E122" s="4"/>
      <c r="F122" s="230" t="str">
        <f>IF('תנאי סף'!AO122&lt;&gt;1,"",'תנאי סף'!F122)</f>
        <v/>
      </c>
      <c r="G122" s="6"/>
      <c r="H122" s="6"/>
      <c r="I122" s="6"/>
      <c r="J122" s="5"/>
      <c r="K122" s="6"/>
      <c r="L122" s="5"/>
      <c r="M122" s="6"/>
      <c r="N122" s="6"/>
      <c r="O122" s="158"/>
      <c r="P122" s="177"/>
      <c r="Q122" s="8"/>
      <c r="R122" s="8"/>
      <c r="S122" s="8"/>
      <c r="T122" s="8"/>
      <c r="U122" s="159" t="str">
        <f t="shared" si="18"/>
        <v/>
      </c>
      <c r="V122" s="8">
        <v>1</v>
      </c>
      <c r="W122" s="8" t="str">
        <f t="shared" si="19"/>
        <v/>
      </c>
      <c r="X122" s="8">
        <v>1</v>
      </c>
      <c r="Y122" s="8" t="str">
        <f t="shared" si="20"/>
        <v/>
      </c>
      <c r="Z122" s="123" t="str">
        <f t="shared" si="21"/>
        <v/>
      </c>
      <c r="AA122" s="192">
        <f t="shared" si="22"/>
        <v>0</v>
      </c>
      <c r="AB122" s="192" t="str">
        <f t="shared" si="16"/>
        <v/>
      </c>
      <c r="AC122" s="192" t="str">
        <f t="shared" si="16"/>
        <v/>
      </c>
      <c r="AD122" s="192">
        <f t="shared" si="23"/>
        <v>0</v>
      </c>
      <c r="AE122" s="192">
        <f t="shared" si="24"/>
        <v>0</v>
      </c>
    </row>
    <row r="123" spans="2:31" x14ac:dyDescent="0.25">
      <c r="B123" s="7" t="str">
        <f t="shared" si="17"/>
        <v/>
      </c>
      <c r="C123" s="4"/>
      <c r="D123" s="4"/>
      <c r="E123" s="4"/>
      <c r="F123" s="230" t="str">
        <f>IF('תנאי סף'!AO123&lt;&gt;1,"",'תנאי סף'!F123)</f>
        <v/>
      </c>
      <c r="G123" s="6"/>
      <c r="H123" s="6"/>
      <c r="I123" s="6"/>
      <c r="J123" s="5"/>
      <c r="K123" s="6"/>
      <c r="L123" s="5"/>
      <c r="M123" s="6"/>
      <c r="N123" s="6"/>
      <c r="O123" s="158"/>
      <c r="P123" s="177"/>
      <c r="Q123" s="8"/>
      <c r="R123" s="8"/>
      <c r="S123" s="8"/>
      <c r="T123" s="8"/>
      <c r="U123" s="159" t="str">
        <f t="shared" si="18"/>
        <v/>
      </c>
      <c r="V123" s="8">
        <v>1</v>
      </c>
      <c r="W123" s="8" t="str">
        <f t="shared" si="19"/>
        <v/>
      </c>
      <c r="X123" s="8">
        <v>1</v>
      </c>
      <c r="Y123" s="8" t="str">
        <f t="shared" si="20"/>
        <v/>
      </c>
      <c r="Z123" s="123" t="str">
        <f t="shared" si="21"/>
        <v/>
      </c>
      <c r="AA123" s="192">
        <f t="shared" si="22"/>
        <v>0</v>
      </c>
      <c r="AB123" s="192" t="str">
        <f t="shared" si="16"/>
        <v/>
      </c>
      <c r="AC123" s="192" t="str">
        <f t="shared" si="16"/>
        <v/>
      </c>
      <c r="AD123" s="192">
        <f t="shared" si="23"/>
        <v>0</v>
      </c>
      <c r="AE123" s="192">
        <f t="shared" si="24"/>
        <v>0</v>
      </c>
    </row>
    <row r="124" spans="2:31" x14ac:dyDescent="0.25">
      <c r="B124" s="7" t="str">
        <f t="shared" si="17"/>
        <v/>
      </c>
      <c r="C124" s="4"/>
      <c r="D124" s="4"/>
      <c r="E124" s="4"/>
      <c r="F124" s="230" t="str">
        <f>IF('תנאי סף'!AO124&lt;&gt;1,"",'תנאי סף'!F124)</f>
        <v/>
      </c>
      <c r="G124" s="6"/>
      <c r="H124" s="6"/>
      <c r="I124" s="6"/>
      <c r="J124" s="5"/>
      <c r="K124" s="6"/>
      <c r="L124" s="5"/>
      <c r="M124" s="6"/>
      <c r="N124" s="6"/>
      <c r="O124" s="158"/>
      <c r="P124" s="177"/>
      <c r="Q124" s="8"/>
      <c r="R124" s="8"/>
      <c r="S124" s="8"/>
      <c r="T124" s="8"/>
      <c r="U124" s="159" t="str">
        <f t="shared" si="18"/>
        <v/>
      </c>
      <c r="V124" s="8">
        <v>1</v>
      </c>
      <c r="W124" s="8" t="str">
        <f t="shared" si="19"/>
        <v/>
      </c>
      <c r="X124" s="8">
        <v>1</v>
      </c>
      <c r="Y124" s="8" t="str">
        <f t="shared" si="20"/>
        <v/>
      </c>
      <c r="Z124" s="123" t="str">
        <f t="shared" si="21"/>
        <v/>
      </c>
      <c r="AA124" s="192">
        <f t="shared" si="22"/>
        <v>0</v>
      </c>
      <c r="AB124" s="192" t="str">
        <f t="shared" si="16"/>
        <v/>
      </c>
      <c r="AC124" s="192" t="str">
        <f t="shared" si="16"/>
        <v/>
      </c>
      <c r="AD124" s="192">
        <f t="shared" si="23"/>
        <v>0</v>
      </c>
      <c r="AE124" s="192">
        <f t="shared" si="24"/>
        <v>0</v>
      </c>
    </row>
    <row r="125" spans="2:31" x14ac:dyDescent="0.25">
      <c r="B125" s="7" t="str">
        <f t="shared" si="17"/>
        <v/>
      </c>
      <c r="C125" s="4"/>
      <c r="D125" s="4"/>
      <c r="E125" s="4"/>
      <c r="F125" s="230" t="str">
        <f>IF('תנאי סף'!AO125&lt;&gt;1,"",'תנאי סף'!F125)</f>
        <v/>
      </c>
      <c r="G125" s="6"/>
      <c r="H125" s="6"/>
      <c r="I125" s="6"/>
      <c r="J125" s="5"/>
      <c r="K125" s="6"/>
      <c r="L125" s="5"/>
      <c r="M125" s="6"/>
      <c r="N125" s="6"/>
      <c r="O125" s="158"/>
      <c r="P125" s="177"/>
      <c r="Q125" s="8"/>
      <c r="R125" s="8"/>
      <c r="S125" s="8"/>
      <c r="T125" s="8"/>
      <c r="U125" s="159" t="str">
        <f t="shared" si="18"/>
        <v/>
      </c>
      <c r="V125" s="8">
        <v>1</v>
      </c>
      <c r="W125" s="8" t="str">
        <f t="shared" si="19"/>
        <v/>
      </c>
      <c r="X125" s="8">
        <v>1</v>
      </c>
      <c r="Y125" s="8" t="str">
        <f t="shared" si="20"/>
        <v/>
      </c>
      <c r="Z125" s="123" t="str">
        <f t="shared" si="21"/>
        <v/>
      </c>
      <c r="AA125" s="192">
        <f t="shared" si="22"/>
        <v>0</v>
      </c>
      <c r="AB125" s="192" t="str">
        <f t="shared" si="16"/>
        <v/>
      </c>
      <c r="AC125" s="192" t="str">
        <f t="shared" si="16"/>
        <v/>
      </c>
      <c r="AD125" s="192">
        <f t="shared" si="23"/>
        <v>0</v>
      </c>
      <c r="AE125" s="192">
        <f t="shared" si="24"/>
        <v>0</v>
      </c>
    </row>
    <row r="126" spans="2:31" x14ac:dyDescent="0.25">
      <c r="B126" s="7" t="str">
        <f t="shared" si="17"/>
        <v/>
      </c>
      <c r="C126" s="4"/>
      <c r="D126" s="4"/>
      <c r="E126" s="4"/>
      <c r="F126" s="230" t="str">
        <f>IF('תנאי סף'!AO126&lt;&gt;1,"",'תנאי סף'!F126)</f>
        <v/>
      </c>
      <c r="G126" s="6"/>
      <c r="H126" s="6"/>
      <c r="I126" s="6"/>
      <c r="J126" s="5"/>
      <c r="K126" s="6"/>
      <c r="L126" s="5"/>
      <c r="M126" s="6"/>
      <c r="N126" s="6"/>
      <c r="O126" s="158"/>
      <c r="P126" s="177"/>
      <c r="Q126" s="8"/>
      <c r="R126" s="8"/>
      <c r="S126" s="8"/>
      <c r="T126" s="8"/>
      <c r="U126" s="159" t="str">
        <f t="shared" si="18"/>
        <v/>
      </c>
      <c r="V126" s="8">
        <v>1</v>
      </c>
      <c r="W126" s="8" t="str">
        <f t="shared" si="19"/>
        <v/>
      </c>
      <c r="X126" s="8">
        <v>1</v>
      </c>
      <c r="Y126" s="8" t="str">
        <f t="shared" si="20"/>
        <v/>
      </c>
      <c r="Z126" s="123" t="str">
        <f t="shared" si="21"/>
        <v/>
      </c>
      <c r="AA126" s="192">
        <f t="shared" si="22"/>
        <v>0</v>
      </c>
      <c r="AB126" s="192" t="str">
        <f t="shared" si="16"/>
        <v/>
      </c>
      <c r="AC126" s="192" t="str">
        <f t="shared" si="16"/>
        <v/>
      </c>
      <c r="AD126" s="192">
        <f t="shared" si="23"/>
        <v>0</v>
      </c>
      <c r="AE126" s="192">
        <f t="shared" si="24"/>
        <v>0</v>
      </c>
    </row>
    <row r="127" spans="2:31" x14ac:dyDescent="0.25">
      <c r="B127" s="7" t="str">
        <f t="shared" si="17"/>
        <v/>
      </c>
      <c r="C127" s="4"/>
      <c r="D127" s="4"/>
      <c r="E127" s="4"/>
      <c r="F127" s="230" t="str">
        <f>IF('תנאי סף'!AO127&lt;&gt;1,"",'תנאי סף'!F127)</f>
        <v/>
      </c>
      <c r="G127" s="6"/>
      <c r="H127" s="6"/>
      <c r="I127" s="6"/>
      <c r="J127" s="5"/>
      <c r="K127" s="6"/>
      <c r="L127" s="5"/>
      <c r="M127" s="6"/>
      <c r="N127" s="6"/>
      <c r="O127" s="158"/>
      <c r="P127" s="177"/>
      <c r="Q127" s="8"/>
      <c r="R127" s="8"/>
      <c r="S127" s="8"/>
      <c r="T127" s="8"/>
      <c r="U127" s="159" t="str">
        <f t="shared" si="18"/>
        <v/>
      </c>
      <c r="V127" s="8">
        <v>1</v>
      </c>
      <c r="W127" s="8" t="str">
        <f t="shared" si="19"/>
        <v/>
      </c>
      <c r="X127" s="8">
        <v>1</v>
      </c>
      <c r="Y127" s="8" t="str">
        <f t="shared" si="20"/>
        <v/>
      </c>
      <c r="Z127" s="123" t="str">
        <f t="shared" si="21"/>
        <v/>
      </c>
      <c r="AA127" s="192">
        <f t="shared" si="22"/>
        <v>0</v>
      </c>
      <c r="AB127" s="192" t="str">
        <f t="shared" si="16"/>
        <v/>
      </c>
      <c r="AC127" s="192" t="str">
        <f t="shared" si="16"/>
        <v/>
      </c>
      <c r="AD127" s="192">
        <f t="shared" si="23"/>
        <v>0</v>
      </c>
      <c r="AE127" s="192">
        <f t="shared" si="24"/>
        <v>0</v>
      </c>
    </row>
    <row r="128" spans="2:31" x14ac:dyDescent="0.25">
      <c r="B128" s="7" t="str">
        <f t="shared" si="17"/>
        <v/>
      </c>
      <c r="C128" s="4"/>
      <c r="D128" s="4"/>
      <c r="E128" s="4"/>
      <c r="F128" s="230" t="str">
        <f>IF('תנאי סף'!AO128&lt;&gt;1,"",'תנאי סף'!F128)</f>
        <v/>
      </c>
      <c r="G128" s="6"/>
      <c r="H128" s="6"/>
      <c r="I128" s="6"/>
      <c r="J128" s="5"/>
      <c r="K128" s="6"/>
      <c r="L128" s="5"/>
      <c r="M128" s="6"/>
      <c r="N128" s="6"/>
      <c r="O128" s="158"/>
      <c r="P128" s="177"/>
      <c r="Q128" s="8"/>
      <c r="R128" s="8"/>
      <c r="S128" s="8"/>
      <c r="T128" s="8"/>
      <c r="U128" s="159" t="str">
        <f t="shared" si="18"/>
        <v/>
      </c>
      <c r="V128" s="8">
        <v>1</v>
      </c>
      <c r="W128" s="8" t="str">
        <f t="shared" si="19"/>
        <v/>
      </c>
      <c r="X128" s="8">
        <v>1</v>
      </c>
      <c r="Y128" s="8" t="str">
        <f t="shared" si="20"/>
        <v/>
      </c>
      <c r="Z128" s="123" t="str">
        <f t="shared" si="21"/>
        <v/>
      </c>
      <c r="AA128" s="192">
        <f t="shared" si="22"/>
        <v>0</v>
      </c>
      <c r="AB128" s="192" t="str">
        <f t="shared" si="16"/>
        <v/>
      </c>
      <c r="AC128" s="192" t="str">
        <f t="shared" si="16"/>
        <v/>
      </c>
      <c r="AD128" s="192">
        <f t="shared" si="23"/>
        <v>0</v>
      </c>
      <c r="AE128" s="192">
        <f t="shared" si="24"/>
        <v>0</v>
      </c>
    </row>
    <row r="129" spans="2:31" x14ac:dyDescent="0.25">
      <c r="B129" s="7" t="str">
        <f t="shared" si="17"/>
        <v/>
      </c>
      <c r="C129" s="4"/>
      <c r="D129" s="4"/>
      <c r="E129" s="4"/>
      <c r="F129" s="230" t="str">
        <f>IF('תנאי סף'!AO129&lt;&gt;1,"",'תנאי סף'!F129)</f>
        <v/>
      </c>
      <c r="G129" s="6"/>
      <c r="H129" s="6"/>
      <c r="I129" s="6"/>
      <c r="J129" s="5"/>
      <c r="K129" s="6"/>
      <c r="L129" s="5"/>
      <c r="M129" s="6"/>
      <c r="N129" s="6"/>
      <c r="O129" s="158"/>
      <c r="P129" s="177"/>
      <c r="Q129" s="8"/>
      <c r="R129" s="8"/>
      <c r="S129" s="8"/>
      <c r="T129" s="8"/>
      <c r="U129" s="159" t="str">
        <f t="shared" si="18"/>
        <v/>
      </c>
      <c r="V129" s="8">
        <v>1</v>
      </c>
      <c r="W129" s="8" t="str">
        <f t="shared" si="19"/>
        <v/>
      </c>
      <c r="X129" s="8">
        <v>1</v>
      </c>
      <c r="Y129" s="8" t="str">
        <f t="shared" si="20"/>
        <v/>
      </c>
      <c r="Z129" s="123" t="str">
        <f t="shared" si="21"/>
        <v/>
      </c>
      <c r="AA129" s="192">
        <f t="shared" si="22"/>
        <v>0</v>
      </c>
      <c r="AB129" s="192" t="str">
        <f t="shared" si="16"/>
        <v/>
      </c>
      <c r="AC129" s="192" t="str">
        <f t="shared" si="16"/>
        <v/>
      </c>
      <c r="AD129" s="192">
        <f t="shared" si="23"/>
        <v>0</v>
      </c>
      <c r="AE129" s="192">
        <f t="shared" si="24"/>
        <v>0</v>
      </c>
    </row>
    <row r="130" spans="2:31" ht="16.5" thickBot="1" x14ac:dyDescent="0.3">
      <c r="B130" s="7" t="str">
        <f t="shared" si="17"/>
        <v/>
      </c>
      <c r="C130" s="4"/>
      <c r="D130" s="4"/>
      <c r="E130" s="4"/>
      <c r="F130" s="230" t="str">
        <f>IF('תנאי סף'!AO130&lt;&gt;1,"",'תנאי סף'!F130)</f>
        <v/>
      </c>
      <c r="G130" s="6"/>
      <c r="H130" s="6"/>
      <c r="I130" s="6"/>
      <c r="J130" s="5"/>
      <c r="K130" s="6"/>
      <c r="L130" s="5"/>
      <c r="M130" s="6"/>
      <c r="N130" s="6"/>
      <c r="O130" s="158"/>
      <c r="P130" s="177"/>
      <c r="Q130" s="8"/>
      <c r="R130" s="8"/>
      <c r="S130" s="8"/>
      <c r="T130" s="8"/>
      <c r="U130" s="159" t="str">
        <f t="shared" si="18"/>
        <v/>
      </c>
      <c r="V130" s="8">
        <v>1</v>
      </c>
      <c r="W130" s="8" t="str">
        <f t="shared" si="19"/>
        <v/>
      </c>
      <c r="X130" s="8">
        <v>1</v>
      </c>
      <c r="Y130" s="8" t="str">
        <f t="shared" si="20"/>
        <v/>
      </c>
      <c r="Z130" s="123" t="str">
        <f t="shared" si="21"/>
        <v/>
      </c>
      <c r="AA130" s="192">
        <f t="shared" si="22"/>
        <v>0</v>
      </c>
      <c r="AB130" s="192" t="str">
        <f t="shared" si="16"/>
        <v/>
      </c>
      <c r="AC130" s="192" t="str">
        <f t="shared" si="16"/>
        <v/>
      </c>
      <c r="AD130" s="192">
        <f t="shared" si="23"/>
        <v>0</v>
      </c>
      <c r="AE130" s="192">
        <f t="shared" si="24"/>
        <v>0</v>
      </c>
    </row>
    <row r="131" spans="2:31" ht="19.5" thickBot="1" x14ac:dyDescent="0.35">
      <c r="B131" s="555" t="s">
        <v>77</v>
      </c>
      <c r="C131" s="556"/>
      <c r="D131" s="556"/>
      <c r="E131" s="556"/>
      <c r="F131" s="557"/>
      <c r="G131" s="9">
        <f>SUM(G31:G130)</f>
        <v>16</v>
      </c>
      <c r="H131" s="9">
        <f>SUM(H31:H130)</f>
        <v>60</v>
      </c>
      <c r="I131" s="9">
        <f t="shared" ref="I131:Z131" si="25">SUM(I31:I130)</f>
        <v>0</v>
      </c>
      <c r="J131" s="9">
        <f t="shared" si="25"/>
        <v>0</v>
      </c>
      <c r="K131" s="9">
        <f t="shared" si="25"/>
        <v>0</v>
      </c>
      <c r="L131" s="9">
        <f t="shared" si="25"/>
        <v>0</v>
      </c>
      <c r="M131" s="9">
        <f t="shared" si="25"/>
        <v>0</v>
      </c>
      <c r="N131" s="9">
        <f t="shared" si="25"/>
        <v>0</v>
      </c>
      <c r="O131" s="9">
        <f t="shared" si="25"/>
        <v>0</v>
      </c>
      <c r="P131" s="9">
        <f t="shared" si="25"/>
        <v>0</v>
      </c>
      <c r="Q131" s="9">
        <f t="shared" si="25"/>
        <v>0</v>
      </c>
      <c r="R131" s="9">
        <f t="shared" si="25"/>
        <v>0</v>
      </c>
      <c r="S131" s="9">
        <f t="shared" si="25"/>
        <v>0</v>
      </c>
      <c r="T131" s="9">
        <f t="shared" si="25"/>
        <v>0</v>
      </c>
      <c r="U131" s="9">
        <f t="shared" si="25"/>
        <v>136</v>
      </c>
      <c r="V131" s="9">
        <f t="shared" si="25"/>
        <v>100</v>
      </c>
      <c r="W131" s="9">
        <f t="shared" si="25"/>
        <v>136</v>
      </c>
      <c r="X131" s="9">
        <f t="shared" si="25"/>
        <v>100</v>
      </c>
      <c r="Y131" s="9">
        <f t="shared" si="25"/>
        <v>136</v>
      </c>
      <c r="Z131" s="125">
        <f t="shared" si="25"/>
        <v>0.99999999999999944</v>
      </c>
      <c r="AD131" s="193"/>
    </row>
    <row r="132" spans="2:31" x14ac:dyDescent="0.25">
      <c r="AD132" s="193"/>
    </row>
    <row r="133" spans="2:31" x14ac:dyDescent="0.25">
      <c r="AD133" s="193"/>
    </row>
    <row r="134" spans="2:31" x14ac:dyDescent="0.25">
      <c r="AD134" s="193"/>
    </row>
    <row r="135" spans="2:31" x14ac:dyDescent="0.25">
      <c r="AD135" s="193"/>
    </row>
    <row r="136" spans="2:31" x14ac:dyDescent="0.25">
      <c r="AD136" s="193"/>
    </row>
    <row r="137" spans="2:31" x14ac:dyDescent="0.25">
      <c r="AD137" s="193"/>
    </row>
    <row r="138" spans="2:31" x14ac:dyDescent="0.25">
      <c r="AD138" s="193"/>
    </row>
    <row r="139" spans="2:31" x14ac:dyDescent="0.25">
      <c r="AD139" s="193"/>
    </row>
    <row r="140" spans="2:31" x14ac:dyDescent="0.25">
      <c r="AD140" s="193"/>
    </row>
    <row r="141" spans="2:31" x14ac:dyDescent="0.25">
      <c r="AD141" s="193"/>
    </row>
    <row r="142" spans="2:31" x14ac:dyDescent="0.25">
      <c r="AD142" s="193"/>
    </row>
    <row r="143" spans="2:31" x14ac:dyDescent="0.25">
      <c r="AD143" s="193"/>
    </row>
    <row r="144" spans="2:31"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sQtuQt9E5UCLb8bBpynaQWPXZZfKBaQfSBQR9/hZ09O66DAuSqgZWrtgI1F/jN1d6ntsXq6EihA/P3WNwaOgpg==" saltValue="YPJieq26M79fhaIRuMl0pA==" spinCount="100000" sheet="1" scenarios="1" formatCells="0" formatColumns="0" formatRows="0" autoFilter="0"/>
  <mergeCells count="17">
    <mergeCell ref="Y29:Y30"/>
    <mergeCell ref="Z29:Z30"/>
    <mergeCell ref="B1:Z1"/>
    <mergeCell ref="B29:B30"/>
    <mergeCell ref="C29:C30"/>
    <mergeCell ref="D29:D30"/>
    <mergeCell ref="E29:E30"/>
    <mergeCell ref="F29:F30"/>
    <mergeCell ref="Q29:Q30"/>
    <mergeCell ref="R29:R30"/>
    <mergeCell ref="S29:S30"/>
    <mergeCell ref="T29:T30"/>
    <mergeCell ref="B131:F131"/>
    <mergeCell ref="U29:U30"/>
    <mergeCell ref="V29:V30"/>
    <mergeCell ref="W29:W30"/>
    <mergeCell ref="X29:X30"/>
  </mergeCells>
  <conditionalFormatting sqref="B31:Z130">
    <cfRule type="expression" dxfId="106" priority="1" stopIfTrue="1">
      <formula>AND($F31="",B31&lt;&gt;"")</formula>
    </cfRule>
    <cfRule type="expression" dxfId="105" priority="2">
      <formula>$F31=""</formula>
    </cfRule>
    <cfRule type="expression" dxfId="104" priority="3">
      <formula>B$30&lt;&gt;""</formula>
    </cfRule>
  </conditionalFormatting>
  <dataValidations count="9">
    <dataValidation type="list" allowBlank="1" showInputMessage="1" showErrorMessage="1" errorTitle="נתון לא מרשימה" error="יש לבחור מתוך הרשימה הסגורה בלבד" sqref="O31:O130" xr:uid="{00000000-0002-0000-0C00-000000000000}">
      <formula1>OFFSET($BA31,0,0,1,COUNTA($BA31:$BJ31))</formula1>
    </dataValidation>
    <dataValidation type="list" allowBlank="1" showInputMessage="1" showErrorMessage="1" errorTitle="נתון שגוי." error="ניתן להזין רק 0 או 1._x000a_0 = לא עומד בתנאי._x000a_1 = עומד בתנאי." sqref="P31:P130" xr:uid="{00000000-0002-0000-0C00-000001000000}">
      <formula1>$AB31:$AC31</formula1>
    </dataValidation>
    <dataValidation type="list" allowBlank="1" showInputMessage="1" showErrorMessage="1" sqref="I30:P30" xr:uid="{00000000-0002-0000-0C00-000002000000}">
      <formula1>OFFSET($AE$1,0,0,1,COUNTA($AE$1:$AZ$1))</formula1>
    </dataValidation>
    <dataValidation type="list" allowBlank="1" showInputMessage="1" showErrorMessage="1" sqref="G30:H30" xr:uid="{00000000-0002-0000-0C00-000003000000}">
      <formula1>$AE$1:$AZ$1</formula1>
    </dataValidation>
    <dataValidation type="whole" operator="greaterThan" allowBlank="1" showInputMessage="1" showErrorMessage="1" errorTitle="נתון שגוי." error="ניתן להזין רק מספר שלם גדול מ-0" sqref="M31:M130" xr:uid="{00000000-0002-0000-0C00-000004000000}">
      <formula1>0</formula1>
    </dataValidation>
    <dataValidation type="decimal" operator="greaterThan" allowBlank="1" showInputMessage="1" showErrorMessage="1" errorTitle="נתון שגוי." error="ניתן להזין רק מספר גדול מ-0" sqref="L31:L130" xr:uid="{00000000-0002-0000-0C00-000005000000}">
      <formula1>0</formula1>
    </dataValidation>
    <dataValidation type="whole" operator="greaterThanOrEqual" allowBlank="1" showInputMessage="1" showErrorMessage="1" errorTitle="נתון שגוי." error="ניתן להזין רק מספר שלם גדול או שווה ל-0." sqref="K31:K130 G31:H130" xr:uid="{00000000-0002-0000-0C00-000006000000}">
      <formula1>0</formula1>
    </dataValidation>
    <dataValidation type="decimal" operator="greaterThanOrEqual" allowBlank="1" showInputMessage="1" showErrorMessage="1" errorTitle="נתון שגוי." error="ניתן להזין רק מספר גדול או שווה ל-0." sqref="J31:J130" xr:uid="{00000000-0002-0000-0C00-000007000000}">
      <formula1>0</formula1>
    </dataValidation>
    <dataValidation type="whole" operator="notBetween" allowBlank="1" showInputMessage="1" showErrorMessage="1" errorTitle="נתון שגוי." error="ניתן להזין רק מספר שלם" sqref="I31:I130" xr:uid="{00000000-0002-0000-0C00-000008000000}">
      <formula1>-999999999</formula1>
      <formula2>-999999998</formula2>
    </dataValidation>
  </dataValidations>
  <printOptions horizontalCentered="1"/>
  <pageMargins left="0.51181102362204722" right="0.27" top="0.56000000000000005" bottom="0.74803149606299213" header="0.31496062992125984" footer="0.31496062992125984"/>
  <pageSetup paperSize="9" scale="63"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40F66C61-7030-47EE-A366-CA01D30C8158}">
            <xm:f>NOT(ISERROR(SEARCH($AB$1,B31)))</xm:f>
            <xm:f>$AB$1</xm:f>
            <x14:dxf>
              <fill>
                <patternFill>
                  <bgColor rgb="FFFF0000"/>
                </patternFill>
              </fill>
            </x14:dxf>
          </x14:cfRule>
          <xm:sqref>B31:Z130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Worksheet______30">
    <tabColor theme="4" tint="-0.249977111117893"/>
    <pageSetUpPr fitToPage="1"/>
  </sheetPr>
  <dimension ref="A1:BJ180"/>
  <sheetViews>
    <sheetView rightToLeft="1" view="pageBreakPreview" zoomScale="115" zoomScaleNormal="100" zoomScaleSheetLayoutView="115" workbookViewId="0">
      <pane xSplit="6" ySplit="30" topLeftCell="G31" activePane="bottomRight" state="frozen"/>
      <selection pane="topRight" activeCell="G58" sqref="G58"/>
      <selection pane="bottomLeft" activeCell="G58" sqref="G58"/>
      <selection pane="bottomRight" activeCell="G31" sqref="G3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42.85546875" style="193" customWidth="1"/>
    <col min="7" max="7" width="29.42578125" style="193" bestFit="1" customWidth="1"/>
    <col min="8" max="8" width="11.28515625" style="193" hidden="1" customWidth="1"/>
    <col min="9" max="9" width="11.7109375" style="193" hidden="1" customWidth="1"/>
    <col min="10" max="10" width="11.42578125" style="193" hidden="1" customWidth="1"/>
    <col min="11" max="11" width="11" style="193" hidden="1" customWidth="1"/>
    <col min="12" max="12" width="11.28515625" style="193" hidden="1" customWidth="1"/>
    <col min="13" max="13" width="10.5703125" style="193" hidden="1" customWidth="1"/>
    <col min="14" max="14" width="11.28515625" style="193" hidden="1" customWidth="1"/>
    <col min="15" max="15" width="11.42578125" style="193" hidden="1" customWidth="1"/>
    <col min="16" max="16" width="14.28515625" style="193" hidden="1" customWidth="1"/>
    <col min="17" max="17" width="14.140625" style="193" hidden="1" customWidth="1"/>
    <col min="18" max="19" width="21.42578125" style="193" hidden="1" customWidth="1"/>
    <col min="20" max="20" width="17.5703125" style="193" hidden="1" customWidth="1"/>
    <col min="21" max="21" width="14" style="193" customWidth="1"/>
    <col min="22" max="25" width="21.42578125" style="193" hidden="1" customWidth="1"/>
    <col min="26" max="26" width="18" style="193"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5.5" customHeight="1" thickBot="1" x14ac:dyDescent="0.3">
      <c r="B1" s="534" t="str">
        <f ca="1">MID(CELL("filename",AC2),FIND("]",CELL("filename",AC2),1)+1,99)</f>
        <v>עידוד יצירה ישראלית</v>
      </c>
      <c r="C1" s="536"/>
      <c r="D1" s="536"/>
      <c r="E1" s="536"/>
      <c r="F1" s="536"/>
      <c r="G1" s="536"/>
      <c r="H1" s="536"/>
      <c r="I1" s="536"/>
      <c r="J1" s="536"/>
      <c r="K1" s="536"/>
      <c r="L1" s="536"/>
      <c r="M1" s="536"/>
      <c r="N1" s="536"/>
      <c r="O1" s="536"/>
      <c r="P1" s="536"/>
      <c r="Q1" s="536"/>
      <c r="R1" s="536"/>
      <c r="S1" s="536"/>
      <c r="T1" s="536"/>
      <c r="U1" s="536"/>
      <c r="V1" s="536"/>
      <c r="W1" s="536"/>
      <c r="X1" s="536"/>
      <c r="Y1" s="536"/>
      <c r="Z1" s="536"/>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U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1</v>
      </c>
    </row>
    <row r="3" spans="2:52" ht="38.25" thickBot="1" x14ac:dyDescent="0.3">
      <c r="U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לקריטריונים'!B181</f>
        <v>סעיף</v>
      </c>
      <c r="G4" s="406" t="str">
        <f>'פרמטרים לקריטריונים'!C181</f>
        <v>ניקוד</v>
      </c>
      <c r="AD4" s="192" t="s">
        <v>128</v>
      </c>
      <c r="AE4" s="234">
        <v>1</v>
      </c>
      <c r="AF4" s="235">
        <v>2</v>
      </c>
      <c r="AG4" s="235">
        <v>3</v>
      </c>
      <c r="AH4" s="235">
        <v>4</v>
      </c>
      <c r="AI4" s="235">
        <v>5</v>
      </c>
      <c r="AJ4" s="235">
        <v>6</v>
      </c>
      <c r="AK4" s="235">
        <v>7</v>
      </c>
      <c r="AL4" s="235">
        <v>8</v>
      </c>
      <c r="AM4" s="235">
        <v>9</v>
      </c>
      <c r="AN4" s="236">
        <v>10</v>
      </c>
    </row>
    <row r="5" spans="2:52" ht="16.5" thickBot="1" x14ac:dyDescent="0.3">
      <c r="F5" s="407" t="str">
        <f>'פרמטרים לקריטריונים'!B182</f>
        <v>בעד כל יצירה ישראלית</v>
      </c>
      <c r="G5" s="411">
        <f>'פרמטרים לקריטריונים'!C182</f>
        <v>1</v>
      </c>
    </row>
    <row r="6" spans="2:52" ht="16.5" hidden="1" thickBot="1" x14ac:dyDescent="0.3"/>
    <row r="7" spans="2:52" hidden="1" x14ac:dyDescent="0.25"/>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15.75" hidden="1" customHeight="1" x14ac:dyDescent="0.25"/>
    <row r="22" spans="1:62" ht="15.75" hidden="1" customHeight="1" x14ac:dyDescent="0.25"/>
    <row r="23" spans="1:62" ht="15.75" hidden="1" customHeight="1" x14ac:dyDescent="0.25">
      <c r="F23" s="410" t="str">
        <f>'פרמטרים לקריטריונים'!$D$31</f>
        <v>החלת מקדם תלוי משתנה</v>
      </c>
      <c r="G23" s="411">
        <f ca="1">VLOOKUP(B1,'פרמטרים לקריטריונים'!$B$32:$D$46,3,0)</f>
        <v>0</v>
      </c>
    </row>
    <row r="24" spans="1:62" ht="15.75" hidden="1" customHeight="1" x14ac:dyDescent="0.25">
      <c r="B24" s="214"/>
      <c r="C24" s="214"/>
      <c r="D24" s="214"/>
      <c r="E24" s="214"/>
      <c r="F24" s="214"/>
      <c r="G24" s="3"/>
      <c r="H24" s="3"/>
      <c r="I24" s="3"/>
      <c r="J24" s="3"/>
      <c r="K24" s="3"/>
      <c r="L24" s="3"/>
      <c r="M24" s="3"/>
      <c r="N24" s="3"/>
      <c r="O24" s="3"/>
      <c r="P24" s="3"/>
      <c r="Q24" s="3"/>
      <c r="R24" s="3"/>
      <c r="S24" s="3"/>
      <c r="T24" s="3"/>
      <c r="U24" s="3"/>
      <c r="V24" s="3"/>
      <c r="W24" s="3"/>
      <c r="X24" s="3"/>
      <c r="Y24" s="3"/>
      <c r="Z24" s="3"/>
    </row>
    <row r="25" spans="1:62" ht="15.75" hidden="1" customHeight="1" x14ac:dyDescent="0.25"/>
    <row r="26" spans="1:62" ht="15.75" hidden="1" customHeight="1" x14ac:dyDescent="0.25">
      <c r="F26" s="3"/>
      <c r="G26" s="3"/>
      <c r="H26" s="3"/>
      <c r="I26" s="3"/>
      <c r="J26" s="3"/>
      <c r="K26" s="3"/>
      <c r="L26" s="3"/>
      <c r="M26" s="3"/>
      <c r="N26" s="3"/>
      <c r="O26" s="3"/>
      <c r="P26" s="3"/>
      <c r="Q26" s="3"/>
      <c r="R26" s="3"/>
      <c r="S26" s="3"/>
      <c r="T26" s="3"/>
      <c r="U26" s="3"/>
      <c r="V26" s="3"/>
      <c r="W26" s="3"/>
      <c r="X26" s="3"/>
      <c r="Y26" s="3"/>
    </row>
    <row r="27" spans="1:62" ht="15.75" hidden="1" customHeight="1" thickBot="1" x14ac:dyDescent="0.3">
      <c r="B27" s="214"/>
      <c r="C27" s="214"/>
      <c r="D27" s="214"/>
      <c r="E27" s="214"/>
      <c r="F27" s="214"/>
      <c r="G27" s="3"/>
      <c r="H27" s="3"/>
      <c r="I27" s="3"/>
      <c r="J27" s="3"/>
      <c r="K27" s="3"/>
      <c r="L27" s="3"/>
      <c r="M27" s="3"/>
      <c r="N27" s="3"/>
      <c r="O27" s="3"/>
      <c r="P27" s="3"/>
      <c r="Q27" s="3"/>
      <c r="R27" s="3"/>
      <c r="S27" s="3"/>
      <c r="T27" s="3"/>
      <c r="U27" s="3"/>
      <c r="V27" s="3"/>
      <c r="W27" s="3"/>
      <c r="X27" s="3"/>
      <c r="Y27" s="3"/>
      <c r="Z27" s="3"/>
    </row>
    <row r="28" spans="1:62" ht="16.5" customHeight="1" thickBot="1" x14ac:dyDescent="0.3">
      <c r="A28" s="221"/>
      <c r="B28" s="214"/>
      <c r="C28" s="214"/>
      <c r="D28" s="214"/>
      <c r="E28" s="214"/>
      <c r="F28" s="214"/>
      <c r="G28" s="3"/>
      <c r="H28" s="3"/>
      <c r="I28" s="3"/>
      <c r="J28" s="3"/>
      <c r="K28" s="3"/>
      <c r="L28" s="3"/>
      <c r="M28" s="3"/>
      <c r="N28" s="3"/>
      <c r="O28" s="3"/>
      <c r="P28" s="3"/>
      <c r="Q28" s="3"/>
      <c r="R28" s="3"/>
      <c r="S28" s="3"/>
      <c r="T28" s="3"/>
      <c r="U28" s="3"/>
      <c r="V28" s="3"/>
      <c r="W28" s="3"/>
      <c r="X28" s="3"/>
      <c r="Y28" s="3"/>
      <c r="AA28" s="167">
        <f>IF(SUM(AA31:AA130)=COUNT(AA31:AA130),1,0)</f>
        <v>0</v>
      </c>
      <c r="AD28" s="192">
        <f>MATCH(G$30,$AE$1:$AM$1,0)</f>
        <v>5</v>
      </c>
      <c r="AE28" s="192" t="e">
        <f t="shared" ref="AE28:AV28" si="0">MATCH(H$30,$AE$1:$AM$1,0)</f>
        <v>#N/A</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63.75" thickBot="1" x14ac:dyDescent="0.3">
      <c r="A29" s="221">
        <v>100</v>
      </c>
      <c r="B29" s="544" t="s">
        <v>132</v>
      </c>
      <c r="C29" s="546">
        <f>COLUMN()</f>
        <v>3</v>
      </c>
      <c r="D29" s="546">
        <f>COLUMN()</f>
        <v>4</v>
      </c>
      <c r="E29" s="546">
        <f>COLUMN()</f>
        <v>5</v>
      </c>
      <c r="F29" s="542" t="s">
        <v>133</v>
      </c>
      <c r="G29" s="239" t="s">
        <v>218</v>
      </c>
      <c r="H29" s="232" t="s">
        <v>211</v>
      </c>
      <c r="I29" s="232" t="s">
        <v>201</v>
      </c>
      <c r="J29" s="232" t="s">
        <v>202</v>
      </c>
      <c r="K29" s="232" t="s">
        <v>203</v>
      </c>
      <c r="L29" s="232" t="s">
        <v>204</v>
      </c>
      <c r="M29" s="232" t="s">
        <v>205</v>
      </c>
      <c r="N29" s="232" t="s">
        <v>206</v>
      </c>
      <c r="O29" s="232" t="s">
        <v>207</v>
      </c>
      <c r="P29" s="232" t="s">
        <v>117</v>
      </c>
      <c r="Q29" s="546">
        <f>COLUMN()</f>
        <v>17</v>
      </c>
      <c r="R29" s="546">
        <f>COLUMN()</f>
        <v>18</v>
      </c>
      <c r="S29" s="546">
        <f>COLUMN()</f>
        <v>19</v>
      </c>
      <c r="T29" s="546">
        <f>COLUMN()</f>
        <v>20</v>
      </c>
      <c r="U29" s="542" t="s">
        <v>197</v>
      </c>
      <c r="V29" s="546" t="s">
        <v>190</v>
      </c>
      <c r="W29" s="546" t="s">
        <v>191</v>
      </c>
      <c r="X29" s="546" t="s">
        <v>190</v>
      </c>
      <c r="Y29" s="546" t="s">
        <v>192</v>
      </c>
      <c r="Z29" s="553" t="s">
        <v>199</v>
      </c>
      <c r="AA29" s="224" t="s">
        <v>159</v>
      </c>
      <c r="AD29" s="192" t="str">
        <f>"בקרת "&amp;G29</f>
        <v>בקרת מספר יצירות ישראליות שנכללו בהפקה מוסיקלית בשנת ההערכה, שמשכה 6 דקות ומעלה</v>
      </c>
      <c r="AE29" s="192" t="str">
        <f>"בקרת "&amp;H29</f>
        <v>בקרת טור הזנת מספר</v>
      </c>
      <c r="AF29" s="192" t="str">
        <f t="shared" ref="AF29:AV29" si="1">"בקרת "&amp;I29</f>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"בקרת "&amp;P28</f>
        <v xml:space="preserve">בקרת </v>
      </c>
      <c r="AN29" s="192" t="str">
        <f>"בקרת "&amp;Q28</f>
        <v xml:space="preserve">בקרת </v>
      </c>
      <c r="AO29" s="192" t="str">
        <f t="shared" si="1"/>
        <v>בקרת 18</v>
      </c>
      <c r="AP29" s="192" t="str">
        <f t="shared" si="1"/>
        <v>בקרת 19</v>
      </c>
      <c r="AQ29" s="192" t="str">
        <f t="shared" si="1"/>
        <v>בקרת 20</v>
      </c>
      <c r="AR29" s="192" t="str">
        <f>"בקרת "&amp;U28</f>
        <v xml:space="preserve">בקרת </v>
      </c>
      <c r="AS29" s="192" t="str">
        <f t="shared" si="1"/>
        <v>בקרת נתון למכפיל1</v>
      </c>
      <c r="AT29" s="192" t="str">
        <f t="shared" si="1"/>
        <v>בקרת ניקוד לאחר מכפיל1</v>
      </c>
      <c r="AU29" s="192" t="str">
        <f t="shared" si="1"/>
        <v>בקרת נתון למכפיל1</v>
      </c>
      <c r="AV29" s="192" t="str">
        <f t="shared" si="1"/>
        <v>בקרת ניקוד לאחר מכפיל2</v>
      </c>
      <c r="BA29" s="192" t="s">
        <v>128</v>
      </c>
    </row>
    <row r="30" spans="1:62" ht="23.25" customHeight="1" thickBot="1" x14ac:dyDescent="0.3">
      <c r="A30" s="225"/>
      <c r="B30" s="545"/>
      <c r="C30" s="547"/>
      <c r="D30" s="547"/>
      <c r="E30" s="547"/>
      <c r="F30" s="543"/>
      <c r="G30" s="240" t="s">
        <v>121</v>
      </c>
      <c r="H30" s="233"/>
      <c r="I30" s="233"/>
      <c r="J30" s="233"/>
      <c r="K30" s="233"/>
      <c r="L30" s="233"/>
      <c r="M30" s="233"/>
      <c r="N30" s="233"/>
      <c r="O30" s="233"/>
      <c r="P30" s="233"/>
      <c r="Q30" s="547"/>
      <c r="R30" s="547"/>
      <c r="S30" s="547"/>
      <c r="T30" s="547"/>
      <c r="U30" s="543"/>
      <c r="V30" s="547"/>
      <c r="W30" s="547"/>
      <c r="X30" s="547"/>
      <c r="Y30" s="547"/>
      <c r="Z30" s="554"/>
      <c r="AB30" s="192">
        <v>0</v>
      </c>
      <c r="AC30" s="192">
        <v>1</v>
      </c>
      <c r="AD30" s="192" t="str">
        <f>G30</f>
        <v>מספר שלם שאינו שלילי</v>
      </c>
      <c r="AE30" s="192">
        <f>H30</f>
        <v>0</v>
      </c>
      <c r="AF30" s="192">
        <f t="shared" ref="AF30:AV30" si="2">I30</f>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18" customHeight="1" x14ac:dyDescent="0.25">
      <c r="B31" s="160">
        <f>IF(F31="","",ROW()-30)</f>
        <v>1</v>
      </c>
      <c r="C31" s="157"/>
      <c r="D31" s="157"/>
      <c r="E31" s="157"/>
      <c r="F31" s="241" t="str">
        <f>IF('תנאי סף'!AO31&lt;&gt;1,"",'תנאי סף'!F31)</f>
        <v>אנסמבל פרץ אליהו</v>
      </c>
      <c r="G31" s="158">
        <v>8</v>
      </c>
      <c r="H31" s="176"/>
      <c r="I31" s="158"/>
      <c r="J31" s="176"/>
      <c r="K31" s="158"/>
      <c r="L31" s="176"/>
      <c r="M31" s="158"/>
      <c r="N31" s="158"/>
      <c r="O31" s="158"/>
      <c r="P31" s="177"/>
      <c r="Q31" s="159"/>
      <c r="R31" s="159"/>
      <c r="S31" s="159"/>
      <c r="T31" s="159"/>
      <c r="U31" s="159">
        <f>IF($F31="","",IF($AA31&lt;&gt;1,$AB$1,G31*$G$5))</f>
        <v>8</v>
      </c>
      <c r="V31" s="159">
        <v>1</v>
      </c>
      <c r="W31" s="159">
        <f>IF($F31="","",IF($AA31&lt;&gt;1,$AB$1,IFERROR(U31*V31,$AB$1)))</f>
        <v>8</v>
      </c>
      <c r="X31" s="159">
        <v>1</v>
      </c>
      <c r="Y31" s="159">
        <f>IF($F31="","",IF($AA31&lt;&gt;1,$AB$1,IFERROR(W31*X31,$AB$1)))</f>
        <v>8</v>
      </c>
      <c r="Z31" s="343">
        <f>IF($F31="","",IF(OR($AA31&lt;&gt;1,Y31=$AB$1),$AB$1,IFERROR(Y31/SUM($Y$31:$Y$130),0)))</f>
        <v>2.7210884353741496E-2</v>
      </c>
      <c r="AA31" s="192">
        <f>IF(SUM(AD31:AV31)=COUNT(AD31:AV31),1,0)</f>
        <v>1</v>
      </c>
      <c r="AB31" s="192">
        <f>IF($F31="","",AB$30)</f>
        <v>0</v>
      </c>
      <c r="AC31" s="192">
        <f>IF($F31="","",AC$30)</f>
        <v>1</v>
      </c>
      <c r="AD31" s="192">
        <f>IF(G$30="",1,IF(G31="",0,IFERROR(CHOOSE(AD$28,IF(ISNA(MATCH(G31,$AB$30:$AC$30,0)),0,1),IF(ISNUMBER(G31),1,0),IF(G31=TRUNC(G31),1,0),IF(AND(G31*1=G31,G31&gt;=0),1,0),IF(AND(G31=TRUNC(G31),G31&gt;=0),1,0),IF(AND(G31*1=G31,G31&gt;0),1,0),IF(AND(G31=TRUNC(G31),G31&gt;0),1,0),1,IF(ISNA(HLOOKUP(G31,$AE$4:$AN$4,1,0)),0,1)),0)))</f>
        <v>1</v>
      </c>
      <c r="BA31" s="192">
        <f>IF($F31="","",BA$30)</f>
        <v>1</v>
      </c>
      <c r="BB31" s="192">
        <f t="shared" ref="BB31:BJ31" si="4">IF($F31="","",BB$30)</f>
        <v>2</v>
      </c>
      <c r="BC31" s="192">
        <f t="shared" si="4"/>
        <v>3</v>
      </c>
      <c r="BD31" s="192">
        <f t="shared" si="4"/>
        <v>4</v>
      </c>
      <c r="BE31" s="192">
        <f t="shared" si="4"/>
        <v>5</v>
      </c>
      <c r="BF31" s="192">
        <f t="shared" si="4"/>
        <v>6</v>
      </c>
      <c r="BG31" s="192">
        <f t="shared" si="4"/>
        <v>7</v>
      </c>
      <c r="BH31" s="192">
        <f t="shared" si="4"/>
        <v>8</v>
      </c>
      <c r="BI31" s="192">
        <f t="shared" si="4"/>
        <v>9</v>
      </c>
      <c r="BJ31" s="192">
        <f t="shared" si="4"/>
        <v>10</v>
      </c>
    </row>
    <row r="32" spans="1:62" ht="18" customHeight="1" x14ac:dyDescent="0.25">
      <c r="B32" s="242" t="str">
        <f t="shared" ref="B32:B95" si="5">IF(F32="","",ROW()-30)</f>
        <v/>
      </c>
      <c r="C32" s="4"/>
      <c r="D32" s="4"/>
      <c r="E32" s="4"/>
      <c r="F32" s="230" t="str">
        <f>IF('תנאי סף'!AO32&lt;&gt;1,"",'תנאי סף'!F32)</f>
        <v/>
      </c>
      <c r="G32" s="6"/>
      <c r="H32" s="5"/>
      <c r="I32" s="6"/>
      <c r="J32" s="5"/>
      <c r="K32" s="6"/>
      <c r="L32" s="5"/>
      <c r="M32" s="6"/>
      <c r="N32" s="6"/>
      <c r="O32" s="158"/>
      <c r="P32" s="177"/>
      <c r="Q32" s="8"/>
      <c r="R32" s="8"/>
      <c r="S32" s="8"/>
      <c r="T32" s="8"/>
      <c r="U32" s="159" t="str">
        <f t="shared" ref="U32:U95" si="6">IF($F32="","",IF($AA32&lt;&gt;1,$AB$1,G32*$G$5))</f>
        <v/>
      </c>
      <c r="V32" s="8">
        <v>1</v>
      </c>
      <c r="W32" s="8" t="str">
        <f t="shared" ref="W32:W95" si="7">IF($F32="","",IF($AA32&lt;&gt;1,$AB$1,IFERROR(U32*V32,$AB$1)))</f>
        <v/>
      </c>
      <c r="X32" s="8">
        <v>1</v>
      </c>
      <c r="Y32" s="8" t="str">
        <f t="shared" ref="Y32:Y95" si="8">IF($F32="","",IF($AA32&lt;&gt;1,$AB$1,IFERROR(W32*X32,$AB$1)))</f>
        <v/>
      </c>
      <c r="Z32" s="351" t="str">
        <f t="shared" ref="Z32:Z95" si="9">IF($F32="","",IF(OR($AA32&lt;&gt;1,Y32=$AB$1),$AB$1,IFERROR(Y32/SUM($Y$31:$Y$130),0)))</f>
        <v/>
      </c>
      <c r="AA32" s="192">
        <f t="shared" ref="AA32:AA95" si="10">IF(SUM(AD32:AV32)=COUNT(AD32:AV32),1,0)</f>
        <v>0</v>
      </c>
      <c r="AB32" s="192" t="str">
        <f t="shared" ref="AB32:AC63" si="11">IF($F32="","",AB$30)</f>
        <v/>
      </c>
      <c r="AC32" s="192" t="str">
        <f t="shared" si="11"/>
        <v/>
      </c>
      <c r="AD32" s="192">
        <f t="shared" ref="AD32:AD95" si="12">IF(G$30="",1,IF(G32="",0,IFERROR(CHOOSE(AD$28,IF(ISNA(MATCH(G32,$AB$30:$AC$30,0)),0,1),IF(ISNUMBER(G32),1,0),IF(G32=TRUNC(G32),1,0),IF(AND(G32*1=G32,G32&gt;=0),1,0),IF(AND(G32=TRUNC(G32),G32&gt;=0),1,0),IF(AND(G32*1=G32,G32&gt;0),1,0),IF(AND(G32=TRUNC(G32),G32&gt;0),1,0),1,IF(ISNA(HLOOKUP(G32,$AE$4:$AN$4,1,0)),0,1)),0)))</f>
        <v>0</v>
      </c>
    </row>
    <row r="33" spans="2:30" ht="18" customHeight="1" x14ac:dyDescent="0.25">
      <c r="B33" s="242" t="str">
        <f t="shared" si="5"/>
        <v/>
      </c>
      <c r="C33" s="4"/>
      <c r="D33" s="4"/>
      <c r="E33" s="4"/>
      <c r="F33" s="230" t="str">
        <f>IF('תנאי סף'!AO33&lt;&gt;1,"",'תנאי סף'!F33)</f>
        <v/>
      </c>
      <c r="G33" s="6"/>
      <c r="H33" s="5"/>
      <c r="I33" s="6"/>
      <c r="J33" s="5"/>
      <c r="K33" s="6"/>
      <c r="L33" s="5"/>
      <c r="M33" s="6"/>
      <c r="N33" s="6"/>
      <c r="O33" s="158"/>
      <c r="P33" s="177"/>
      <c r="Q33" s="8"/>
      <c r="R33" s="8"/>
      <c r="S33" s="8"/>
      <c r="T33" s="8"/>
      <c r="U33" s="159" t="str">
        <f t="shared" si="6"/>
        <v/>
      </c>
      <c r="V33" s="8">
        <v>1</v>
      </c>
      <c r="W33" s="8" t="str">
        <f t="shared" si="7"/>
        <v/>
      </c>
      <c r="X33" s="8">
        <v>1</v>
      </c>
      <c r="Y33" s="8" t="str">
        <f t="shared" si="8"/>
        <v/>
      </c>
      <c r="Z33" s="351" t="str">
        <f t="shared" si="9"/>
        <v/>
      </c>
      <c r="AA33" s="192">
        <f t="shared" si="10"/>
        <v>0</v>
      </c>
      <c r="AB33" s="192" t="str">
        <f t="shared" si="11"/>
        <v/>
      </c>
      <c r="AC33" s="192" t="str">
        <f t="shared" si="11"/>
        <v/>
      </c>
      <c r="AD33" s="192">
        <f t="shared" si="12"/>
        <v>0</v>
      </c>
    </row>
    <row r="34" spans="2:30" ht="18" customHeight="1" x14ac:dyDescent="0.25">
      <c r="B34" s="242">
        <f t="shared" si="5"/>
        <v>4</v>
      </c>
      <c r="C34" s="4"/>
      <c r="D34" s="4"/>
      <c r="E34" s="4"/>
      <c r="F34" s="230" t="str">
        <f>IF('תנאי סף'!AO34&lt;&gt;1,"",'תנאי סף'!F34)</f>
        <v>יניב ד'אור - אנסמבל נאיה</v>
      </c>
      <c r="G34" s="6">
        <v>3</v>
      </c>
      <c r="H34" s="5"/>
      <c r="I34" s="6"/>
      <c r="J34" s="5"/>
      <c r="K34" s="6"/>
      <c r="L34" s="5"/>
      <c r="M34" s="6"/>
      <c r="N34" s="6"/>
      <c r="O34" s="158"/>
      <c r="P34" s="177"/>
      <c r="Q34" s="8"/>
      <c r="R34" s="8"/>
      <c r="S34" s="8"/>
      <c r="T34" s="8"/>
      <c r="U34" s="159">
        <f t="shared" si="6"/>
        <v>3</v>
      </c>
      <c r="V34" s="8">
        <v>1</v>
      </c>
      <c r="W34" s="8">
        <f t="shared" si="7"/>
        <v>3</v>
      </c>
      <c r="X34" s="8">
        <v>1</v>
      </c>
      <c r="Y34" s="8">
        <f t="shared" si="8"/>
        <v>3</v>
      </c>
      <c r="Z34" s="351">
        <f t="shared" si="9"/>
        <v>1.020408163265306E-2</v>
      </c>
      <c r="AA34" s="192">
        <f t="shared" si="10"/>
        <v>1</v>
      </c>
      <c r="AB34" s="192">
        <f t="shared" si="11"/>
        <v>0</v>
      </c>
      <c r="AC34" s="192">
        <f t="shared" si="11"/>
        <v>1</v>
      </c>
      <c r="AD34" s="192">
        <f t="shared" si="12"/>
        <v>1</v>
      </c>
    </row>
    <row r="35" spans="2:30" ht="18" customHeight="1" x14ac:dyDescent="0.25">
      <c r="B35" s="242" t="str">
        <f t="shared" si="5"/>
        <v/>
      </c>
      <c r="C35" s="4"/>
      <c r="D35" s="4"/>
      <c r="E35" s="4"/>
      <c r="F35" s="230" t="str">
        <f>IF('תנאי סף'!AO35&lt;&gt;1,"",'תנאי סף'!F35)</f>
        <v/>
      </c>
      <c r="G35" s="6"/>
      <c r="H35" s="5"/>
      <c r="I35" s="6"/>
      <c r="J35" s="5"/>
      <c r="K35" s="6"/>
      <c r="L35" s="5"/>
      <c r="M35" s="6"/>
      <c r="N35" s="6"/>
      <c r="O35" s="158"/>
      <c r="P35" s="177"/>
      <c r="Q35" s="8"/>
      <c r="R35" s="8"/>
      <c r="S35" s="8"/>
      <c r="T35" s="8"/>
      <c r="U35" s="159" t="str">
        <f t="shared" si="6"/>
        <v/>
      </c>
      <c r="V35" s="8">
        <v>1</v>
      </c>
      <c r="W35" s="8" t="str">
        <f t="shared" si="7"/>
        <v/>
      </c>
      <c r="X35" s="8">
        <v>1</v>
      </c>
      <c r="Y35" s="8" t="str">
        <f t="shared" si="8"/>
        <v/>
      </c>
      <c r="Z35" s="351" t="str">
        <f t="shared" si="9"/>
        <v/>
      </c>
      <c r="AA35" s="192">
        <f t="shared" si="10"/>
        <v>0</v>
      </c>
      <c r="AB35" s="192" t="str">
        <f t="shared" si="11"/>
        <v/>
      </c>
      <c r="AC35" s="192" t="str">
        <f t="shared" si="11"/>
        <v/>
      </c>
      <c r="AD35" s="192">
        <f t="shared" si="12"/>
        <v>0</v>
      </c>
    </row>
    <row r="36" spans="2:30" ht="18" customHeight="1" x14ac:dyDescent="0.25">
      <c r="B36" s="242">
        <f t="shared" si="5"/>
        <v>6</v>
      </c>
      <c r="C36" s="4"/>
      <c r="D36" s="4"/>
      <c r="E36" s="4"/>
      <c r="F36" s="230" t="str">
        <f>IF('תנאי סף'!AO36&lt;&gt;1,"",'תנאי סף'!F36)</f>
        <v>הפרויקט הקאמרי הישראלי</v>
      </c>
      <c r="G36" s="6">
        <v>6</v>
      </c>
      <c r="H36" s="5"/>
      <c r="I36" s="6"/>
      <c r="J36" s="5"/>
      <c r="K36" s="6"/>
      <c r="L36" s="5"/>
      <c r="M36" s="6"/>
      <c r="N36" s="6"/>
      <c r="O36" s="158"/>
      <c r="P36" s="177"/>
      <c r="Q36" s="8"/>
      <c r="R36" s="8"/>
      <c r="S36" s="8"/>
      <c r="T36" s="8"/>
      <c r="U36" s="159">
        <f t="shared" si="6"/>
        <v>6</v>
      </c>
      <c r="V36" s="8">
        <v>1</v>
      </c>
      <c r="W36" s="8">
        <f t="shared" si="7"/>
        <v>6</v>
      </c>
      <c r="X36" s="8">
        <v>1</v>
      </c>
      <c r="Y36" s="8">
        <f t="shared" si="8"/>
        <v>6</v>
      </c>
      <c r="Z36" s="351">
        <f t="shared" si="9"/>
        <v>2.0408163265306121E-2</v>
      </c>
      <c r="AA36" s="192">
        <f t="shared" si="10"/>
        <v>1</v>
      </c>
      <c r="AB36" s="192">
        <f t="shared" si="11"/>
        <v>0</v>
      </c>
      <c r="AC36" s="192">
        <f t="shared" si="11"/>
        <v>1</v>
      </c>
      <c r="AD36" s="192">
        <f t="shared" si="12"/>
        <v>1</v>
      </c>
    </row>
    <row r="37" spans="2:30" ht="18" customHeight="1" x14ac:dyDescent="0.25">
      <c r="B37" s="242">
        <f t="shared" si="5"/>
        <v>7</v>
      </c>
      <c r="C37" s="4"/>
      <c r="D37" s="4"/>
      <c r="E37" s="4"/>
      <c r="F37" s="230" t="str">
        <f>IF('תנאי סף'!AO37&lt;&gt;1,"",'תנאי סף'!F37)</f>
        <v>מארש דונדורמה</v>
      </c>
      <c r="G37" s="6">
        <v>3</v>
      </c>
      <c r="H37" s="5"/>
      <c r="I37" s="6"/>
      <c r="J37" s="5"/>
      <c r="K37" s="6"/>
      <c r="L37" s="5"/>
      <c r="M37" s="6"/>
      <c r="N37" s="6"/>
      <c r="O37" s="158"/>
      <c r="P37" s="177"/>
      <c r="Q37" s="8"/>
      <c r="R37" s="8"/>
      <c r="S37" s="8"/>
      <c r="T37" s="8"/>
      <c r="U37" s="159">
        <f t="shared" si="6"/>
        <v>3</v>
      </c>
      <c r="V37" s="8">
        <v>1</v>
      </c>
      <c r="W37" s="8">
        <f t="shared" si="7"/>
        <v>3</v>
      </c>
      <c r="X37" s="8">
        <v>1</v>
      </c>
      <c r="Y37" s="8">
        <f t="shared" si="8"/>
        <v>3</v>
      </c>
      <c r="Z37" s="351">
        <f t="shared" si="9"/>
        <v>1.020408163265306E-2</v>
      </c>
      <c r="AA37" s="192">
        <f t="shared" si="10"/>
        <v>1</v>
      </c>
      <c r="AB37" s="192">
        <f t="shared" si="11"/>
        <v>0</v>
      </c>
      <c r="AC37" s="192">
        <f t="shared" si="11"/>
        <v>1</v>
      </c>
      <c r="AD37" s="192">
        <f t="shared" si="12"/>
        <v>1</v>
      </c>
    </row>
    <row r="38" spans="2:30" ht="18" customHeight="1" x14ac:dyDescent="0.25">
      <c r="B38" s="242">
        <f t="shared" si="5"/>
        <v>8</v>
      </c>
      <c r="C38" s="4"/>
      <c r="D38" s="4"/>
      <c r="E38" s="4"/>
      <c r="F38" s="230" t="str">
        <f>IF('תנאי סף'!AO38&lt;&gt;1,"",'תנאי סף'!F38)</f>
        <v>להקת מורין נהדר</v>
      </c>
      <c r="G38" s="6">
        <v>0</v>
      </c>
      <c r="H38" s="5"/>
      <c r="I38" s="6"/>
      <c r="J38" s="5"/>
      <c r="K38" s="6"/>
      <c r="L38" s="5"/>
      <c r="M38" s="6"/>
      <c r="N38" s="6"/>
      <c r="O38" s="158"/>
      <c r="P38" s="177"/>
      <c r="Q38" s="8"/>
      <c r="R38" s="8"/>
      <c r="S38" s="8"/>
      <c r="T38" s="8"/>
      <c r="U38" s="159">
        <f t="shared" si="6"/>
        <v>0</v>
      </c>
      <c r="V38" s="8">
        <v>1</v>
      </c>
      <c r="W38" s="8">
        <f t="shared" si="7"/>
        <v>0</v>
      </c>
      <c r="X38" s="8">
        <v>1</v>
      </c>
      <c r="Y38" s="8">
        <f t="shared" si="8"/>
        <v>0</v>
      </c>
      <c r="Z38" s="351">
        <f t="shared" si="9"/>
        <v>0</v>
      </c>
      <c r="AA38" s="192">
        <f t="shared" si="10"/>
        <v>1</v>
      </c>
      <c r="AB38" s="192">
        <f t="shared" si="11"/>
        <v>0</v>
      </c>
      <c r="AC38" s="192">
        <f t="shared" si="11"/>
        <v>1</v>
      </c>
      <c r="AD38" s="192">
        <f t="shared" si="12"/>
        <v>1</v>
      </c>
    </row>
    <row r="39" spans="2:30" ht="18" customHeight="1" x14ac:dyDescent="0.25">
      <c r="B39" s="242" t="str">
        <f t="shared" si="5"/>
        <v/>
      </c>
      <c r="C39" s="4"/>
      <c r="D39" s="4"/>
      <c r="E39" s="4"/>
      <c r="F39" s="230" t="str">
        <f>IF('תנאי סף'!AO39&lt;&gt;1,"",'תנאי סף'!F39)</f>
        <v/>
      </c>
      <c r="G39" s="6"/>
      <c r="H39" s="5"/>
      <c r="I39" s="6"/>
      <c r="J39" s="5"/>
      <c r="K39" s="6"/>
      <c r="L39" s="5"/>
      <c r="M39" s="6"/>
      <c r="N39" s="6"/>
      <c r="O39" s="158"/>
      <c r="P39" s="177"/>
      <c r="Q39" s="8"/>
      <c r="R39" s="8"/>
      <c r="S39" s="8"/>
      <c r="T39" s="8"/>
      <c r="U39" s="159" t="str">
        <f t="shared" si="6"/>
        <v/>
      </c>
      <c r="V39" s="8">
        <v>1</v>
      </c>
      <c r="W39" s="8" t="str">
        <f t="shared" si="7"/>
        <v/>
      </c>
      <c r="X39" s="8">
        <v>1</v>
      </c>
      <c r="Y39" s="8" t="str">
        <f t="shared" si="8"/>
        <v/>
      </c>
      <c r="Z39" s="351" t="str">
        <f t="shared" si="9"/>
        <v/>
      </c>
      <c r="AA39" s="192">
        <f t="shared" si="10"/>
        <v>0</v>
      </c>
      <c r="AB39" s="192" t="str">
        <f t="shared" si="11"/>
        <v/>
      </c>
      <c r="AC39" s="192" t="str">
        <f t="shared" si="11"/>
        <v/>
      </c>
      <c r="AD39" s="192">
        <f t="shared" si="12"/>
        <v>0</v>
      </c>
    </row>
    <row r="40" spans="2:30" ht="18" customHeight="1" x14ac:dyDescent="0.25">
      <c r="B40" s="243">
        <f t="shared" si="5"/>
        <v>10</v>
      </c>
      <c r="C40" s="365"/>
      <c r="D40" s="365"/>
      <c r="E40" s="365"/>
      <c r="F40" s="371" t="str">
        <f>IF('תנאי סף'!AO40&lt;&gt;1,"",'תנאי סף'!F40)</f>
        <v>אנסמבל גלעד אפרת</v>
      </c>
      <c r="G40" s="367">
        <v>0</v>
      </c>
      <c r="H40" s="368"/>
      <c r="I40" s="367"/>
      <c r="J40" s="368"/>
      <c r="K40" s="367"/>
      <c r="L40" s="368"/>
      <c r="M40" s="367"/>
      <c r="N40" s="367"/>
      <c r="O40" s="412"/>
      <c r="P40" s="413"/>
      <c r="Q40" s="369"/>
      <c r="R40" s="369"/>
      <c r="S40" s="369"/>
      <c r="T40" s="369"/>
      <c r="U40" s="159">
        <f t="shared" si="6"/>
        <v>0</v>
      </c>
      <c r="V40" s="369">
        <v>1</v>
      </c>
      <c r="W40" s="369">
        <f t="shared" si="7"/>
        <v>0</v>
      </c>
      <c r="X40" s="369">
        <v>1</v>
      </c>
      <c r="Y40" s="369">
        <f t="shared" si="8"/>
        <v>0</v>
      </c>
      <c r="Z40" s="370">
        <f t="shared" si="9"/>
        <v>0</v>
      </c>
      <c r="AA40" s="192">
        <f t="shared" si="10"/>
        <v>1</v>
      </c>
      <c r="AB40" s="192">
        <f t="shared" si="11"/>
        <v>0</v>
      </c>
      <c r="AC40" s="192">
        <f t="shared" si="11"/>
        <v>1</v>
      </c>
      <c r="AD40" s="192">
        <f t="shared" si="12"/>
        <v>1</v>
      </c>
    </row>
    <row r="41" spans="2:30" ht="18" customHeight="1" x14ac:dyDescent="0.25">
      <c r="B41" s="7">
        <f t="shared" si="5"/>
        <v>11</v>
      </c>
      <c r="C41" s="4"/>
      <c r="D41" s="4"/>
      <c r="E41" s="4"/>
      <c r="F41" s="230" t="str">
        <f>IF('תנאי סף'!AO41&lt;&gt;1,"",'תנאי סף'!F41)</f>
        <v>רביעיית כרמל</v>
      </c>
      <c r="G41" s="6">
        <v>0</v>
      </c>
      <c r="H41" s="5"/>
      <c r="I41" s="6"/>
      <c r="J41" s="5"/>
      <c r="K41" s="6"/>
      <c r="L41" s="5"/>
      <c r="M41" s="6"/>
      <c r="N41" s="6"/>
      <c r="O41" s="158"/>
      <c r="P41" s="177"/>
      <c r="Q41" s="8"/>
      <c r="R41" s="8"/>
      <c r="S41" s="8"/>
      <c r="T41" s="8"/>
      <c r="U41" s="159">
        <f t="shared" si="6"/>
        <v>0</v>
      </c>
      <c r="V41" s="8">
        <v>1</v>
      </c>
      <c r="W41" s="8">
        <f t="shared" si="7"/>
        <v>0</v>
      </c>
      <c r="X41" s="8">
        <v>1</v>
      </c>
      <c r="Y41" s="8">
        <f t="shared" si="8"/>
        <v>0</v>
      </c>
      <c r="Z41" s="352">
        <f t="shared" si="9"/>
        <v>0</v>
      </c>
      <c r="AA41" s="192">
        <f t="shared" si="10"/>
        <v>1</v>
      </c>
      <c r="AB41" s="192">
        <f t="shared" si="11"/>
        <v>0</v>
      </c>
      <c r="AC41" s="192">
        <f t="shared" si="11"/>
        <v>1</v>
      </c>
      <c r="AD41" s="192">
        <f t="shared" si="12"/>
        <v>1</v>
      </c>
    </row>
    <row r="42" spans="2:30" ht="18" customHeight="1" x14ac:dyDescent="0.25">
      <c r="B42" s="7">
        <f t="shared" si="5"/>
        <v>12</v>
      </c>
      <c r="C42" s="4"/>
      <c r="D42" s="4"/>
      <c r="E42" s="4"/>
      <c r="F42" s="230" t="str">
        <f>IF('תנאי סף'!AO42&lt;&gt;1,"",'תנאי סף'!F42)</f>
        <v>שורולה</v>
      </c>
      <c r="G42" s="6">
        <v>0</v>
      </c>
      <c r="H42" s="5"/>
      <c r="I42" s="6"/>
      <c r="J42" s="5"/>
      <c r="K42" s="6"/>
      <c r="L42" s="5"/>
      <c r="M42" s="6"/>
      <c r="N42" s="6"/>
      <c r="O42" s="158"/>
      <c r="P42" s="177"/>
      <c r="Q42" s="8"/>
      <c r="R42" s="8"/>
      <c r="S42" s="8"/>
      <c r="T42" s="8"/>
      <c r="U42" s="159">
        <f t="shared" si="6"/>
        <v>0</v>
      </c>
      <c r="V42" s="8">
        <v>1</v>
      </c>
      <c r="W42" s="8">
        <f t="shared" si="7"/>
        <v>0</v>
      </c>
      <c r="X42" s="8">
        <v>1</v>
      </c>
      <c r="Y42" s="8">
        <f t="shared" si="8"/>
        <v>0</v>
      </c>
      <c r="Z42" s="352">
        <f t="shared" si="9"/>
        <v>0</v>
      </c>
      <c r="AA42" s="192">
        <f t="shared" si="10"/>
        <v>1</v>
      </c>
      <c r="AB42" s="192">
        <f t="shared" si="11"/>
        <v>0</v>
      </c>
      <c r="AC42" s="192">
        <f t="shared" si="11"/>
        <v>1</v>
      </c>
      <c r="AD42" s="192">
        <f t="shared" si="12"/>
        <v>1</v>
      </c>
    </row>
    <row r="43" spans="2:30" ht="18" customHeight="1" x14ac:dyDescent="0.25">
      <c r="B43" s="7" t="str">
        <f t="shared" si="5"/>
        <v/>
      </c>
      <c r="C43" s="4"/>
      <c r="D43" s="4"/>
      <c r="E43" s="4"/>
      <c r="F43" s="230" t="str">
        <f>IF('תנאי סף'!AO43&lt;&gt;1,"",'תנאי סף'!F43)</f>
        <v/>
      </c>
      <c r="G43" s="6"/>
      <c r="H43" s="5"/>
      <c r="I43" s="6"/>
      <c r="J43" s="5"/>
      <c r="K43" s="6"/>
      <c r="L43" s="5"/>
      <c r="M43" s="6"/>
      <c r="N43" s="6"/>
      <c r="O43" s="158"/>
      <c r="P43" s="177"/>
      <c r="Q43" s="8"/>
      <c r="R43" s="8"/>
      <c r="S43" s="8"/>
      <c r="T43" s="8"/>
      <c r="U43" s="159" t="str">
        <f t="shared" si="6"/>
        <v/>
      </c>
      <c r="V43" s="8">
        <v>1</v>
      </c>
      <c r="W43" s="8" t="str">
        <f t="shared" si="7"/>
        <v/>
      </c>
      <c r="X43" s="8">
        <v>1</v>
      </c>
      <c r="Y43" s="8" t="str">
        <f t="shared" si="8"/>
        <v/>
      </c>
      <c r="Z43" s="352" t="str">
        <f t="shared" si="9"/>
        <v/>
      </c>
      <c r="AA43" s="192">
        <f t="shared" si="10"/>
        <v>0</v>
      </c>
      <c r="AB43" s="192" t="str">
        <f t="shared" si="11"/>
        <v/>
      </c>
      <c r="AC43" s="192" t="str">
        <f t="shared" si="11"/>
        <v/>
      </c>
      <c r="AD43" s="192">
        <f t="shared" si="12"/>
        <v>0</v>
      </c>
    </row>
    <row r="44" spans="2:30" ht="18" customHeight="1" x14ac:dyDescent="0.25">
      <c r="B44" s="7" t="str">
        <f t="shared" si="5"/>
        <v/>
      </c>
      <c r="C44" s="4"/>
      <c r="D44" s="4"/>
      <c r="E44" s="4"/>
      <c r="F44" s="230" t="str">
        <f>IF('תנאי סף'!AO44&lt;&gt;1,"",'תנאי סף'!F44)</f>
        <v/>
      </c>
      <c r="G44" s="6"/>
      <c r="H44" s="5"/>
      <c r="I44" s="6"/>
      <c r="J44" s="5"/>
      <c r="K44" s="6"/>
      <c r="L44" s="5"/>
      <c r="M44" s="6"/>
      <c r="N44" s="6"/>
      <c r="O44" s="158"/>
      <c r="P44" s="177"/>
      <c r="Q44" s="8"/>
      <c r="R44" s="8"/>
      <c r="S44" s="8"/>
      <c r="T44" s="8"/>
      <c r="U44" s="159" t="str">
        <f t="shared" si="6"/>
        <v/>
      </c>
      <c r="V44" s="8">
        <v>1</v>
      </c>
      <c r="W44" s="8" t="str">
        <f t="shared" si="7"/>
        <v/>
      </c>
      <c r="X44" s="8">
        <v>1</v>
      </c>
      <c r="Y44" s="8" t="str">
        <f t="shared" si="8"/>
        <v/>
      </c>
      <c r="Z44" s="352" t="str">
        <f t="shared" si="9"/>
        <v/>
      </c>
      <c r="AA44" s="192">
        <f t="shared" si="10"/>
        <v>0</v>
      </c>
      <c r="AB44" s="192" t="str">
        <f t="shared" si="11"/>
        <v/>
      </c>
      <c r="AC44" s="192" t="str">
        <f t="shared" si="11"/>
        <v/>
      </c>
      <c r="AD44" s="192">
        <f t="shared" si="12"/>
        <v>0</v>
      </c>
    </row>
    <row r="45" spans="2:30" ht="18" customHeight="1" x14ac:dyDescent="0.25">
      <c r="B45" s="7" t="str">
        <f t="shared" si="5"/>
        <v/>
      </c>
      <c r="C45" s="4"/>
      <c r="D45" s="4"/>
      <c r="E45" s="4"/>
      <c r="F45" s="230" t="str">
        <f>IF('תנאי סף'!AO45&lt;&gt;1,"",'תנאי סף'!F45)</f>
        <v/>
      </c>
      <c r="G45" s="6"/>
      <c r="H45" s="5"/>
      <c r="I45" s="6"/>
      <c r="J45" s="5"/>
      <c r="K45" s="6"/>
      <c r="L45" s="5"/>
      <c r="M45" s="6"/>
      <c r="N45" s="6"/>
      <c r="O45" s="158"/>
      <c r="P45" s="177"/>
      <c r="Q45" s="8"/>
      <c r="R45" s="8"/>
      <c r="S45" s="8"/>
      <c r="T45" s="8"/>
      <c r="U45" s="159" t="str">
        <f t="shared" si="6"/>
        <v/>
      </c>
      <c r="V45" s="8">
        <v>1</v>
      </c>
      <c r="W45" s="8" t="str">
        <f t="shared" si="7"/>
        <v/>
      </c>
      <c r="X45" s="8">
        <v>1</v>
      </c>
      <c r="Y45" s="8" t="str">
        <f t="shared" si="8"/>
        <v/>
      </c>
      <c r="Z45" s="352" t="str">
        <f t="shared" si="9"/>
        <v/>
      </c>
      <c r="AA45" s="192">
        <f t="shared" si="10"/>
        <v>0</v>
      </c>
      <c r="AB45" s="192" t="str">
        <f t="shared" si="11"/>
        <v/>
      </c>
      <c r="AC45" s="192" t="str">
        <f t="shared" si="11"/>
        <v/>
      </c>
      <c r="AD45" s="192">
        <f t="shared" si="12"/>
        <v>0</v>
      </c>
    </row>
    <row r="46" spans="2:30" ht="18" customHeight="1" x14ac:dyDescent="0.25">
      <c r="B46" s="7" t="str">
        <f t="shared" si="5"/>
        <v/>
      </c>
      <c r="C46" s="4"/>
      <c r="D46" s="4"/>
      <c r="E46" s="4"/>
      <c r="F46" s="230" t="str">
        <f>IF('תנאי סף'!AO46&lt;&gt;1,"",'תנאי סף'!F46)</f>
        <v/>
      </c>
      <c r="G46" s="6"/>
      <c r="H46" s="5"/>
      <c r="I46" s="6"/>
      <c r="J46" s="5"/>
      <c r="K46" s="6"/>
      <c r="L46" s="5"/>
      <c r="M46" s="6"/>
      <c r="N46" s="6"/>
      <c r="O46" s="158"/>
      <c r="P46" s="177"/>
      <c r="Q46" s="8"/>
      <c r="R46" s="8"/>
      <c r="S46" s="8"/>
      <c r="T46" s="8"/>
      <c r="U46" s="159" t="str">
        <f t="shared" si="6"/>
        <v/>
      </c>
      <c r="V46" s="8">
        <v>1</v>
      </c>
      <c r="W46" s="8" t="str">
        <f t="shared" si="7"/>
        <v/>
      </c>
      <c r="X46" s="8">
        <v>1</v>
      </c>
      <c r="Y46" s="8" t="str">
        <f t="shared" si="8"/>
        <v/>
      </c>
      <c r="Z46" s="352" t="str">
        <f t="shared" si="9"/>
        <v/>
      </c>
      <c r="AA46" s="192">
        <f t="shared" si="10"/>
        <v>0</v>
      </c>
      <c r="AB46" s="192" t="str">
        <f t="shared" si="11"/>
        <v/>
      </c>
      <c r="AC46" s="192" t="str">
        <f t="shared" si="11"/>
        <v/>
      </c>
      <c r="AD46" s="192">
        <f t="shared" si="12"/>
        <v>0</v>
      </c>
    </row>
    <row r="47" spans="2:30" ht="18" customHeight="1" x14ac:dyDescent="0.25">
      <c r="B47" s="7">
        <f t="shared" si="5"/>
        <v>17</v>
      </c>
      <c r="C47" s="4"/>
      <c r="D47" s="4"/>
      <c r="E47" s="4"/>
      <c r="F47" s="230" t="str">
        <f>IF('תנאי סף'!AO47&lt;&gt;1,"",'תנאי סף'!F47)</f>
        <v>הרכב עמית פרידמן</v>
      </c>
      <c r="G47" s="6">
        <v>11</v>
      </c>
      <c r="H47" s="5"/>
      <c r="I47" s="6"/>
      <c r="J47" s="5"/>
      <c r="K47" s="6"/>
      <c r="L47" s="5"/>
      <c r="M47" s="6"/>
      <c r="N47" s="6"/>
      <c r="O47" s="158"/>
      <c r="P47" s="177"/>
      <c r="Q47" s="8"/>
      <c r="R47" s="8"/>
      <c r="S47" s="8"/>
      <c r="T47" s="8"/>
      <c r="U47" s="159">
        <f t="shared" si="6"/>
        <v>11</v>
      </c>
      <c r="V47" s="8">
        <v>1</v>
      </c>
      <c r="W47" s="8">
        <f t="shared" si="7"/>
        <v>11</v>
      </c>
      <c r="X47" s="8">
        <v>1</v>
      </c>
      <c r="Y47" s="8">
        <f t="shared" si="8"/>
        <v>11</v>
      </c>
      <c r="Z47" s="352">
        <f t="shared" si="9"/>
        <v>3.7414965986394558E-2</v>
      </c>
      <c r="AA47" s="192">
        <f t="shared" si="10"/>
        <v>1</v>
      </c>
      <c r="AB47" s="192">
        <f t="shared" si="11"/>
        <v>0</v>
      </c>
      <c r="AC47" s="192">
        <f t="shared" si="11"/>
        <v>1</v>
      </c>
      <c r="AD47" s="192">
        <f t="shared" si="12"/>
        <v>1</v>
      </c>
    </row>
    <row r="48" spans="2:30" ht="18" customHeight="1" x14ac:dyDescent="0.25">
      <c r="B48" s="7" t="str">
        <f t="shared" si="5"/>
        <v/>
      </c>
      <c r="C48" s="4"/>
      <c r="D48" s="4"/>
      <c r="E48" s="4"/>
      <c r="F48" s="230" t="str">
        <f>IF('תנאי סף'!AO48&lt;&gt;1,"",'תנאי סף'!F48)</f>
        <v/>
      </c>
      <c r="G48" s="6"/>
      <c r="H48" s="5"/>
      <c r="I48" s="6"/>
      <c r="J48" s="5"/>
      <c r="K48" s="6"/>
      <c r="L48" s="5"/>
      <c r="M48" s="6"/>
      <c r="N48" s="6"/>
      <c r="O48" s="158"/>
      <c r="P48" s="177"/>
      <c r="Q48" s="8"/>
      <c r="R48" s="8"/>
      <c r="S48" s="8"/>
      <c r="T48" s="8"/>
      <c r="U48" s="159" t="str">
        <f t="shared" si="6"/>
        <v/>
      </c>
      <c r="V48" s="8">
        <v>1</v>
      </c>
      <c r="W48" s="8" t="str">
        <f t="shared" si="7"/>
        <v/>
      </c>
      <c r="X48" s="8">
        <v>1</v>
      </c>
      <c r="Y48" s="8" t="str">
        <f t="shared" si="8"/>
        <v/>
      </c>
      <c r="Z48" s="352" t="str">
        <f t="shared" si="9"/>
        <v/>
      </c>
      <c r="AA48" s="192">
        <f t="shared" si="10"/>
        <v>0</v>
      </c>
      <c r="AB48" s="192" t="str">
        <f t="shared" si="11"/>
        <v/>
      </c>
      <c r="AC48" s="192" t="str">
        <f t="shared" si="11"/>
        <v/>
      </c>
      <c r="AD48" s="192">
        <f t="shared" si="12"/>
        <v>0</v>
      </c>
    </row>
    <row r="49" spans="2:30" ht="18" customHeight="1" x14ac:dyDescent="0.25">
      <c r="B49" s="7" t="str">
        <f t="shared" si="5"/>
        <v/>
      </c>
      <c r="C49" s="4"/>
      <c r="D49" s="4"/>
      <c r="E49" s="4"/>
      <c r="F49" s="230" t="str">
        <f>IF('תנאי סף'!AO49&lt;&gt;1,"",'תנאי סף'!F49)</f>
        <v/>
      </c>
      <c r="G49" s="6"/>
      <c r="H49" s="5"/>
      <c r="I49" s="6"/>
      <c r="J49" s="5"/>
      <c r="K49" s="6"/>
      <c r="L49" s="5"/>
      <c r="M49" s="6"/>
      <c r="N49" s="6"/>
      <c r="O49" s="158"/>
      <c r="P49" s="177"/>
      <c r="Q49" s="8"/>
      <c r="R49" s="8"/>
      <c r="S49" s="8"/>
      <c r="T49" s="8"/>
      <c r="U49" s="159" t="str">
        <f t="shared" si="6"/>
        <v/>
      </c>
      <c r="V49" s="8">
        <v>1</v>
      </c>
      <c r="W49" s="8" t="str">
        <f t="shared" si="7"/>
        <v/>
      </c>
      <c r="X49" s="8">
        <v>1</v>
      </c>
      <c r="Y49" s="8" t="str">
        <f t="shared" si="8"/>
        <v/>
      </c>
      <c r="Z49" s="352" t="str">
        <f t="shared" si="9"/>
        <v/>
      </c>
      <c r="AA49" s="192">
        <f t="shared" si="10"/>
        <v>0</v>
      </c>
      <c r="AB49" s="192" t="str">
        <f t="shared" si="11"/>
        <v/>
      </c>
      <c r="AC49" s="192" t="str">
        <f t="shared" si="11"/>
        <v/>
      </c>
      <c r="AD49" s="192">
        <f t="shared" si="12"/>
        <v>0</v>
      </c>
    </row>
    <row r="50" spans="2:30" ht="18" customHeight="1" x14ac:dyDescent="0.25">
      <c r="B50" s="7" t="str">
        <f t="shared" si="5"/>
        <v/>
      </c>
      <c r="C50" s="4"/>
      <c r="D50" s="4"/>
      <c r="E50" s="4"/>
      <c r="F50" s="230" t="str">
        <f>IF('תנאי סף'!AO50&lt;&gt;1,"",'תנאי סף'!F50)</f>
        <v/>
      </c>
      <c r="G50" s="6"/>
      <c r="H50" s="5"/>
      <c r="I50" s="6"/>
      <c r="J50" s="5"/>
      <c r="K50" s="6"/>
      <c r="L50" s="5"/>
      <c r="M50" s="6"/>
      <c r="N50" s="6"/>
      <c r="O50" s="158"/>
      <c r="P50" s="177"/>
      <c r="Q50" s="8"/>
      <c r="R50" s="8"/>
      <c r="S50" s="8"/>
      <c r="T50" s="8"/>
      <c r="U50" s="159" t="str">
        <f t="shared" si="6"/>
        <v/>
      </c>
      <c r="V50" s="8">
        <v>1</v>
      </c>
      <c r="W50" s="8" t="str">
        <f t="shared" si="7"/>
        <v/>
      </c>
      <c r="X50" s="8">
        <v>1</v>
      </c>
      <c r="Y50" s="8" t="str">
        <f t="shared" si="8"/>
        <v/>
      </c>
      <c r="Z50" s="352" t="str">
        <f t="shared" si="9"/>
        <v/>
      </c>
      <c r="AA50" s="192">
        <f t="shared" si="10"/>
        <v>0</v>
      </c>
      <c r="AB50" s="192" t="str">
        <f t="shared" si="11"/>
        <v/>
      </c>
      <c r="AC50" s="192" t="str">
        <f t="shared" si="11"/>
        <v/>
      </c>
      <c r="AD50" s="192">
        <f t="shared" si="12"/>
        <v>0</v>
      </c>
    </row>
    <row r="51" spans="2:30" ht="18" customHeight="1" x14ac:dyDescent="0.25">
      <c r="B51" s="7">
        <f t="shared" si="5"/>
        <v>21</v>
      </c>
      <c r="C51" s="4"/>
      <c r="D51" s="4"/>
      <c r="E51" s="4"/>
      <c r="F51" s="230" t="str">
        <f>IF('תנאי סף'!AO51&lt;&gt;1,"",'תנאי סף'!F51)</f>
        <v>חמישיית תל אביב לכלי נשיפה</v>
      </c>
      <c r="G51" s="6">
        <v>1</v>
      </c>
      <c r="H51" s="5"/>
      <c r="I51" s="6"/>
      <c r="J51" s="5"/>
      <c r="K51" s="6"/>
      <c r="L51" s="5"/>
      <c r="M51" s="6"/>
      <c r="N51" s="6"/>
      <c r="O51" s="158"/>
      <c r="P51" s="177"/>
      <c r="Q51" s="8"/>
      <c r="R51" s="8"/>
      <c r="S51" s="8"/>
      <c r="T51" s="8"/>
      <c r="U51" s="159">
        <f t="shared" si="6"/>
        <v>1</v>
      </c>
      <c r="V51" s="8">
        <v>1</v>
      </c>
      <c r="W51" s="8">
        <f t="shared" si="7"/>
        <v>1</v>
      </c>
      <c r="X51" s="8">
        <v>1</v>
      </c>
      <c r="Y51" s="8">
        <f t="shared" si="8"/>
        <v>1</v>
      </c>
      <c r="Z51" s="352">
        <f t="shared" si="9"/>
        <v>3.4013605442176869E-3</v>
      </c>
      <c r="AA51" s="192">
        <f t="shared" si="10"/>
        <v>1</v>
      </c>
      <c r="AB51" s="192">
        <f t="shared" si="11"/>
        <v>0</v>
      </c>
      <c r="AC51" s="192">
        <f t="shared" si="11"/>
        <v>1</v>
      </c>
      <c r="AD51" s="192">
        <f t="shared" si="12"/>
        <v>1</v>
      </c>
    </row>
    <row r="52" spans="2:30" ht="18" customHeight="1" x14ac:dyDescent="0.25">
      <c r="B52" s="7">
        <f t="shared" si="5"/>
        <v>22</v>
      </c>
      <c r="C52" s="4"/>
      <c r="D52" s="4"/>
      <c r="E52" s="4"/>
      <c r="F52" s="230" t="str">
        <f>IF('תנאי סף'!AO52&lt;&gt;1,"",'תנאי סף'!F52)</f>
        <v>הרכב אקוט</v>
      </c>
      <c r="G52" s="6">
        <v>16</v>
      </c>
      <c r="H52" s="5"/>
      <c r="I52" s="6"/>
      <c r="J52" s="5"/>
      <c r="K52" s="6"/>
      <c r="L52" s="5"/>
      <c r="M52" s="6"/>
      <c r="N52" s="6"/>
      <c r="O52" s="158"/>
      <c r="P52" s="177"/>
      <c r="Q52" s="8"/>
      <c r="R52" s="8"/>
      <c r="S52" s="8"/>
      <c r="T52" s="8"/>
      <c r="U52" s="159">
        <f t="shared" si="6"/>
        <v>16</v>
      </c>
      <c r="V52" s="8">
        <v>1</v>
      </c>
      <c r="W52" s="8">
        <f t="shared" si="7"/>
        <v>16</v>
      </c>
      <c r="X52" s="8">
        <v>1</v>
      </c>
      <c r="Y52" s="8">
        <f t="shared" si="8"/>
        <v>16</v>
      </c>
      <c r="Z52" s="352">
        <f t="shared" si="9"/>
        <v>5.4421768707482991E-2</v>
      </c>
      <c r="AA52" s="192">
        <f t="shared" si="10"/>
        <v>1</v>
      </c>
      <c r="AB52" s="192">
        <f t="shared" si="11"/>
        <v>0</v>
      </c>
      <c r="AC52" s="192">
        <f t="shared" si="11"/>
        <v>1</v>
      </c>
      <c r="AD52" s="192">
        <f t="shared" si="12"/>
        <v>1</v>
      </c>
    </row>
    <row r="53" spans="2:30" ht="18" customHeight="1" x14ac:dyDescent="0.25">
      <c r="B53" s="7">
        <f t="shared" si="5"/>
        <v>23</v>
      </c>
      <c r="C53" s="4"/>
      <c r="D53" s="4"/>
      <c r="E53" s="4"/>
      <c r="F53" s="230" t="str">
        <f>IF('תנאי סף'!AO53&lt;&gt;1,"",'תנאי סף'!F53)</f>
        <v>שלישיית עתר</v>
      </c>
      <c r="G53" s="6">
        <v>9</v>
      </c>
      <c r="H53" s="5"/>
      <c r="I53" s="6"/>
      <c r="J53" s="5"/>
      <c r="K53" s="6"/>
      <c r="L53" s="5"/>
      <c r="M53" s="6"/>
      <c r="N53" s="6"/>
      <c r="O53" s="158"/>
      <c r="P53" s="177"/>
      <c r="Q53" s="8"/>
      <c r="R53" s="8"/>
      <c r="S53" s="8"/>
      <c r="T53" s="8"/>
      <c r="U53" s="159">
        <f t="shared" si="6"/>
        <v>9</v>
      </c>
      <c r="V53" s="8">
        <v>1</v>
      </c>
      <c r="W53" s="8">
        <f t="shared" si="7"/>
        <v>9</v>
      </c>
      <c r="X53" s="8">
        <v>1</v>
      </c>
      <c r="Y53" s="8">
        <f t="shared" si="8"/>
        <v>9</v>
      </c>
      <c r="Z53" s="352">
        <f t="shared" si="9"/>
        <v>3.0612244897959183E-2</v>
      </c>
      <c r="AA53" s="192">
        <f t="shared" si="10"/>
        <v>1</v>
      </c>
      <c r="AB53" s="192">
        <f t="shared" si="11"/>
        <v>0</v>
      </c>
      <c r="AC53" s="192">
        <f t="shared" si="11"/>
        <v>1</v>
      </c>
      <c r="AD53" s="192">
        <f t="shared" si="12"/>
        <v>1</v>
      </c>
    </row>
    <row r="54" spans="2:30" ht="18" customHeight="1" x14ac:dyDescent="0.25">
      <c r="B54" s="7" t="str">
        <f t="shared" si="5"/>
        <v/>
      </c>
      <c r="C54" s="4"/>
      <c r="D54" s="4"/>
      <c r="E54" s="4"/>
      <c r="F54" s="230" t="str">
        <f>IF('תנאי סף'!AO54&lt;&gt;1,"",'תנאי סף'!F54)</f>
        <v/>
      </c>
      <c r="G54" s="6"/>
      <c r="H54" s="5"/>
      <c r="I54" s="6"/>
      <c r="J54" s="5"/>
      <c r="K54" s="6"/>
      <c r="L54" s="5"/>
      <c r="M54" s="6"/>
      <c r="N54" s="6"/>
      <c r="O54" s="158"/>
      <c r="P54" s="177"/>
      <c r="Q54" s="8"/>
      <c r="R54" s="8"/>
      <c r="S54" s="8"/>
      <c r="T54" s="8"/>
      <c r="U54" s="159" t="str">
        <f t="shared" si="6"/>
        <v/>
      </c>
      <c r="V54" s="8">
        <v>1</v>
      </c>
      <c r="W54" s="8" t="str">
        <f t="shared" si="7"/>
        <v/>
      </c>
      <c r="X54" s="8">
        <v>1</v>
      </c>
      <c r="Y54" s="8" t="str">
        <f t="shared" si="8"/>
        <v/>
      </c>
      <c r="Z54" s="352" t="str">
        <f t="shared" si="9"/>
        <v/>
      </c>
      <c r="AA54" s="192">
        <f t="shared" si="10"/>
        <v>0</v>
      </c>
      <c r="AB54" s="192" t="str">
        <f t="shared" si="11"/>
        <v/>
      </c>
      <c r="AC54" s="192" t="str">
        <f t="shared" si="11"/>
        <v/>
      </c>
      <c r="AD54" s="192">
        <f t="shared" si="12"/>
        <v>0</v>
      </c>
    </row>
    <row r="55" spans="2:30" ht="18" customHeight="1" x14ac:dyDescent="0.25">
      <c r="B55" s="7" t="str">
        <f t="shared" si="5"/>
        <v/>
      </c>
      <c r="C55" s="4"/>
      <c r="D55" s="4"/>
      <c r="E55" s="4"/>
      <c r="F55" s="230" t="str">
        <f>IF('תנאי סף'!AO55&lt;&gt;1,"",'תנאי סף'!F55)</f>
        <v/>
      </c>
      <c r="G55" s="6"/>
      <c r="H55" s="5"/>
      <c r="I55" s="6"/>
      <c r="J55" s="5"/>
      <c r="K55" s="6"/>
      <c r="L55" s="5"/>
      <c r="M55" s="6"/>
      <c r="N55" s="6"/>
      <c r="O55" s="158"/>
      <c r="P55" s="177"/>
      <c r="Q55" s="8"/>
      <c r="R55" s="8"/>
      <c r="S55" s="8"/>
      <c r="T55" s="8"/>
      <c r="U55" s="159" t="str">
        <f t="shared" si="6"/>
        <v/>
      </c>
      <c r="V55" s="8">
        <v>1</v>
      </c>
      <c r="W55" s="8" t="str">
        <f t="shared" si="7"/>
        <v/>
      </c>
      <c r="X55" s="8">
        <v>1</v>
      </c>
      <c r="Y55" s="8" t="str">
        <f t="shared" si="8"/>
        <v/>
      </c>
      <c r="Z55" s="352" t="str">
        <f t="shared" si="9"/>
        <v/>
      </c>
      <c r="AA55" s="192">
        <f t="shared" si="10"/>
        <v>0</v>
      </c>
      <c r="AB55" s="192" t="str">
        <f t="shared" si="11"/>
        <v/>
      </c>
      <c r="AC55" s="192" t="str">
        <f t="shared" si="11"/>
        <v/>
      </c>
      <c r="AD55" s="192">
        <f t="shared" si="12"/>
        <v>0</v>
      </c>
    </row>
    <row r="56" spans="2:30" ht="18" customHeight="1" x14ac:dyDescent="0.25">
      <c r="B56" s="7">
        <f t="shared" si="5"/>
        <v>26</v>
      </c>
      <c r="C56" s="4"/>
      <c r="D56" s="4"/>
      <c r="E56" s="4"/>
      <c r="F56" s="230" t="str">
        <f>IF('תנאי סף'!AO56&lt;&gt;1,"",'תנאי סף'!F56)</f>
        <v>אנסמבל מצו</v>
      </c>
      <c r="G56" s="6">
        <v>0</v>
      </c>
      <c r="H56" s="5"/>
      <c r="I56" s="6"/>
      <c r="J56" s="5"/>
      <c r="K56" s="6"/>
      <c r="L56" s="5"/>
      <c r="M56" s="6"/>
      <c r="N56" s="6"/>
      <c r="O56" s="158"/>
      <c r="P56" s="177"/>
      <c r="Q56" s="8"/>
      <c r="R56" s="8"/>
      <c r="S56" s="8"/>
      <c r="T56" s="8"/>
      <c r="U56" s="159">
        <f t="shared" si="6"/>
        <v>0</v>
      </c>
      <c r="V56" s="8">
        <v>1</v>
      </c>
      <c r="W56" s="8">
        <f t="shared" si="7"/>
        <v>0</v>
      </c>
      <c r="X56" s="8">
        <v>1</v>
      </c>
      <c r="Y56" s="8">
        <f t="shared" si="8"/>
        <v>0</v>
      </c>
      <c r="Z56" s="352">
        <f t="shared" si="9"/>
        <v>0</v>
      </c>
      <c r="AA56" s="192">
        <f t="shared" si="10"/>
        <v>1</v>
      </c>
      <c r="AB56" s="192">
        <f t="shared" si="11"/>
        <v>0</v>
      </c>
      <c r="AC56" s="192">
        <f t="shared" si="11"/>
        <v>1</v>
      </c>
      <c r="AD56" s="192">
        <f t="shared" si="12"/>
        <v>1</v>
      </c>
    </row>
    <row r="57" spans="2:30" ht="18" customHeight="1" x14ac:dyDescent="0.25">
      <c r="B57" s="7" t="str">
        <f t="shared" si="5"/>
        <v/>
      </c>
      <c r="C57" s="4"/>
      <c r="D57" s="4"/>
      <c r="E57" s="4"/>
      <c r="F57" s="230" t="str">
        <f>IF('תנאי סף'!AO57&lt;&gt;1,"",'תנאי סף'!F57)</f>
        <v/>
      </c>
      <c r="G57" s="6"/>
      <c r="H57" s="5"/>
      <c r="I57" s="6"/>
      <c r="J57" s="5"/>
      <c r="K57" s="6"/>
      <c r="L57" s="5"/>
      <c r="M57" s="6"/>
      <c r="N57" s="6"/>
      <c r="O57" s="158"/>
      <c r="P57" s="177"/>
      <c r="Q57" s="8"/>
      <c r="R57" s="8"/>
      <c r="S57" s="8"/>
      <c r="T57" s="8"/>
      <c r="U57" s="159" t="str">
        <f t="shared" si="6"/>
        <v/>
      </c>
      <c r="V57" s="8">
        <v>1</v>
      </c>
      <c r="W57" s="8" t="str">
        <f t="shared" si="7"/>
        <v/>
      </c>
      <c r="X57" s="8">
        <v>1</v>
      </c>
      <c r="Y57" s="8" t="str">
        <f t="shared" si="8"/>
        <v/>
      </c>
      <c r="Z57" s="352" t="str">
        <f t="shared" si="9"/>
        <v/>
      </c>
      <c r="AA57" s="192">
        <f t="shared" si="10"/>
        <v>0</v>
      </c>
      <c r="AB57" s="192" t="str">
        <f t="shared" si="11"/>
        <v/>
      </c>
      <c r="AC57" s="192" t="str">
        <f t="shared" si="11"/>
        <v/>
      </c>
      <c r="AD57" s="192">
        <f t="shared" si="12"/>
        <v>0</v>
      </c>
    </row>
    <row r="58" spans="2:30" ht="18" customHeight="1" x14ac:dyDescent="0.25">
      <c r="B58" s="7">
        <f t="shared" si="5"/>
        <v>28</v>
      </c>
      <c r="C58" s="4"/>
      <c r="D58" s="4"/>
      <c r="E58" s="4"/>
      <c r="F58" s="230" t="str">
        <f>IF('תנאי סף'!AO58&lt;&gt;1,"",'תנאי סף'!F58)</f>
        <v>תמיכה שותפת- קבוצת מוסיקה נובה</v>
      </c>
      <c r="G58" s="6">
        <v>8</v>
      </c>
      <c r="H58" s="5"/>
      <c r="I58" s="6"/>
      <c r="J58" s="5"/>
      <c r="K58" s="6"/>
      <c r="L58" s="5"/>
      <c r="M58" s="6"/>
      <c r="N58" s="6"/>
      <c r="O58" s="158"/>
      <c r="P58" s="177"/>
      <c r="Q58" s="8"/>
      <c r="R58" s="8"/>
      <c r="S58" s="8"/>
      <c r="T58" s="8"/>
      <c r="U58" s="159">
        <f t="shared" si="6"/>
        <v>8</v>
      </c>
      <c r="V58" s="8">
        <v>1</v>
      </c>
      <c r="W58" s="8">
        <f t="shared" si="7"/>
        <v>8</v>
      </c>
      <c r="X58" s="8">
        <v>1</v>
      </c>
      <c r="Y58" s="8">
        <f t="shared" si="8"/>
        <v>8</v>
      </c>
      <c r="Z58" s="352">
        <f t="shared" si="9"/>
        <v>2.7210884353741496E-2</v>
      </c>
      <c r="AA58" s="192">
        <f t="shared" si="10"/>
        <v>1</v>
      </c>
      <c r="AB58" s="192">
        <f t="shared" si="11"/>
        <v>0</v>
      </c>
      <c r="AC58" s="192">
        <f t="shared" si="11"/>
        <v>1</v>
      </c>
      <c r="AD58" s="192">
        <f t="shared" si="12"/>
        <v>1</v>
      </c>
    </row>
    <row r="59" spans="2:30" ht="18" customHeight="1" x14ac:dyDescent="0.25">
      <c r="B59" s="7" t="str">
        <f t="shared" si="5"/>
        <v/>
      </c>
      <c r="C59" s="4"/>
      <c r="D59" s="4"/>
      <c r="E59" s="4"/>
      <c r="F59" s="230" t="str">
        <f>IF('תנאי סף'!AO59&lt;&gt;1,"",'תנאי סף'!F59)</f>
        <v/>
      </c>
      <c r="G59" s="6"/>
      <c r="H59" s="5"/>
      <c r="I59" s="6"/>
      <c r="J59" s="5"/>
      <c r="K59" s="6"/>
      <c r="L59" s="5"/>
      <c r="M59" s="6"/>
      <c r="N59" s="6"/>
      <c r="O59" s="158"/>
      <c r="P59" s="177"/>
      <c r="Q59" s="8"/>
      <c r="R59" s="8"/>
      <c r="S59" s="8"/>
      <c r="T59" s="8"/>
      <c r="U59" s="159" t="str">
        <f t="shared" si="6"/>
        <v/>
      </c>
      <c r="V59" s="8">
        <v>1</v>
      </c>
      <c r="W59" s="8" t="str">
        <f t="shared" si="7"/>
        <v/>
      </c>
      <c r="X59" s="8">
        <v>1</v>
      </c>
      <c r="Y59" s="8" t="str">
        <f t="shared" si="8"/>
        <v/>
      </c>
      <c r="Z59" s="352" t="str">
        <f t="shared" si="9"/>
        <v/>
      </c>
      <c r="AA59" s="192">
        <f t="shared" si="10"/>
        <v>0</v>
      </c>
      <c r="AB59" s="192" t="str">
        <f t="shared" si="11"/>
        <v/>
      </c>
      <c r="AC59" s="192" t="str">
        <f t="shared" si="11"/>
        <v/>
      </c>
      <c r="AD59" s="192">
        <f t="shared" si="12"/>
        <v>0</v>
      </c>
    </row>
    <row r="60" spans="2:30" ht="18" customHeight="1" x14ac:dyDescent="0.25">
      <c r="B60" s="7" t="str">
        <f t="shared" si="5"/>
        <v/>
      </c>
      <c r="C60" s="4"/>
      <c r="D60" s="4"/>
      <c r="E60" s="4"/>
      <c r="F60" s="230" t="str">
        <f>IF('תנאי סף'!AO60&lt;&gt;1,"",'תנאי סף'!F60)</f>
        <v/>
      </c>
      <c r="G60" s="6"/>
      <c r="H60" s="5"/>
      <c r="I60" s="6"/>
      <c r="J60" s="5"/>
      <c r="K60" s="6"/>
      <c r="L60" s="5"/>
      <c r="M60" s="6"/>
      <c r="N60" s="6"/>
      <c r="O60" s="158"/>
      <c r="P60" s="177"/>
      <c r="Q60" s="8"/>
      <c r="R60" s="8"/>
      <c r="S60" s="8"/>
      <c r="T60" s="8"/>
      <c r="U60" s="159" t="str">
        <f t="shared" si="6"/>
        <v/>
      </c>
      <c r="V60" s="8">
        <v>1</v>
      </c>
      <c r="W60" s="8" t="str">
        <f t="shared" si="7"/>
        <v/>
      </c>
      <c r="X60" s="8">
        <v>1</v>
      </c>
      <c r="Y60" s="8" t="str">
        <f t="shared" si="8"/>
        <v/>
      </c>
      <c r="Z60" s="352" t="str">
        <f t="shared" si="9"/>
        <v/>
      </c>
      <c r="AA60" s="192">
        <f t="shared" si="10"/>
        <v>0</v>
      </c>
      <c r="AB60" s="192" t="str">
        <f t="shared" si="11"/>
        <v/>
      </c>
      <c r="AC60" s="192" t="str">
        <f t="shared" si="11"/>
        <v/>
      </c>
      <c r="AD60" s="192">
        <f t="shared" si="12"/>
        <v>0</v>
      </c>
    </row>
    <row r="61" spans="2:30" ht="18" customHeight="1" x14ac:dyDescent="0.25">
      <c r="B61" s="7" t="str">
        <f t="shared" si="5"/>
        <v/>
      </c>
      <c r="C61" s="4"/>
      <c r="D61" s="4"/>
      <c r="E61" s="4"/>
      <c r="F61" s="230" t="str">
        <f>IF('תנאי סף'!AO61&lt;&gt;1,"",'תנאי סף'!F61)</f>
        <v/>
      </c>
      <c r="G61" s="6"/>
      <c r="H61" s="5"/>
      <c r="I61" s="6"/>
      <c r="J61" s="5"/>
      <c r="K61" s="6"/>
      <c r="L61" s="5"/>
      <c r="M61" s="6"/>
      <c r="N61" s="6"/>
      <c r="O61" s="158"/>
      <c r="P61" s="177"/>
      <c r="Q61" s="8"/>
      <c r="R61" s="8"/>
      <c r="S61" s="8"/>
      <c r="T61" s="8"/>
      <c r="U61" s="159" t="str">
        <f t="shared" si="6"/>
        <v/>
      </c>
      <c r="V61" s="8">
        <v>1</v>
      </c>
      <c r="W61" s="8" t="str">
        <f t="shared" si="7"/>
        <v/>
      </c>
      <c r="X61" s="8">
        <v>1</v>
      </c>
      <c r="Y61" s="8" t="str">
        <f t="shared" si="8"/>
        <v/>
      </c>
      <c r="Z61" s="352" t="str">
        <f t="shared" si="9"/>
        <v/>
      </c>
      <c r="AA61" s="192">
        <f t="shared" si="10"/>
        <v>0</v>
      </c>
      <c r="AB61" s="192" t="str">
        <f t="shared" si="11"/>
        <v/>
      </c>
      <c r="AC61" s="192" t="str">
        <f t="shared" si="11"/>
        <v/>
      </c>
      <c r="AD61" s="192">
        <f t="shared" si="12"/>
        <v>0</v>
      </c>
    </row>
    <row r="62" spans="2:30" ht="18" customHeight="1" x14ac:dyDescent="0.25">
      <c r="B62" s="7" t="str">
        <f t="shared" si="5"/>
        <v/>
      </c>
      <c r="C62" s="4"/>
      <c r="D62" s="4"/>
      <c r="E62" s="4"/>
      <c r="F62" s="230" t="str">
        <f>IF('תנאי סף'!AO62&lt;&gt;1,"",'תנאי סף'!F62)</f>
        <v/>
      </c>
      <c r="G62" s="6"/>
      <c r="H62" s="5"/>
      <c r="I62" s="6"/>
      <c r="J62" s="5"/>
      <c r="K62" s="6"/>
      <c r="L62" s="5"/>
      <c r="M62" s="6"/>
      <c r="N62" s="6"/>
      <c r="O62" s="158"/>
      <c r="P62" s="177"/>
      <c r="Q62" s="8"/>
      <c r="R62" s="8"/>
      <c r="S62" s="8"/>
      <c r="T62" s="8"/>
      <c r="U62" s="159" t="str">
        <f t="shared" si="6"/>
        <v/>
      </c>
      <c r="V62" s="8">
        <v>1</v>
      </c>
      <c r="W62" s="8" t="str">
        <f t="shared" si="7"/>
        <v/>
      </c>
      <c r="X62" s="8">
        <v>1</v>
      </c>
      <c r="Y62" s="8" t="str">
        <f t="shared" si="8"/>
        <v/>
      </c>
      <c r="Z62" s="352" t="str">
        <f t="shared" si="9"/>
        <v/>
      </c>
      <c r="AA62" s="192">
        <f t="shared" si="10"/>
        <v>0</v>
      </c>
      <c r="AB62" s="192" t="str">
        <f t="shared" si="11"/>
        <v/>
      </c>
      <c r="AC62" s="192" t="str">
        <f t="shared" si="11"/>
        <v/>
      </c>
      <c r="AD62" s="192">
        <f t="shared" si="12"/>
        <v>0</v>
      </c>
    </row>
    <row r="63" spans="2:30" ht="18" customHeight="1" x14ac:dyDescent="0.25">
      <c r="B63" s="7" t="str">
        <f t="shared" si="5"/>
        <v/>
      </c>
      <c r="C63" s="4"/>
      <c r="D63" s="4"/>
      <c r="E63" s="4"/>
      <c r="F63" s="230" t="str">
        <f>IF('תנאי סף'!AO63&lt;&gt;1,"",'תנאי סף'!F63)</f>
        <v/>
      </c>
      <c r="G63" s="6"/>
      <c r="H63" s="5"/>
      <c r="I63" s="6"/>
      <c r="J63" s="5"/>
      <c r="K63" s="6"/>
      <c r="L63" s="5"/>
      <c r="M63" s="6"/>
      <c r="N63" s="6"/>
      <c r="O63" s="158"/>
      <c r="P63" s="177"/>
      <c r="Q63" s="8"/>
      <c r="R63" s="8"/>
      <c r="S63" s="8"/>
      <c r="T63" s="8"/>
      <c r="U63" s="159" t="str">
        <f t="shared" si="6"/>
        <v/>
      </c>
      <c r="V63" s="8">
        <v>1</v>
      </c>
      <c r="W63" s="8" t="str">
        <f t="shared" si="7"/>
        <v/>
      </c>
      <c r="X63" s="8">
        <v>1</v>
      </c>
      <c r="Y63" s="8" t="str">
        <f t="shared" si="8"/>
        <v/>
      </c>
      <c r="Z63" s="352" t="str">
        <f t="shared" si="9"/>
        <v/>
      </c>
      <c r="AA63" s="192">
        <f t="shared" si="10"/>
        <v>0</v>
      </c>
      <c r="AB63" s="192" t="str">
        <f t="shared" si="11"/>
        <v/>
      </c>
      <c r="AC63" s="192" t="str">
        <f t="shared" si="11"/>
        <v/>
      </c>
      <c r="AD63" s="192">
        <f t="shared" si="12"/>
        <v>0</v>
      </c>
    </row>
    <row r="64" spans="2:30" ht="18" customHeight="1" x14ac:dyDescent="0.25">
      <c r="B64" s="7" t="str">
        <f t="shared" si="5"/>
        <v/>
      </c>
      <c r="C64" s="4"/>
      <c r="D64" s="4"/>
      <c r="E64" s="4"/>
      <c r="F64" s="230" t="str">
        <f>IF('תנאי סף'!AO64&lt;&gt;1,"",'תנאי סף'!F64)</f>
        <v/>
      </c>
      <c r="G64" s="6"/>
      <c r="H64" s="5"/>
      <c r="I64" s="6"/>
      <c r="J64" s="5"/>
      <c r="K64" s="6"/>
      <c r="L64" s="5"/>
      <c r="M64" s="6"/>
      <c r="N64" s="6"/>
      <c r="O64" s="158"/>
      <c r="P64" s="177"/>
      <c r="Q64" s="8"/>
      <c r="R64" s="8"/>
      <c r="S64" s="8"/>
      <c r="T64" s="8"/>
      <c r="U64" s="159" t="str">
        <f t="shared" si="6"/>
        <v/>
      </c>
      <c r="V64" s="8">
        <v>1</v>
      </c>
      <c r="W64" s="8" t="str">
        <f t="shared" si="7"/>
        <v/>
      </c>
      <c r="X64" s="8">
        <v>1</v>
      </c>
      <c r="Y64" s="8" t="str">
        <f t="shared" si="8"/>
        <v/>
      </c>
      <c r="Z64" s="352" t="str">
        <f t="shared" si="9"/>
        <v/>
      </c>
      <c r="AA64" s="192">
        <f t="shared" si="10"/>
        <v>0</v>
      </c>
      <c r="AB64" s="192" t="str">
        <f t="shared" ref="AB64:AC91" si="13">IF($F64="","",AB$30)</f>
        <v/>
      </c>
      <c r="AC64" s="192" t="str">
        <f t="shared" si="13"/>
        <v/>
      </c>
      <c r="AD64" s="192">
        <f t="shared" si="12"/>
        <v>0</v>
      </c>
    </row>
    <row r="65" spans="2:30" ht="18" customHeight="1" x14ac:dyDescent="0.25">
      <c r="B65" s="7">
        <f t="shared" si="5"/>
        <v>35</v>
      </c>
      <c r="C65" s="4"/>
      <c r="D65" s="4"/>
      <c r="E65" s="4"/>
      <c r="F65" s="230" t="str">
        <f>IF('תנאי סף'!AO65&lt;&gt;1,"",'תנאי סף'!F65)</f>
        <v>אנסמבל מיתר</v>
      </c>
      <c r="G65" s="6">
        <v>90</v>
      </c>
      <c r="H65" s="5"/>
      <c r="I65" s="6"/>
      <c r="J65" s="5"/>
      <c r="K65" s="6"/>
      <c r="L65" s="5"/>
      <c r="M65" s="6"/>
      <c r="N65" s="6"/>
      <c r="O65" s="158"/>
      <c r="P65" s="177"/>
      <c r="Q65" s="8"/>
      <c r="R65" s="8"/>
      <c r="S65" s="8"/>
      <c r="T65" s="8"/>
      <c r="U65" s="159">
        <f t="shared" si="6"/>
        <v>90</v>
      </c>
      <c r="V65" s="8">
        <v>1</v>
      </c>
      <c r="W65" s="8">
        <f t="shared" si="7"/>
        <v>90</v>
      </c>
      <c r="X65" s="8">
        <v>1</v>
      </c>
      <c r="Y65" s="8">
        <f t="shared" si="8"/>
        <v>90</v>
      </c>
      <c r="Z65" s="352">
        <f t="shared" si="9"/>
        <v>0.30612244897959184</v>
      </c>
      <c r="AA65" s="192">
        <f t="shared" si="10"/>
        <v>1</v>
      </c>
      <c r="AB65" s="192">
        <f t="shared" si="13"/>
        <v>0</v>
      </c>
      <c r="AC65" s="192">
        <f t="shared" si="13"/>
        <v>1</v>
      </c>
      <c r="AD65" s="192">
        <f t="shared" si="12"/>
        <v>1</v>
      </c>
    </row>
    <row r="66" spans="2:30" ht="18" customHeight="1" x14ac:dyDescent="0.25">
      <c r="B66" s="7" t="str">
        <f t="shared" si="5"/>
        <v/>
      </c>
      <c r="C66" s="4"/>
      <c r="D66" s="4"/>
      <c r="E66" s="4"/>
      <c r="F66" s="230" t="str">
        <f>IF('תנאי סף'!AO66&lt;&gt;1,"",'תנאי סף'!F66)</f>
        <v/>
      </c>
      <c r="G66" s="6"/>
      <c r="H66" s="5"/>
      <c r="I66" s="6"/>
      <c r="J66" s="5"/>
      <c r="K66" s="6"/>
      <c r="L66" s="5"/>
      <c r="M66" s="6"/>
      <c r="N66" s="6"/>
      <c r="O66" s="158"/>
      <c r="P66" s="177"/>
      <c r="Q66" s="8"/>
      <c r="R66" s="8"/>
      <c r="S66" s="8"/>
      <c r="T66" s="8"/>
      <c r="U66" s="159" t="str">
        <f t="shared" si="6"/>
        <v/>
      </c>
      <c r="V66" s="8">
        <v>1</v>
      </c>
      <c r="W66" s="8" t="str">
        <f t="shared" si="7"/>
        <v/>
      </c>
      <c r="X66" s="8">
        <v>1</v>
      </c>
      <c r="Y66" s="8" t="str">
        <f t="shared" si="8"/>
        <v/>
      </c>
      <c r="Z66" s="352" t="str">
        <f t="shared" si="9"/>
        <v/>
      </c>
      <c r="AA66" s="192">
        <f t="shared" si="10"/>
        <v>0</v>
      </c>
      <c r="AB66" s="192" t="str">
        <f t="shared" si="13"/>
        <v/>
      </c>
      <c r="AC66" s="192" t="str">
        <f t="shared" si="13"/>
        <v/>
      </c>
      <c r="AD66" s="192">
        <f t="shared" si="12"/>
        <v>0</v>
      </c>
    </row>
    <row r="67" spans="2:30" ht="18" customHeight="1" x14ac:dyDescent="0.25">
      <c r="B67" s="7">
        <f t="shared" si="5"/>
        <v>37</v>
      </c>
      <c r="C67" s="4"/>
      <c r="D67" s="4"/>
      <c r="E67" s="4"/>
      <c r="F67" s="230" t="str">
        <f>IF('תנאי סף'!AO67&lt;&gt;1,"",'תנאי סף'!F67)</f>
        <v>אנסמבל ארז נטף</v>
      </c>
      <c r="G67" s="6">
        <v>0</v>
      </c>
      <c r="H67" s="5"/>
      <c r="I67" s="6"/>
      <c r="J67" s="5"/>
      <c r="K67" s="6"/>
      <c r="L67" s="5"/>
      <c r="M67" s="6"/>
      <c r="N67" s="6"/>
      <c r="O67" s="158"/>
      <c r="P67" s="177"/>
      <c r="Q67" s="8"/>
      <c r="R67" s="8"/>
      <c r="S67" s="8"/>
      <c r="T67" s="8"/>
      <c r="U67" s="159">
        <f t="shared" si="6"/>
        <v>0</v>
      </c>
      <c r="V67" s="8">
        <v>1</v>
      </c>
      <c r="W67" s="8">
        <f t="shared" si="7"/>
        <v>0</v>
      </c>
      <c r="X67" s="8">
        <v>1</v>
      </c>
      <c r="Y67" s="8">
        <f t="shared" si="8"/>
        <v>0</v>
      </c>
      <c r="Z67" s="352">
        <f t="shared" si="9"/>
        <v>0</v>
      </c>
      <c r="AA67" s="192">
        <f t="shared" si="10"/>
        <v>1</v>
      </c>
      <c r="AB67" s="192">
        <f t="shared" si="13"/>
        <v>0</v>
      </c>
      <c r="AC67" s="192">
        <f t="shared" si="13"/>
        <v>1</v>
      </c>
      <c r="AD67" s="192">
        <f t="shared" si="12"/>
        <v>1</v>
      </c>
    </row>
    <row r="68" spans="2:30" ht="18" customHeight="1" x14ac:dyDescent="0.25">
      <c r="B68" s="7" t="str">
        <f t="shared" si="5"/>
        <v/>
      </c>
      <c r="C68" s="4"/>
      <c r="D68" s="4"/>
      <c r="E68" s="4"/>
      <c r="F68" s="230" t="str">
        <f>IF('תנאי סף'!AO68&lt;&gt;1,"",'תנאי סף'!F68)</f>
        <v/>
      </c>
      <c r="G68" s="6"/>
      <c r="H68" s="5"/>
      <c r="I68" s="6"/>
      <c r="J68" s="5"/>
      <c r="K68" s="6"/>
      <c r="L68" s="5"/>
      <c r="M68" s="6"/>
      <c r="N68" s="6"/>
      <c r="O68" s="158"/>
      <c r="P68" s="177"/>
      <c r="Q68" s="8"/>
      <c r="R68" s="8"/>
      <c r="S68" s="8"/>
      <c r="T68" s="8"/>
      <c r="U68" s="159" t="str">
        <f t="shared" si="6"/>
        <v/>
      </c>
      <c r="V68" s="8">
        <v>1</v>
      </c>
      <c r="W68" s="8" t="str">
        <f t="shared" si="7"/>
        <v/>
      </c>
      <c r="X68" s="8">
        <v>1</v>
      </c>
      <c r="Y68" s="8" t="str">
        <f t="shared" si="8"/>
        <v/>
      </c>
      <c r="Z68" s="352" t="str">
        <f t="shared" si="9"/>
        <v/>
      </c>
      <c r="AA68" s="192">
        <f t="shared" si="10"/>
        <v>0</v>
      </c>
      <c r="AB68" s="192" t="str">
        <f t="shared" si="13"/>
        <v/>
      </c>
      <c r="AC68" s="192" t="str">
        <f t="shared" si="13"/>
        <v/>
      </c>
      <c r="AD68" s="192">
        <f t="shared" si="12"/>
        <v>0</v>
      </c>
    </row>
    <row r="69" spans="2:30" ht="18" customHeight="1" x14ac:dyDescent="0.25">
      <c r="B69" s="7" t="str">
        <f t="shared" si="5"/>
        <v/>
      </c>
      <c r="C69" s="4"/>
      <c r="D69" s="4"/>
      <c r="E69" s="4"/>
      <c r="F69" s="230" t="str">
        <f>IF('תנאי סף'!AO69&lt;&gt;1,"",'תנאי סף'!F69)</f>
        <v/>
      </c>
      <c r="G69" s="6"/>
      <c r="H69" s="5"/>
      <c r="I69" s="6"/>
      <c r="J69" s="5"/>
      <c r="K69" s="6"/>
      <c r="L69" s="5"/>
      <c r="M69" s="6"/>
      <c r="N69" s="6"/>
      <c r="O69" s="158"/>
      <c r="P69" s="177"/>
      <c r="Q69" s="8"/>
      <c r="R69" s="8"/>
      <c r="S69" s="8"/>
      <c r="T69" s="8"/>
      <c r="U69" s="159" t="str">
        <f t="shared" si="6"/>
        <v/>
      </c>
      <c r="V69" s="8">
        <v>1</v>
      </c>
      <c r="W69" s="8" t="str">
        <f t="shared" si="7"/>
        <v/>
      </c>
      <c r="X69" s="8">
        <v>1</v>
      </c>
      <c r="Y69" s="8" t="str">
        <f t="shared" si="8"/>
        <v/>
      </c>
      <c r="Z69" s="352" t="str">
        <f t="shared" si="9"/>
        <v/>
      </c>
      <c r="AA69" s="192">
        <f t="shared" si="10"/>
        <v>0</v>
      </c>
      <c r="AB69" s="192" t="str">
        <f t="shared" si="13"/>
        <v/>
      </c>
      <c r="AC69" s="192" t="str">
        <f t="shared" si="13"/>
        <v/>
      </c>
      <c r="AD69" s="192">
        <f t="shared" si="12"/>
        <v>0</v>
      </c>
    </row>
    <row r="70" spans="2:30" ht="18" customHeight="1" x14ac:dyDescent="0.25">
      <c r="B70" s="7">
        <f t="shared" si="5"/>
        <v>40</v>
      </c>
      <c r="C70" s="4"/>
      <c r="D70" s="4"/>
      <c r="E70" s="4"/>
      <c r="F70" s="230" t="str">
        <f>IF('תנאי סף'!AO70&lt;&gt;1,"",'תנאי סף'!F70)</f>
        <v>תו המשווה (ע"ר)</v>
      </c>
      <c r="G70" s="6">
        <v>26</v>
      </c>
      <c r="H70" s="5"/>
      <c r="I70" s="6"/>
      <c r="J70" s="5"/>
      <c r="K70" s="6"/>
      <c r="L70" s="5"/>
      <c r="M70" s="6"/>
      <c r="N70" s="6"/>
      <c r="O70" s="158"/>
      <c r="P70" s="177"/>
      <c r="Q70" s="8"/>
      <c r="R70" s="8"/>
      <c r="S70" s="8"/>
      <c r="T70" s="8"/>
      <c r="U70" s="159">
        <f t="shared" si="6"/>
        <v>26</v>
      </c>
      <c r="V70" s="8">
        <v>1</v>
      </c>
      <c r="W70" s="8">
        <f t="shared" si="7"/>
        <v>26</v>
      </c>
      <c r="X70" s="8">
        <v>1</v>
      </c>
      <c r="Y70" s="8">
        <f t="shared" si="8"/>
        <v>26</v>
      </c>
      <c r="Z70" s="352">
        <f t="shared" si="9"/>
        <v>8.8435374149659865E-2</v>
      </c>
      <c r="AA70" s="192">
        <f t="shared" si="10"/>
        <v>1</v>
      </c>
      <c r="AB70" s="192">
        <f t="shared" si="13"/>
        <v>0</v>
      </c>
      <c r="AC70" s="192">
        <f t="shared" si="13"/>
        <v>1</v>
      </c>
      <c r="AD70" s="192">
        <f t="shared" si="12"/>
        <v>1</v>
      </c>
    </row>
    <row r="71" spans="2:30" ht="18" customHeight="1" x14ac:dyDescent="0.25">
      <c r="B71" s="7" t="str">
        <f t="shared" si="5"/>
        <v/>
      </c>
      <c r="C71" s="4"/>
      <c r="D71" s="4"/>
      <c r="E71" s="4"/>
      <c r="F71" s="230" t="str">
        <f>IF('תנאי סף'!AO71&lt;&gt;1,"",'תנאי סף'!F71)</f>
        <v/>
      </c>
      <c r="G71" s="6"/>
      <c r="H71" s="5"/>
      <c r="I71" s="6"/>
      <c r="J71" s="5"/>
      <c r="K71" s="6"/>
      <c r="L71" s="5"/>
      <c r="M71" s="6"/>
      <c r="N71" s="6"/>
      <c r="O71" s="158"/>
      <c r="P71" s="177"/>
      <c r="Q71" s="8"/>
      <c r="R71" s="8"/>
      <c r="S71" s="8"/>
      <c r="T71" s="8"/>
      <c r="U71" s="159" t="str">
        <f t="shared" si="6"/>
        <v/>
      </c>
      <c r="V71" s="8">
        <v>1</v>
      </c>
      <c r="W71" s="8" t="str">
        <f t="shared" si="7"/>
        <v/>
      </c>
      <c r="X71" s="8">
        <v>1</v>
      </c>
      <c r="Y71" s="8" t="str">
        <f t="shared" si="8"/>
        <v/>
      </c>
      <c r="Z71" s="123" t="str">
        <f t="shared" si="9"/>
        <v/>
      </c>
      <c r="AA71" s="192">
        <f t="shared" si="10"/>
        <v>0</v>
      </c>
      <c r="AB71" s="192" t="str">
        <f t="shared" si="13"/>
        <v/>
      </c>
      <c r="AC71" s="192" t="str">
        <f t="shared" si="13"/>
        <v/>
      </c>
      <c r="AD71" s="192">
        <f t="shared" si="12"/>
        <v>0</v>
      </c>
    </row>
    <row r="72" spans="2:30" ht="18" customHeight="1" x14ac:dyDescent="0.25">
      <c r="B72" s="7" t="str">
        <f t="shared" si="5"/>
        <v/>
      </c>
      <c r="C72" s="4"/>
      <c r="D72" s="4"/>
      <c r="E72" s="4"/>
      <c r="F72" s="230" t="str">
        <f>IF('תנאי סף'!AO72&lt;&gt;1,"",'תנאי סף'!F72)</f>
        <v/>
      </c>
      <c r="G72" s="6"/>
      <c r="H72" s="5"/>
      <c r="I72" s="6"/>
      <c r="J72" s="5"/>
      <c r="K72" s="6"/>
      <c r="L72" s="5"/>
      <c r="M72" s="6"/>
      <c r="N72" s="6"/>
      <c r="O72" s="158"/>
      <c r="P72" s="177"/>
      <c r="Q72" s="8"/>
      <c r="R72" s="8"/>
      <c r="S72" s="8"/>
      <c r="T72" s="8"/>
      <c r="U72" s="159" t="str">
        <f t="shared" si="6"/>
        <v/>
      </c>
      <c r="V72" s="8">
        <v>1</v>
      </c>
      <c r="W72" s="8" t="str">
        <f t="shared" si="7"/>
        <v/>
      </c>
      <c r="X72" s="8">
        <v>1</v>
      </c>
      <c r="Y72" s="8" t="str">
        <f t="shared" si="8"/>
        <v/>
      </c>
      <c r="Z72" s="123" t="str">
        <f t="shared" si="9"/>
        <v/>
      </c>
      <c r="AA72" s="192">
        <f t="shared" si="10"/>
        <v>0</v>
      </c>
      <c r="AB72" s="192" t="str">
        <f t="shared" si="13"/>
        <v/>
      </c>
      <c r="AC72" s="192" t="str">
        <f t="shared" si="13"/>
        <v/>
      </c>
      <c r="AD72" s="192">
        <f t="shared" si="12"/>
        <v>0</v>
      </c>
    </row>
    <row r="73" spans="2:30" ht="18" customHeight="1" x14ac:dyDescent="0.25">
      <c r="B73" s="7">
        <f t="shared" si="5"/>
        <v>43</v>
      </c>
      <c r="C73" s="4"/>
      <c r="D73" s="4"/>
      <c r="E73" s="4"/>
      <c r="F73" s="230" t="str">
        <f>IF('תנאי סף'!AO73&lt;&gt;1,"",'תנאי סף'!F73)</f>
        <v>בר קיימא ואקלקוטנטקט</v>
      </c>
      <c r="G73" s="6">
        <v>26</v>
      </c>
      <c r="H73" s="5"/>
      <c r="I73" s="6"/>
      <c r="J73" s="5"/>
      <c r="K73" s="6"/>
      <c r="L73" s="5"/>
      <c r="M73" s="6"/>
      <c r="N73" s="6"/>
      <c r="O73" s="158"/>
      <c r="P73" s="177"/>
      <c r="Q73" s="8"/>
      <c r="R73" s="8"/>
      <c r="S73" s="8"/>
      <c r="T73" s="8"/>
      <c r="U73" s="159">
        <f t="shared" si="6"/>
        <v>26</v>
      </c>
      <c r="V73" s="8">
        <v>1</v>
      </c>
      <c r="W73" s="8">
        <f t="shared" si="7"/>
        <v>26</v>
      </c>
      <c r="X73" s="8">
        <v>1</v>
      </c>
      <c r="Y73" s="8">
        <f t="shared" si="8"/>
        <v>26</v>
      </c>
      <c r="Z73" s="123">
        <f t="shared" si="9"/>
        <v>8.8435374149659865E-2</v>
      </c>
      <c r="AA73" s="192">
        <f t="shared" si="10"/>
        <v>1</v>
      </c>
      <c r="AB73" s="192">
        <f t="shared" si="13"/>
        <v>0</v>
      </c>
      <c r="AC73" s="192">
        <f t="shared" si="13"/>
        <v>1</v>
      </c>
      <c r="AD73" s="192">
        <f t="shared" si="12"/>
        <v>1</v>
      </c>
    </row>
    <row r="74" spans="2:30" ht="18" customHeight="1" x14ac:dyDescent="0.25">
      <c r="B74" s="7" t="str">
        <f t="shared" si="5"/>
        <v/>
      </c>
      <c r="C74" s="4"/>
      <c r="D74" s="4"/>
      <c r="E74" s="4"/>
      <c r="F74" s="230" t="str">
        <f>IF('תנאי סף'!AO74&lt;&gt;1,"",'תנאי סף'!F74)</f>
        <v/>
      </c>
      <c r="G74" s="6"/>
      <c r="H74" s="5"/>
      <c r="I74" s="6"/>
      <c r="J74" s="5"/>
      <c r="K74" s="6"/>
      <c r="L74" s="5"/>
      <c r="M74" s="6"/>
      <c r="N74" s="6"/>
      <c r="O74" s="158"/>
      <c r="P74" s="177"/>
      <c r="Q74" s="8"/>
      <c r="R74" s="8"/>
      <c r="S74" s="8"/>
      <c r="T74" s="8"/>
      <c r="U74" s="159" t="str">
        <f t="shared" si="6"/>
        <v/>
      </c>
      <c r="V74" s="8">
        <v>1</v>
      </c>
      <c r="W74" s="8" t="str">
        <f t="shared" si="7"/>
        <v/>
      </c>
      <c r="X74" s="8">
        <v>1</v>
      </c>
      <c r="Y74" s="8" t="str">
        <f t="shared" si="8"/>
        <v/>
      </c>
      <c r="Z74" s="123" t="str">
        <f t="shared" si="9"/>
        <v/>
      </c>
      <c r="AA74" s="192">
        <f t="shared" si="10"/>
        <v>0</v>
      </c>
      <c r="AB74" s="192" t="str">
        <f t="shared" si="13"/>
        <v/>
      </c>
      <c r="AC74" s="192" t="str">
        <f t="shared" si="13"/>
        <v/>
      </c>
      <c r="AD74" s="192">
        <f t="shared" si="12"/>
        <v>0</v>
      </c>
    </row>
    <row r="75" spans="2:30" ht="18" customHeight="1" x14ac:dyDescent="0.25">
      <c r="B75" s="7">
        <f t="shared" si="5"/>
        <v>45</v>
      </c>
      <c r="C75" s="4"/>
      <c r="D75" s="4"/>
      <c r="E75" s="4"/>
      <c r="F75" s="230" t="str">
        <f>IF('תנאי סף'!AO75&lt;&gt;1,"",'תנאי סף'!F75)</f>
        <v>אלקאת התזמורת התימנית</v>
      </c>
      <c r="G75" s="6">
        <v>2</v>
      </c>
      <c r="H75" s="5"/>
      <c r="I75" s="6"/>
      <c r="J75" s="5"/>
      <c r="K75" s="6"/>
      <c r="L75" s="5"/>
      <c r="M75" s="6"/>
      <c r="N75" s="6"/>
      <c r="O75" s="158"/>
      <c r="P75" s="177"/>
      <c r="Q75" s="8"/>
      <c r="R75" s="8"/>
      <c r="S75" s="8"/>
      <c r="T75" s="8"/>
      <c r="U75" s="159">
        <f t="shared" si="6"/>
        <v>2</v>
      </c>
      <c r="V75" s="8">
        <v>1</v>
      </c>
      <c r="W75" s="8">
        <f t="shared" si="7"/>
        <v>2</v>
      </c>
      <c r="X75" s="8">
        <v>1</v>
      </c>
      <c r="Y75" s="8">
        <f t="shared" si="8"/>
        <v>2</v>
      </c>
      <c r="Z75" s="123">
        <f t="shared" si="9"/>
        <v>6.8027210884353739E-3</v>
      </c>
      <c r="AA75" s="192">
        <f t="shared" si="10"/>
        <v>1</v>
      </c>
      <c r="AB75" s="192">
        <f t="shared" si="13"/>
        <v>0</v>
      </c>
      <c r="AC75" s="192">
        <f t="shared" si="13"/>
        <v>1</v>
      </c>
      <c r="AD75" s="192">
        <f t="shared" si="12"/>
        <v>1</v>
      </c>
    </row>
    <row r="76" spans="2:30" ht="18" customHeight="1" x14ac:dyDescent="0.25">
      <c r="B76" s="7" t="str">
        <f t="shared" si="5"/>
        <v/>
      </c>
      <c r="C76" s="4"/>
      <c r="D76" s="4"/>
      <c r="E76" s="4"/>
      <c r="F76" s="230" t="str">
        <f>IF('תנאי סף'!AO76&lt;&gt;1,"",'תנאי סף'!F76)</f>
        <v/>
      </c>
      <c r="G76" s="6"/>
      <c r="H76" s="5"/>
      <c r="I76" s="6"/>
      <c r="J76" s="5"/>
      <c r="K76" s="6"/>
      <c r="L76" s="5"/>
      <c r="M76" s="6"/>
      <c r="N76" s="6"/>
      <c r="O76" s="158"/>
      <c r="P76" s="177"/>
      <c r="Q76" s="8"/>
      <c r="R76" s="8"/>
      <c r="S76" s="8"/>
      <c r="T76" s="8"/>
      <c r="U76" s="159" t="str">
        <f t="shared" si="6"/>
        <v/>
      </c>
      <c r="V76" s="8">
        <v>1</v>
      </c>
      <c r="W76" s="8" t="str">
        <f t="shared" si="7"/>
        <v/>
      </c>
      <c r="X76" s="8">
        <v>1</v>
      </c>
      <c r="Y76" s="8" t="str">
        <f t="shared" si="8"/>
        <v/>
      </c>
      <c r="Z76" s="123" t="str">
        <f t="shared" si="9"/>
        <v/>
      </c>
      <c r="AA76" s="192">
        <f t="shared" si="10"/>
        <v>0</v>
      </c>
      <c r="AB76" s="192" t="str">
        <f t="shared" si="13"/>
        <v/>
      </c>
      <c r="AC76" s="192" t="str">
        <f t="shared" si="13"/>
        <v/>
      </c>
      <c r="AD76" s="192">
        <f t="shared" si="12"/>
        <v>0</v>
      </c>
    </row>
    <row r="77" spans="2:30" ht="18" customHeight="1" x14ac:dyDescent="0.25">
      <c r="B77" s="7" t="str">
        <f t="shared" si="5"/>
        <v/>
      </c>
      <c r="C77" s="4"/>
      <c r="D77" s="4"/>
      <c r="E77" s="4"/>
      <c r="F77" s="230" t="str">
        <f>IF('תנאי סף'!AO77&lt;&gt;1,"",'תנאי סף'!F77)</f>
        <v/>
      </c>
      <c r="G77" s="6"/>
      <c r="H77" s="5"/>
      <c r="I77" s="6"/>
      <c r="J77" s="5"/>
      <c r="K77" s="6"/>
      <c r="L77" s="5"/>
      <c r="M77" s="6"/>
      <c r="N77" s="6"/>
      <c r="O77" s="158"/>
      <c r="P77" s="177"/>
      <c r="Q77" s="8"/>
      <c r="R77" s="8"/>
      <c r="S77" s="8"/>
      <c r="T77" s="8"/>
      <c r="U77" s="159" t="str">
        <f t="shared" si="6"/>
        <v/>
      </c>
      <c r="V77" s="8">
        <v>1</v>
      </c>
      <c r="W77" s="8" t="str">
        <f t="shared" si="7"/>
        <v/>
      </c>
      <c r="X77" s="8">
        <v>1</v>
      </c>
      <c r="Y77" s="8" t="str">
        <f t="shared" si="8"/>
        <v/>
      </c>
      <c r="Z77" s="123" t="str">
        <f t="shared" si="9"/>
        <v/>
      </c>
      <c r="AA77" s="192">
        <f t="shared" si="10"/>
        <v>0</v>
      </c>
      <c r="AB77" s="192" t="str">
        <f t="shared" si="13"/>
        <v/>
      </c>
      <c r="AC77" s="192" t="str">
        <f t="shared" si="13"/>
        <v/>
      </c>
      <c r="AD77" s="192">
        <f t="shared" si="12"/>
        <v>0</v>
      </c>
    </row>
    <row r="78" spans="2:30" ht="18" customHeight="1" x14ac:dyDescent="0.25">
      <c r="B78" s="7">
        <f t="shared" si="5"/>
        <v>48</v>
      </c>
      <c r="C78" s="4"/>
      <c r="D78" s="4"/>
      <c r="E78" s="4"/>
      <c r="F78" s="230" t="str">
        <f>IF('תנאי סף'!AO78&lt;&gt;1,"",'תנאי סף'!F78)</f>
        <v>גיא מינטוס- טריו</v>
      </c>
      <c r="G78" s="6">
        <v>16</v>
      </c>
      <c r="H78" s="5"/>
      <c r="I78" s="6"/>
      <c r="J78" s="5"/>
      <c r="K78" s="6"/>
      <c r="L78" s="5"/>
      <c r="M78" s="6"/>
      <c r="N78" s="6"/>
      <c r="O78" s="158"/>
      <c r="P78" s="177"/>
      <c r="Q78" s="8"/>
      <c r="R78" s="8"/>
      <c r="S78" s="8"/>
      <c r="T78" s="8"/>
      <c r="U78" s="159">
        <f t="shared" si="6"/>
        <v>16</v>
      </c>
      <c r="V78" s="8">
        <v>1</v>
      </c>
      <c r="W78" s="8">
        <f t="shared" si="7"/>
        <v>16</v>
      </c>
      <c r="X78" s="8">
        <v>1</v>
      </c>
      <c r="Y78" s="8">
        <f t="shared" si="8"/>
        <v>16</v>
      </c>
      <c r="Z78" s="123">
        <f t="shared" si="9"/>
        <v>5.4421768707482991E-2</v>
      </c>
      <c r="AA78" s="192">
        <f t="shared" si="10"/>
        <v>1</v>
      </c>
      <c r="AB78" s="192">
        <f t="shared" si="13"/>
        <v>0</v>
      </c>
      <c r="AC78" s="192">
        <f t="shared" si="13"/>
        <v>1</v>
      </c>
      <c r="AD78" s="192">
        <f t="shared" si="12"/>
        <v>1</v>
      </c>
    </row>
    <row r="79" spans="2:30" ht="18" customHeight="1" x14ac:dyDescent="0.25">
      <c r="B79" s="7" t="str">
        <f t="shared" si="5"/>
        <v/>
      </c>
      <c r="C79" s="4"/>
      <c r="D79" s="4"/>
      <c r="E79" s="4"/>
      <c r="F79" s="230" t="str">
        <f>IF('תנאי סף'!AO79&lt;&gt;1,"",'תנאי סף'!F79)</f>
        <v/>
      </c>
      <c r="G79" s="6"/>
      <c r="H79" s="5"/>
      <c r="I79" s="6"/>
      <c r="J79" s="5"/>
      <c r="K79" s="6"/>
      <c r="L79" s="5"/>
      <c r="M79" s="6"/>
      <c r="N79" s="6"/>
      <c r="O79" s="158"/>
      <c r="P79" s="177"/>
      <c r="Q79" s="8"/>
      <c r="R79" s="8"/>
      <c r="S79" s="8"/>
      <c r="T79" s="8"/>
      <c r="U79" s="159" t="str">
        <f t="shared" si="6"/>
        <v/>
      </c>
      <c r="V79" s="8">
        <v>1</v>
      </c>
      <c r="W79" s="8" t="str">
        <f t="shared" si="7"/>
        <v/>
      </c>
      <c r="X79" s="8">
        <v>1</v>
      </c>
      <c r="Y79" s="8" t="str">
        <f t="shared" si="8"/>
        <v/>
      </c>
      <c r="Z79" s="123" t="str">
        <f t="shared" si="9"/>
        <v/>
      </c>
      <c r="AA79" s="192">
        <f t="shared" si="10"/>
        <v>0</v>
      </c>
      <c r="AB79" s="192" t="str">
        <f t="shared" si="13"/>
        <v/>
      </c>
      <c r="AC79" s="192" t="str">
        <f t="shared" si="13"/>
        <v/>
      </c>
      <c r="AD79" s="192">
        <f t="shared" si="12"/>
        <v>0</v>
      </c>
    </row>
    <row r="80" spans="2:30" ht="18" customHeight="1" x14ac:dyDescent="0.25">
      <c r="B80" s="7" t="str">
        <f t="shared" si="5"/>
        <v/>
      </c>
      <c r="C80" s="4"/>
      <c r="D80" s="4"/>
      <c r="E80" s="4"/>
      <c r="F80" s="230" t="str">
        <f>IF('תנאי סף'!AO80&lt;&gt;1,"",'תנאי סף'!F80)</f>
        <v/>
      </c>
      <c r="G80" s="6"/>
      <c r="H80" s="5"/>
      <c r="I80" s="6"/>
      <c r="J80" s="5"/>
      <c r="K80" s="6"/>
      <c r="L80" s="5"/>
      <c r="M80" s="6"/>
      <c r="N80" s="6"/>
      <c r="O80" s="158"/>
      <c r="P80" s="177"/>
      <c r="Q80" s="8"/>
      <c r="R80" s="8"/>
      <c r="S80" s="8"/>
      <c r="T80" s="8"/>
      <c r="U80" s="159" t="str">
        <f t="shared" si="6"/>
        <v/>
      </c>
      <c r="V80" s="8">
        <v>1</v>
      </c>
      <c r="W80" s="8" t="str">
        <f t="shared" si="7"/>
        <v/>
      </c>
      <c r="X80" s="8">
        <v>1</v>
      </c>
      <c r="Y80" s="8" t="str">
        <f t="shared" si="8"/>
        <v/>
      </c>
      <c r="Z80" s="123" t="str">
        <f t="shared" si="9"/>
        <v/>
      </c>
      <c r="AA80" s="192">
        <f t="shared" si="10"/>
        <v>0</v>
      </c>
      <c r="AB80" s="192" t="str">
        <f t="shared" si="13"/>
        <v/>
      </c>
      <c r="AC80" s="192" t="str">
        <f t="shared" si="13"/>
        <v/>
      </c>
      <c r="AD80" s="192">
        <f t="shared" si="12"/>
        <v>0</v>
      </c>
    </row>
    <row r="81" spans="2:30" ht="18" customHeight="1" x14ac:dyDescent="0.25">
      <c r="B81" s="7" t="str">
        <f t="shared" si="5"/>
        <v/>
      </c>
      <c r="C81" s="4"/>
      <c r="D81" s="4"/>
      <c r="E81" s="4"/>
      <c r="F81" s="230" t="str">
        <f>IF('תנאי סף'!AO81&lt;&gt;1,"",'תנאי סף'!F81)</f>
        <v/>
      </c>
      <c r="G81" s="6"/>
      <c r="H81" s="5"/>
      <c r="I81" s="6"/>
      <c r="J81" s="5"/>
      <c r="K81" s="6"/>
      <c r="L81" s="5"/>
      <c r="M81" s="6"/>
      <c r="N81" s="6"/>
      <c r="O81" s="158"/>
      <c r="P81" s="177"/>
      <c r="Q81" s="8"/>
      <c r="R81" s="8"/>
      <c r="S81" s="8"/>
      <c r="T81" s="8"/>
      <c r="U81" s="159" t="str">
        <f t="shared" si="6"/>
        <v/>
      </c>
      <c r="V81" s="8">
        <v>1</v>
      </c>
      <c r="W81" s="8" t="str">
        <f t="shared" si="7"/>
        <v/>
      </c>
      <c r="X81" s="8">
        <v>1</v>
      </c>
      <c r="Y81" s="8" t="str">
        <f t="shared" si="8"/>
        <v/>
      </c>
      <c r="Z81" s="123" t="str">
        <f t="shared" si="9"/>
        <v/>
      </c>
      <c r="AA81" s="192">
        <f t="shared" si="10"/>
        <v>0</v>
      </c>
      <c r="AB81" s="192" t="str">
        <f t="shared" si="13"/>
        <v/>
      </c>
      <c r="AC81" s="192" t="str">
        <f t="shared" si="13"/>
        <v/>
      </c>
      <c r="AD81" s="192">
        <f t="shared" si="12"/>
        <v>0</v>
      </c>
    </row>
    <row r="82" spans="2:30" ht="18" customHeight="1" x14ac:dyDescent="0.25">
      <c r="B82" s="7">
        <f t="shared" si="5"/>
        <v>52</v>
      </c>
      <c r="C82" s="4"/>
      <c r="D82" s="4"/>
      <c r="E82" s="4"/>
      <c r="F82" s="230" t="str">
        <f>IF('תנאי סף'!AO82&lt;&gt;1,"",'תנאי סף'!F82)</f>
        <v xml:space="preserve">פולקעס - בר-קיימא לתרבות </v>
      </c>
      <c r="G82" s="6">
        <v>0</v>
      </c>
      <c r="H82" s="5"/>
      <c r="I82" s="6"/>
      <c r="J82" s="5"/>
      <c r="K82" s="6"/>
      <c r="L82" s="5"/>
      <c r="M82" s="6"/>
      <c r="N82" s="6"/>
      <c r="O82" s="158"/>
      <c r="P82" s="177"/>
      <c r="Q82" s="8"/>
      <c r="R82" s="8"/>
      <c r="S82" s="8"/>
      <c r="T82" s="8"/>
      <c r="U82" s="159">
        <f t="shared" si="6"/>
        <v>0</v>
      </c>
      <c r="V82" s="8">
        <v>1</v>
      </c>
      <c r="W82" s="8">
        <f t="shared" si="7"/>
        <v>0</v>
      </c>
      <c r="X82" s="8">
        <v>1</v>
      </c>
      <c r="Y82" s="8">
        <f t="shared" si="8"/>
        <v>0</v>
      </c>
      <c r="Z82" s="123">
        <f t="shared" si="9"/>
        <v>0</v>
      </c>
      <c r="AA82" s="192">
        <f t="shared" si="10"/>
        <v>1</v>
      </c>
      <c r="AB82" s="192">
        <f t="shared" si="13"/>
        <v>0</v>
      </c>
      <c r="AC82" s="192">
        <f t="shared" si="13"/>
        <v>1</v>
      </c>
      <c r="AD82" s="192">
        <f t="shared" si="12"/>
        <v>1</v>
      </c>
    </row>
    <row r="83" spans="2:30" ht="18" customHeight="1" x14ac:dyDescent="0.25">
      <c r="B83" s="7" t="str">
        <f t="shared" si="5"/>
        <v/>
      </c>
      <c r="C83" s="4"/>
      <c r="D83" s="4"/>
      <c r="E83" s="4"/>
      <c r="F83" s="230" t="str">
        <f>IF('תנאי סף'!AO83&lt;&gt;1,"",'תנאי סף'!F83)</f>
        <v/>
      </c>
      <c r="G83" s="6"/>
      <c r="H83" s="5"/>
      <c r="I83" s="6"/>
      <c r="J83" s="5"/>
      <c r="K83" s="6"/>
      <c r="L83" s="5"/>
      <c r="M83" s="6"/>
      <c r="N83" s="6"/>
      <c r="O83" s="158"/>
      <c r="P83" s="177"/>
      <c r="Q83" s="8"/>
      <c r="R83" s="8"/>
      <c r="S83" s="8"/>
      <c r="T83" s="8"/>
      <c r="U83" s="159" t="str">
        <f t="shared" si="6"/>
        <v/>
      </c>
      <c r="V83" s="8">
        <v>1</v>
      </c>
      <c r="W83" s="8" t="str">
        <f t="shared" si="7"/>
        <v/>
      </c>
      <c r="X83" s="8">
        <v>1</v>
      </c>
      <c r="Y83" s="8" t="str">
        <f t="shared" si="8"/>
        <v/>
      </c>
      <c r="Z83" s="123" t="str">
        <f t="shared" si="9"/>
        <v/>
      </c>
      <c r="AA83" s="192">
        <f t="shared" si="10"/>
        <v>0</v>
      </c>
      <c r="AB83" s="192" t="str">
        <f t="shared" si="13"/>
        <v/>
      </c>
      <c r="AC83" s="192" t="str">
        <f t="shared" si="13"/>
        <v/>
      </c>
      <c r="AD83" s="192">
        <f t="shared" si="12"/>
        <v>0</v>
      </c>
    </row>
    <row r="84" spans="2:30" ht="18" customHeight="1" x14ac:dyDescent="0.25">
      <c r="B84" s="7" t="str">
        <f t="shared" si="5"/>
        <v/>
      </c>
      <c r="C84" s="4"/>
      <c r="D84" s="4"/>
      <c r="E84" s="4"/>
      <c r="F84" s="230" t="str">
        <f>IF('תנאי סף'!AO84&lt;&gt;1,"",'תנאי סף'!F84)</f>
        <v/>
      </c>
      <c r="G84" s="6"/>
      <c r="H84" s="5"/>
      <c r="I84" s="6"/>
      <c r="J84" s="5"/>
      <c r="K84" s="6"/>
      <c r="L84" s="5"/>
      <c r="M84" s="6"/>
      <c r="N84" s="6"/>
      <c r="O84" s="158"/>
      <c r="P84" s="177"/>
      <c r="Q84" s="8"/>
      <c r="R84" s="8"/>
      <c r="S84" s="8"/>
      <c r="T84" s="8"/>
      <c r="U84" s="159" t="str">
        <f t="shared" si="6"/>
        <v/>
      </c>
      <c r="V84" s="8">
        <v>1</v>
      </c>
      <c r="W84" s="8" t="str">
        <f t="shared" si="7"/>
        <v/>
      </c>
      <c r="X84" s="8">
        <v>1</v>
      </c>
      <c r="Y84" s="8" t="str">
        <f t="shared" si="8"/>
        <v/>
      </c>
      <c r="Z84" s="123" t="str">
        <f t="shared" si="9"/>
        <v/>
      </c>
      <c r="AA84" s="192">
        <f t="shared" si="10"/>
        <v>0</v>
      </c>
      <c r="AB84" s="192" t="str">
        <f t="shared" si="13"/>
        <v/>
      </c>
      <c r="AC84" s="192" t="str">
        <f t="shared" si="13"/>
        <v/>
      </c>
      <c r="AD84" s="192">
        <f t="shared" si="12"/>
        <v>0</v>
      </c>
    </row>
    <row r="85" spans="2:30" ht="18" customHeight="1" x14ac:dyDescent="0.25">
      <c r="B85" s="7">
        <f t="shared" si="5"/>
        <v>55</v>
      </c>
      <c r="C85" s="4"/>
      <c r="D85" s="4"/>
      <c r="E85" s="4"/>
      <c r="F85" s="230" t="str">
        <f>IF('תנאי סף'!AO85&lt;&gt;1,"",'תנאי סף'!F85)</f>
        <v>מכון רננות</v>
      </c>
      <c r="G85" s="6">
        <v>1</v>
      </c>
      <c r="H85" s="5"/>
      <c r="I85" s="6"/>
      <c r="J85" s="5"/>
      <c r="K85" s="6"/>
      <c r="L85" s="5"/>
      <c r="M85" s="6"/>
      <c r="N85" s="6"/>
      <c r="O85" s="158"/>
      <c r="P85" s="177"/>
      <c r="Q85" s="8"/>
      <c r="R85" s="8"/>
      <c r="S85" s="8"/>
      <c r="T85" s="8"/>
      <c r="U85" s="159">
        <f t="shared" si="6"/>
        <v>1</v>
      </c>
      <c r="V85" s="8">
        <v>1</v>
      </c>
      <c r="W85" s="8">
        <f t="shared" si="7"/>
        <v>1</v>
      </c>
      <c r="X85" s="8">
        <v>1</v>
      </c>
      <c r="Y85" s="8">
        <f t="shared" si="8"/>
        <v>1</v>
      </c>
      <c r="Z85" s="123">
        <f t="shared" si="9"/>
        <v>3.4013605442176869E-3</v>
      </c>
      <c r="AA85" s="192">
        <f t="shared" si="10"/>
        <v>1</v>
      </c>
      <c r="AB85" s="192">
        <f t="shared" si="13"/>
        <v>0</v>
      </c>
      <c r="AC85" s="192">
        <f t="shared" si="13"/>
        <v>1</v>
      </c>
      <c r="AD85" s="192">
        <f t="shared" si="12"/>
        <v>1</v>
      </c>
    </row>
    <row r="86" spans="2:30" ht="18" customHeight="1" x14ac:dyDescent="0.25">
      <c r="B86" s="7" t="str">
        <f t="shared" si="5"/>
        <v/>
      </c>
      <c r="C86" s="4"/>
      <c r="D86" s="4"/>
      <c r="E86" s="4"/>
      <c r="F86" s="230" t="str">
        <f>IF('תנאי סף'!AO86&lt;&gt;1,"",'תנאי סף'!F86)</f>
        <v/>
      </c>
      <c r="G86" s="6"/>
      <c r="H86" s="5"/>
      <c r="I86" s="6"/>
      <c r="J86" s="5"/>
      <c r="K86" s="6"/>
      <c r="L86" s="5"/>
      <c r="M86" s="6"/>
      <c r="N86" s="6"/>
      <c r="O86" s="158"/>
      <c r="P86" s="177"/>
      <c r="Q86" s="8"/>
      <c r="R86" s="8"/>
      <c r="S86" s="8"/>
      <c r="T86" s="8"/>
      <c r="U86" s="159" t="str">
        <f t="shared" si="6"/>
        <v/>
      </c>
      <c r="V86" s="8">
        <v>1</v>
      </c>
      <c r="W86" s="8" t="str">
        <f t="shared" si="7"/>
        <v/>
      </c>
      <c r="X86" s="8">
        <v>1</v>
      </c>
      <c r="Y86" s="8" t="str">
        <f t="shared" si="8"/>
        <v/>
      </c>
      <c r="Z86" s="123" t="str">
        <f t="shared" si="9"/>
        <v/>
      </c>
      <c r="AA86" s="192">
        <f t="shared" si="10"/>
        <v>0</v>
      </c>
      <c r="AB86" s="192" t="str">
        <f t="shared" si="13"/>
        <v/>
      </c>
      <c r="AC86" s="192" t="str">
        <f t="shared" si="13"/>
        <v/>
      </c>
      <c r="AD86" s="192">
        <f t="shared" si="12"/>
        <v>0</v>
      </c>
    </row>
    <row r="87" spans="2:30" ht="18" customHeight="1" x14ac:dyDescent="0.25">
      <c r="B87" s="7">
        <f t="shared" si="5"/>
        <v>57</v>
      </c>
      <c r="C87" s="4"/>
      <c r="D87" s="4"/>
      <c r="E87" s="4"/>
      <c r="F87" s="230" t="str">
        <f>IF('תנאי סף'!AO87&lt;&gt;1,"",'תנאי סף'!F87)</f>
        <v>עמותת מפעל המוזיקה צימבליסטה</v>
      </c>
      <c r="G87" s="6">
        <v>5</v>
      </c>
      <c r="H87" s="5"/>
      <c r="I87" s="6"/>
      <c r="J87" s="5"/>
      <c r="K87" s="6"/>
      <c r="L87" s="5"/>
      <c r="M87" s="6"/>
      <c r="N87" s="6"/>
      <c r="O87" s="158"/>
      <c r="P87" s="177"/>
      <c r="Q87" s="8"/>
      <c r="R87" s="8"/>
      <c r="S87" s="8"/>
      <c r="T87" s="8"/>
      <c r="U87" s="159">
        <f t="shared" si="6"/>
        <v>5</v>
      </c>
      <c r="V87" s="8">
        <v>1</v>
      </c>
      <c r="W87" s="8">
        <f t="shared" si="7"/>
        <v>5</v>
      </c>
      <c r="X87" s="8">
        <v>1</v>
      </c>
      <c r="Y87" s="8">
        <f t="shared" si="8"/>
        <v>5</v>
      </c>
      <c r="Z87" s="123">
        <f t="shared" si="9"/>
        <v>1.7006802721088437E-2</v>
      </c>
      <c r="AA87" s="192">
        <f t="shared" si="10"/>
        <v>1</v>
      </c>
      <c r="AB87" s="192">
        <f t="shared" si="13"/>
        <v>0</v>
      </c>
      <c r="AC87" s="192">
        <f t="shared" si="13"/>
        <v>1</v>
      </c>
      <c r="AD87" s="192">
        <f t="shared" si="12"/>
        <v>1</v>
      </c>
    </row>
    <row r="88" spans="2:30" ht="18" customHeight="1" x14ac:dyDescent="0.25">
      <c r="B88" s="7" t="str">
        <f t="shared" si="5"/>
        <v/>
      </c>
      <c r="C88" s="4"/>
      <c r="D88" s="4"/>
      <c r="E88" s="4"/>
      <c r="F88" s="230" t="str">
        <f>IF('תנאי סף'!AO88&lt;&gt;1,"",'תנאי סף'!F88)</f>
        <v/>
      </c>
      <c r="G88" s="6"/>
      <c r="H88" s="5"/>
      <c r="I88" s="6"/>
      <c r="J88" s="5"/>
      <c r="K88" s="6"/>
      <c r="L88" s="5"/>
      <c r="M88" s="6"/>
      <c r="N88" s="6"/>
      <c r="O88" s="158"/>
      <c r="P88" s="177"/>
      <c r="Q88" s="8"/>
      <c r="R88" s="8"/>
      <c r="S88" s="8"/>
      <c r="T88" s="8"/>
      <c r="U88" s="159" t="str">
        <f t="shared" si="6"/>
        <v/>
      </c>
      <c r="V88" s="8">
        <v>1</v>
      </c>
      <c r="W88" s="8" t="str">
        <f t="shared" si="7"/>
        <v/>
      </c>
      <c r="X88" s="8">
        <v>1</v>
      </c>
      <c r="Y88" s="8" t="str">
        <f t="shared" si="8"/>
        <v/>
      </c>
      <c r="Z88" s="123" t="str">
        <f t="shared" si="9"/>
        <v/>
      </c>
      <c r="AA88" s="192">
        <f t="shared" si="10"/>
        <v>0</v>
      </c>
      <c r="AB88" s="192" t="str">
        <f t="shared" si="13"/>
        <v/>
      </c>
      <c r="AC88" s="192" t="str">
        <f t="shared" si="13"/>
        <v/>
      </c>
      <c r="AD88" s="192">
        <f t="shared" si="12"/>
        <v>0</v>
      </c>
    </row>
    <row r="89" spans="2:30" ht="18" customHeight="1" x14ac:dyDescent="0.25">
      <c r="B89" s="7">
        <f t="shared" si="5"/>
        <v>59</v>
      </c>
      <c r="C89" s="4"/>
      <c r="D89" s="4"/>
      <c r="E89" s="4"/>
      <c r="F89" s="230" t="str">
        <f>IF('תנאי סף'!AO89&lt;&gt;1,"",'תנאי סף'!F89)</f>
        <v>העמותה לקידום המוסיקה הערבית</v>
      </c>
      <c r="G89" s="6">
        <v>0</v>
      </c>
      <c r="H89" s="5"/>
      <c r="I89" s="6"/>
      <c r="J89" s="5"/>
      <c r="K89" s="6"/>
      <c r="L89" s="5"/>
      <c r="M89" s="6"/>
      <c r="N89" s="6"/>
      <c r="O89" s="158"/>
      <c r="P89" s="177"/>
      <c r="Q89" s="8"/>
      <c r="R89" s="8"/>
      <c r="S89" s="8"/>
      <c r="T89" s="8"/>
      <c r="U89" s="159">
        <f t="shared" si="6"/>
        <v>0</v>
      </c>
      <c r="V89" s="8">
        <v>1</v>
      </c>
      <c r="W89" s="8">
        <f t="shared" si="7"/>
        <v>0</v>
      </c>
      <c r="X89" s="8">
        <v>1</v>
      </c>
      <c r="Y89" s="8">
        <f t="shared" si="8"/>
        <v>0</v>
      </c>
      <c r="Z89" s="123">
        <f t="shared" si="9"/>
        <v>0</v>
      </c>
      <c r="AA89" s="192">
        <f t="shared" si="10"/>
        <v>1</v>
      </c>
      <c r="AB89" s="192">
        <f t="shared" si="13"/>
        <v>0</v>
      </c>
      <c r="AC89" s="192">
        <f t="shared" si="13"/>
        <v>1</v>
      </c>
      <c r="AD89" s="192">
        <f t="shared" si="12"/>
        <v>1</v>
      </c>
    </row>
    <row r="90" spans="2:30" ht="18" customHeight="1" x14ac:dyDescent="0.25">
      <c r="B90" s="7">
        <f t="shared" si="5"/>
        <v>60</v>
      </c>
      <c r="C90" s="4"/>
      <c r="D90" s="4"/>
      <c r="E90" s="4"/>
      <c r="F90" s="230" t="str">
        <f>IF('תנאי סף'!AO90&lt;&gt;1,"",'תנאי סף'!F90)</f>
        <v>תמיכה בתזמורת TLV (הערבית יהודית)</v>
      </c>
      <c r="G90" s="6">
        <v>4</v>
      </c>
      <c r="H90" s="5"/>
      <c r="I90" s="6"/>
      <c r="J90" s="5"/>
      <c r="K90" s="6"/>
      <c r="L90" s="5"/>
      <c r="M90" s="6"/>
      <c r="N90" s="6"/>
      <c r="O90" s="158"/>
      <c r="P90" s="177"/>
      <c r="Q90" s="8"/>
      <c r="R90" s="8"/>
      <c r="S90" s="8"/>
      <c r="T90" s="8"/>
      <c r="U90" s="159">
        <f t="shared" si="6"/>
        <v>4</v>
      </c>
      <c r="V90" s="8">
        <v>1</v>
      </c>
      <c r="W90" s="8">
        <f t="shared" si="7"/>
        <v>4</v>
      </c>
      <c r="X90" s="8">
        <v>1</v>
      </c>
      <c r="Y90" s="8">
        <f t="shared" si="8"/>
        <v>4</v>
      </c>
      <c r="Z90" s="123">
        <f t="shared" si="9"/>
        <v>1.3605442176870748E-2</v>
      </c>
      <c r="AA90" s="192">
        <f t="shared" si="10"/>
        <v>1</v>
      </c>
      <c r="AB90" s="192">
        <f t="shared" si="13"/>
        <v>0</v>
      </c>
      <c r="AC90" s="192">
        <f t="shared" si="13"/>
        <v>1</v>
      </c>
      <c r="AD90" s="192">
        <f t="shared" si="12"/>
        <v>1</v>
      </c>
    </row>
    <row r="91" spans="2:30" ht="18" customHeight="1" x14ac:dyDescent="0.25">
      <c r="B91" s="7">
        <f t="shared" si="5"/>
        <v>61</v>
      </c>
      <c r="C91" s="4"/>
      <c r="D91" s="4"/>
      <c r="E91" s="4"/>
      <c r="F91" s="230" t="str">
        <f>IF('תנאי סף'!AO91&lt;&gt;1,"",'תנאי סף'!F91)</f>
        <v>אנסמבל גליל</v>
      </c>
      <c r="G91" s="6">
        <v>5</v>
      </c>
      <c r="H91" s="5"/>
      <c r="I91" s="6"/>
      <c r="J91" s="5"/>
      <c r="K91" s="6"/>
      <c r="L91" s="5"/>
      <c r="M91" s="6"/>
      <c r="N91" s="6"/>
      <c r="O91" s="158"/>
      <c r="P91" s="177"/>
      <c r="Q91" s="8"/>
      <c r="R91" s="8"/>
      <c r="S91" s="8"/>
      <c r="T91" s="8"/>
      <c r="U91" s="159">
        <f t="shared" si="6"/>
        <v>5</v>
      </c>
      <c r="V91" s="8">
        <v>1</v>
      </c>
      <c r="W91" s="8">
        <f t="shared" si="7"/>
        <v>5</v>
      </c>
      <c r="X91" s="8">
        <v>1</v>
      </c>
      <c r="Y91" s="8">
        <f t="shared" si="8"/>
        <v>5</v>
      </c>
      <c r="Z91" s="123">
        <f t="shared" si="9"/>
        <v>1.7006802721088437E-2</v>
      </c>
      <c r="AA91" s="192">
        <f t="shared" si="10"/>
        <v>1</v>
      </c>
      <c r="AB91" s="192">
        <f t="shared" si="13"/>
        <v>0</v>
      </c>
      <c r="AC91" s="192">
        <f t="shared" si="13"/>
        <v>1</v>
      </c>
      <c r="AD91" s="192">
        <f t="shared" si="12"/>
        <v>1</v>
      </c>
    </row>
    <row r="92" spans="2:30" ht="18" customHeight="1" x14ac:dyDescent="0.25">
      <c r="B92" s="7">
        <f t="shared" si="5"/>
        <v>62</v>
      </c>
      <c r="C92" s="4"/>
      <c r="D92" s="4"/>
      <c r="E92" s="4"/>
      <c r="F92" s="230" t="str">
        <f>IF('תנאי סף'!AO92&lt;&gt;1,"",'תנאי סף'!F92)</f>
        <v>דריה- הרכב אינסטרומנטלי</v>
      </c>
      <c r="G92" s="6">
        <v>7</v>
      </c>
      <c r="H92" s="5"/>
      <c r="I92" s="6"/>
      <c r="J92" s="5"/>
      <c r="K92" s="6"/>
      <c r="L92" s="5"/>
      <c r="M92" s="6"/>
      <c r="N92" s="6"/>
      <c r="O92" s="158"/>
      <c r="P92" s="177"/>
      <c r="Q92" s="8"/>
      <c r="R92" s="8"/>
      <c r="S92" s="8"/>
      <c r="T92" s="8"/>
      <c r="U92" s="159">
        <f t="shared" si="6"/>
        <v>7</v>
      </c>
      <c r="V92" s="8">
        <v>1</v>
      </c>
      <c r="W92" s="8">
        <f t="shared" si="7"/>
        <v>7</v>
      </c>
      <c r="X92" s="8">
        <v>1</v>
      </c>
      <c r="Y92" s="8">
        <f t="shared" si="8"/>
        <v>7</v>
      </c>
      <c r="Z92" s="123">
        <f t="shared" si="9"/>
        <v>2.3809523809523808E-2</v>
      </c>
      <c r="AA92" s="192">
        <f t="shared" si="10"/>
        <v>1</v>
      </c>
      <c r="AB92" s="192">
        <f t="shared" ref="AB92:AC130" si="14">IF($F92="","",AB$30)</f>
        <v>0</v>
      </c>
      <c r="AC92" s="192">
        <f t="shared" si="14"/>
        <v>1</v>
      </c>
      <c r="AD92" s="192">
        <f t="shared" si="12"/>
        <v>1</v>
      </c>
    </row>
    <row r="93" spans="2:30" ht="18" customHeight="1" x14ac:dyDescent="0.25">
      <c r="B93" s="7">
        <f t="shared" si="5"/>
        <v>63</v>
      </c>
      <c r="C93" s="4"/>
      <c r="D93" s="4"/>
      <c r="E93" s="4"/>
      <c r="F93" s="230" t="str">
        <f>IF('תנאי סף'!AO93&lt;&gt;1,"",'תנאי סף'!F93)</f>
        <v>להקת שלוש</v>
      </c>
      <c r="G93" s="6">
        <v>13</v>
      </c>
      <c r="H93" s="5"/>
      <c r="I93" s="6"/>
      <c r="J93" s="5"/>
      <c r="K93" s="6"/>
      <c r="L93" s="5"/>
      <c r="M93" s="6"/>
      <c r="N93" s="6"/>
      <c r="O93" s="158"/>
      <c r="P93" s="177"/>
      <c r="Q93" s="8"/>
      <c r="R93" s="8"/>
      <c r="S93" s="8"/>
      <c r="T93" s="8"/>
      <c r="U93" s="159">
        <f t="shared" si="6"/>
        <v>13</v>
      </c>
      <c r="V93" s="8">
        <v>1</v>
      </c>
      <c r="W93" s="8">
        <f t="shared" si="7"/>
        <v>13</v>
      </c>
      <c r="X93" s="8">
        <v>1</v>
      </c>
      <c r="Y93" s="8">
        <f t="shared" si="8"/>
        <v>13</v>
      </c>
      <c r="Z93" s="123">
        <f t="shared" si="9"/>
        <v>4.4217687074829932E-2</v>
      </c>
      <c r="AA93" s="192">
        <f t="shared" si="10"/>
        <v>1</v>
      </c>
      <c r="AB93" s="192">
        <f t="shared" si="14"/>
        <v>0</v>
      </c>
      <c r="AC93" s="192">
        <f t="shared" si="14"/>
        <v>1</v>
      </c>
      <c r="AD93" s="192">
        <f t="shared" si="12"/>
        <v>1</v>
      </c>
    </row>
    <row r="94" spans="2:30" ht="18" customHeight="1" x14ac:dyDescent="0.25">
      <c r="B94" s="7">
        <f t="shared" si="5"/>
        <v>64</v>
      </c>
      <c r="C94" s="4"/>
      <c r="D94" s="4"/>
      <c r="E94" s="4"/>
      <c r="F94" s="230" t="str">
        <f>IF('תנאי סף'!AO94&lt;&gt;1,"",'תנאי סף'!F94)</f>
        <v>רביעיית טוסקאניני</v>
      </c>
      <c r="G94" s="6">
        <v>2</v>
      </c>
      <c r="H94" s="5"/>
      <c r="I94" s="6"/>
      <c r="J94" s="5"/>
      <c r="K94" s="6"/>
      <c r="L94" s="5"/>
      <c r="M94" s="6"/>
      <c r="N94" s="6"/>
      <c r="O94" s="158"/>
      <c r="P94" s="177"/>
      <c r="Q94" s="8"/>
      <c r="R94" s="8"/>
      <c r="S94" s="8"/>
      <c r="T94" s="8"/>
      <c r="U94" s="159">
        <f t="shared" si="6"/>
        <v>2</v>
      </c>
      <c r="V94" s="8">
        <v>1</v>
      </c>
      <c r="W94" s="8">
        <f t="shared" si="7"/>
        <v>2</v>
      </c>
      <c r="X94" s="8">
        <v>1</v>
      </c>
      <c r="Y94" s="8">
        <f t="shared" si="8"/>
        <v>2</v>
      </c>
      <c r="Z94" s="123">
        <f t="shared" si="9"/>
        <v>6.8027210884353739E-3</v>
      </c>
      <c r="AA94" s="192">
        <f t="shared" si="10"/>
        <v>1</v>
      </c>
      <c r="AB94" s="192">
        <f t="shared" si="14"/>
        <v>0</v>
      </c>
      <c r="AC94" s="192">
        <f t="shared" si="14"/>
        <v>1</v>
      </c>
      <c r="AD94" s="192">
        <f t="shared" si="12"/>
        <v>1</v>
      </c>
    </row>
    <row r="95" spans="2:30" ht="18" customHeight="1" x14ac:dyDescent="0.25">
      <c r="B95" s="7">
        <f t="shared" si="5"/>
        <v>65</v>
      </c>
      <c r="C95" s="4"/>
      <c r="D95" s="4"/>
      <c r="E95" s="4"/>
      <c r="F95" s="230" t="str">
        <f>IF('תנאי סף'!AO95&lt;&gt;1,"",'תנאי סף'!F95)</f>
        <v>תקוע-קבוצה מוזיקלית - 'דאפה' 2024</v>
      </c>
      <c r="G95" s="6">
        <v>0</v>
      </c>
      <c r="H95" s="5"/>
      <c r="I95" s="6"/>
      <c r="J95" s="5"/>
      <c r="K95" s="6"/>
      <c r="L95" s="5"/>
      <c r="M95" s="6"/>
      <c r="N95" s="6"/>
      <c r="O95" s="158"/>
      <c r="P95" s="177"/>
      <c r="Q95" s="8"/>
      <c r="R95" s="8"/>
      <c r="S95" s="8"/>
      <c r="T95" s="8"/>
      <c r="U95" s="159">
        <f t="shared" si="6"/>
        <v>0</v>
      </c>
      <c r="V95" s="8">
        <v>1</v>
      </c>
      <c r="W95" s="8">
        <f t="shared" si="7"/>
        <v>0</v>
      </c>
      <c r="X95" s="8">
        <v>1</v>
      </c>
      <c r="Y95" s="8">
        <f t="shared" si="8"/>
        <v>0</v>
      </c>
      <c r="Z95" s="123">
        <f t="shared" si="9"/>
        <v>0</v>
      </c>
      <c r="AA95" s="192">
        <f t="shared" si="10"/>
        <v>1</v>
      </c>
      <c r="AB95" s="192">
        <f t="shared" si="14"/>
        <v>0</v>
      </c>
      <c r="AC95" s="192">
        <f t="shared" si="14"/>
        <v>1</v>
      </c>
      <c r="AD95" s="192">
        <f t="shared" si="12"/>
        <v>1</v>
      </c>
    </row>
    <row r="96" spans="2:30" ht="18" customHeight="1" x14ac:dyDescent="0.25">
      <c r="B96" s="7">
        <f t="shared" ref="B96:B130" si="15">IF(F96="","",ROW()-30)</f>
        <v>66</v>
      </c>
      <c r="C96" s="4"/>
      <c r="D96" s="4"/>
      <c r="E96" s="4"/>
      <c r="F96" s="230" t="str">
        <f>IF('תנאי סף'!AO96&lt;&gt;1,"",'תנאי סף'!F96)</f>
        <v>טריו בן חיים</v>
      </c>
      <c r="G96" s="6">
        <v>5</v>
      </c>
      <c r="H96" s="5"/>
      <c r="I96" s="6"/>
      <c r="J96" s="5"/>
      <c r="K96" s="6"/>
      <c r="L96" s="5"/>
      <c r="M96" s="6"/>
      <c r="N96" s="6"/>
      <c r="O96" s="158"/>
      <c r="P96" s="177"/>
      <c r="Q96" s="8"/>
      <c r="R96" s="8"/>
      <c r="S96" s="8"/>
      <c r="T96" s="8"/>
      <c r="U96" s="159">
        <f t="shared" ref="U96:U130" si="16">IF($F96="","",IF($AA96&lt;&gt;1,$AB$1,G96*$G$5))</f>
        <v>5</v>
      </c>
      <c r="V96" s="8">
        <v>1</v>
      </c>
      <c r="W96" s="8">
        <f t="shared" ref="W96:W130" si="17">IF($F96="","",IF($AA96&lt;&gt;1,$AB$1,IFERROR(U96*V96,$AB$1)))</f>
        <v>5</v>
      </c>
      <c r="X96" s="8">
        <v>1</v>
      </c>
      <c r="Y96" s="8">
        <f t="shared" ref="Y96:Y130" si="18">IF($F96="","",IF($AA96&lt;&gt;1,$AB$1,IFERROR(W96*X96,$AB$1)))</f>
        <v>5</v>
      </c>
      <c r="Z96" s="123">
        <f t="shared" ref="Z96:Z130" si="19">IF($F96="","",IF(OR($AA96&lt;&gt;1,Y96=$AB$1),$AB$1,IFERROR(Y96/SUM($Y$31:$Y$130),0)))</f>
        <v>1.7006802721088437E-2</v>
      </c>
      <c r="AA96" s="192">
        <f t="shared" ref="AA96:AA130" si="20">IF(SUM(AD96:AV96)=COUNT(AD96:AV96),1,0)</f>
        <v>1</v>
      </c>
      <c r="AB96" s="192">
        <f t="shared" si="14"/>
        <v>0</v>
      </c>
      <c r="AC96" s="192">
        <f t="shared" si="14"/>
        <v>1</v>
      </c>
      <c r="AD96" s="192">
        <f t="shared" ref="AD96:AD130" si="21">IF(G$30="",1,IF(G96="",0,IFERROR(CHOOSE(AD$28,IF(ISNA(MATCH(G96,$AB$30:$AC$30,0)),0,1),IF(ISNUMBER(G96),1,0),IF(G96=TRUNC(G96),1,0),IF(AND(G96*1=G96,G96&gt;=0),1,0),IF(AND(G96=TRUNC(G96),G96&gt;=0),1,0),IF(AND(G96*1=G96,G96&gt;0),1,0),IF(AND(G96=TRUNC(G96),G96&gt;0),1,0),1,IF(ISNA(HLOOKUP(G96,$AE$4:$AN$4,1,0)),0,1)),0)))</f>
        <v>1</v>
      </c>
    </row>
    <row r="97" spans="2:30" ht="18" customHeight="1" x14ac:dyDescent="0.25">
      <c r="B97" s="7" t="str">
        <f t="shared" si="15"/>
        <v/>
      </c>
      <c r="C97" s="4"/>
      <c r="D97" s="4"/>
      <c r="E97" s="4"/>
      <c r="F97" s="230" t="str">
        <f>IF('תנאי סף'!AO97&lt;&gt;1,"",'תנאי סף'!F97)</f>
        <v/>
      </c>
      <c r="G97" s="6"/>
      <c r="H97" s="5"/>
      <c r="I97" s="6"/>
      <c r="J97" s="5"/>
      <c r="K97" s="6"/>
      <c r="L97" s="5"/>
      <c r="M97" s="6"/>
      <c r="N97" s="6"/>
      <c r="O97" s="158"/>
      <c r="P97" s="177"/>
      <c r="Q97" s="8"/>
      <c r="R97" s="8"/>
      <c r="S97" s="8"/>
      <c r="T97" s="8"/>
      <c r="U97" s="159" t="str">
        <f t="shared" si="16"/>
        <v/>
      </c>
      <c r="V97" s="8">
        <v>1</v>
      </c>
      <c r="W97" s="8" t="str">
        <f t="shared" si="17"/>
        <v/>
      </c>
      <c r="X97" s="8">
        <v>1</v>
      </c>
      <c r="Y97" s="8" t="str">
        <f t="shared" si="18"/>
        <v/>
      </c>
      <c r="Z97" s="123" t="str">
        <f t="shared" si="19"/>
        <v/>
      </c>
      <c r="AA97" s="192">
        <f t="shared" si="20"/>
        <v>0</v>
      </c>
      <c r="AB97" s="192" t="str">
        <f t="shared" si="14"/>
        <v/>
      </c>
      <c r="AC97" s="192" t="str">
        <f t="shared" si="14"/>
        <v/>
      </c>
      <c r="AD97" s="192">
        <f t="shared" si="21"/>
        <v>0</v>
      </c>
    </row>
    <row r="98" spans="2:30" ht="18" customHeight="1" x14ac:dyDescent="0.25">
      <c r="B98" s="7">
        <f t="shared" si="15"/>
        <v>68</v>
      </c>
      <c r="C98" s="4"/>
      <c r="D98" s="4"/>
      <c r="E98" s="4"/>
      <c r="F98" s="230" t="str">
        <f>IF('תנאי סף'!AO98&lt;&gt;1,"",'תנאי סף'!F98)</f>
        <v>אמיתי אריכא והפרויקט D1</v>
      </c>
      <c r="G98" s="6">
        <v>0</v>
      </c>
      <c r="H98" s="5"/>
      <c r="I98" s="6"/>
      <c r="J98" s="5"/>
      <c r="K98" s="6"/>
      <c r="L98" s="5"/>
      <c r="M98" s="6"/>
      <c r="N98" s="6"/>
      <c r="O98" s="158"/>
      <c r="P98" s="177"/>
      <c r="Q98" s="8"/>
      <c r="R98" s="8"/>
      <c r="S98" s="8"/>
      <c r="T98" s="8"/>
      <c r="U98" s="159">
        <f t="shared" si="16"/>
        <v>0</v>
      </c>
      <c r="V98" s="8">
        <v>1</v>
      </c>
      <c r="W98" s="8">
        <f t="shared" si="17"/>
        <v>0</v>
      </c>
      <c r="X98" s="8">
        <v>1</v>
      </c>
      <c r="Y98" s="8">
        <f t="shared" si="18"/>
        <v>0</v>
      </c>
      <c r="Z98" s="123">
        <f t="shared" si="19"/>
        <v>0</v>
      </c>
      <c r="AA98" s="192">
        <f t="shared" si="20"/>
        <v>1</v>
      </c>
      <c r="AB98" s="192">
        <f t="shared" si="14"/>
        <v>0</v>
      </c>
      <c r="AC98" s="192">
        <f t="shared" si="14"/>
        <v>1</v>
      </c>
      <c r="AD98" s="192">
        <f t="shared" si="21"/>
        <v>1</v>
      </c>
    </row>
    <row r="99" spans="2:30" ht="18" customHeight="1" x14ac:dyDescent="0.25">
      <c r="B99" s="7" t="str">
        <f t="shared" si="15"/>
        <v/>
      </c>
      <c r="C99" s="4"/>
      <c r="D99" s="4"/>
      <c r="E99" s="4"/>
      <c r="F99" s="230" t="str">
        <f>IF('תנאי סף'!AO99&lt;&gt;1,"",'תנאי סף'!F99)</f>
        <v/>
      </c>
      <c r="G99" s="6"/>
      <c r="H99" s="5"/>
      <c r="I99" s="6"/>
      <c r="J99" s="5"/>
      <c r="K99" s="6"/>
      <c r="L99" s="5"/>
      <c r="M99" s="6"/>
      <c r="N99" s="6"/>
      <c r="O99" s="158"/>
      <c r="P99" s="177"/>
      <c r="Q99" s="8"/>
      <c r="R99" s="8"/>
      <c r="S99" s="8"/>
      <c r="T99" s="8"/>
      <c r="U99" s="159" t="str">
        <f t="shared" si="16"/>
        <v/>
      </c>
      <c r="V99" s="8">
        <v>1</v>
      </c>
      <c r="W99" s="8" t="str">
        <f t="shared" si="17"/>
        <v/>
      </c>
      <c r="X99" s="8">
        <v>1</v>
      </c>
      <c r="Y99" s="8" t="str">
        <f t="shared" si="18"/>
        <v/>
      </c>
      <c r="Z99" s="123" t="str">
        <f t="shared" si="19"/>
        <v/>
      </c>
      <c r="AA99" s="192">
        <f t="shared" si="20"/>
        <v>0</v>
      </c>
      <c r="AB99" s="192" t="str">
        <f t="shared" si="14"/>
        <v/>
      </c>
      <c r="AC99" s="192" t="str">
        <f t="shared" si="14"/>
        <v/>
      </c>
      <c r="AD99" s="192">
        <f t="shared" si="21"/>
        <v>0</v>
      </c>
    </row>
    <row r="100" spans="2:30" ht="18" customHeight="1" x14ac:dyDescent="0.25">
      <c r="B100" s="7" t="str">
        <f t="shared" si="15"/>
        <v/>
      </c>
      <c r="C100" s="4"/>
      <c r="D100" s="4"/>
      <c r="E100" s="4"/>
      <c r="F100" s="230" t="str">
        <f>IF('תנאי סף'!AO100&lt;&gt;1,"",'תנאי סף'!F100)</f>
        <v/>
      </c>
      <c r="G100" s="6"/>
      <c r="H100" s="5"/>
      <c r="I100" s="6"/>
      <c r="J100" s="5"/>
      <c r="K100" s="6"/>
      <c r="L100" s="5"/>
      <c r="M100" s="6"/>
      <c r="N100" s="6"/>
      <c r="O100" s="158"/>
      <c r="P100" s="177"/>
      <c r="Q100" s="8"/>
      <c r="R100" s="8"/>
      <c r="S100" s="8"/>
      <c r="T100" s="8"/>
      <c r="U100" s="159" t="str">
        <f t="shared" si="16"/>
        <v/>
      </c>
      <c r="V100" s="8">
        <v>1</v>
      </c>
      <c r="W100" s="8" t="str">
        <f t="shared" si="17"/>
        <v/>
      </c>
      <c r="X100" s="8">
        <v>1</v>
      </c>
      <c r="Y100" s="8" t="str">
        <f t="shared" si="18"/>
        <v/>
      </c>
      <c r="Z100" s="123" t="str">
        <f t="shared" si="19"/>
        <v/>
      </c>
      <c r="AA100" s="192">
        <f t="shared" si="20"/>
        <v>0</v>
      </c>
      <c r="AB100" s="192" t="str">
        <f t="shared" si="14"/>
        <v/>
      </c>
      <c r="AC100" s="192" t="str">
        <f t="shared" si="14"/>
        <v/>
      </c>
      <c r="AD100" s="192">
        <f t="shared" si="21"/>
        <v>0</v>
      </c>
    </row>
    <row r="101" spans="2:30" ht="18" customHeight="1" x14ac:dyDescent="0.25">
      <c r="B101" s="7" t="str">
        <f t="shared" si="15"/>
        <v/>
      </c>
      <c r="C101" s="4"/>
      <c r="D101" s="4"/>
      <c r="E101" s="4"/>
      <c r="F101" s="230" t="str">
        <f>IF('תנאי סף'!AO101&lt;&gt;1,"",'תנאי סף'!F101)</f>
        <v/>
      </c>
      <c r="G101" s="6"/>
      <c r="H101" s="5"/>
      <c r="I101" s="6"/>
      <c r="J101" s="5"/>
      <c r="K101" s="6"/>
      <c r="L101" s="5"/>
      <c r="M101" s="6"/>
      <c r="N101" s="6"/>
      <c r="O101" s="158"/>
      <c r="P101" s="177"/>
      <c r="Q101" s="8"/>
      <c r="R101" s="8"/>
      <c r="S101" s="8"/>
      <c r="T101" s="8"/>
      <c r="U101" s="159" t="str">
        <f t="shared" si="16"/>
        <v/>
      </c>
      <c r="V101" s="8">
        <v>1</v>
      </c>
      <c r="W101" s="8" t="str">
        <f t="shared" si="17"/>
        <v/>
      </c>
      <c r="X101" s="8">
        <v>1</v>
      </c>
      <c r="Y101" s="8" t="str">
        <f t="shared" si="18"/>
        <v/>
      </c>
      <c r="Z101" s="123" t="str">
        <f t="shared" si="19"/>
        <v/>
      </c>
      <c r="AA101" s="192">
        <f t="shared" si="20"/>
        <v>0</v>
      </c>
      <c r="AB101" s="192" t="str">
        <f t="shared" si="14"/>
        <v/>
      </c>
      <c r="AC101" s="192" t="str">
        <f t="shared" si="14"/>
        <v/>
      </c>
      <c r="AD101" s="192">
        <f t="shared" si="21"/>
        <v>0</v>
      </c>
    </row>
    <row r="102" spans="2:30" ht="18" customHeight="1" x14ac:dyDescent="0.25">
      <c r="B102" s="7" t="str">
        <f t="shared" si="15"/>
        <v/>
      </c>
      <c r="C102" s="4"/>
      <c r="D102" s="4"/>
      <c r="E102" s="4"/>
      <c r="F102" s="230" t="str">
        <f>IF('תנאי סף'!AO102&lt;&gt;1,"",'תנאי סף'!F102)</f>
        <v/>
      </c>
      <c r="G102" s="6"/>
      <c r="H102" s="5"/>
      <c r="I102" s="6"/>
      <c r="J102" s="5"/>
      <c r="K102" s="6"/>
      <c r="L102" s="5"/>
      <c r="M102" s="6"/>
      <c r="N102" s="6"/>
      <c r="O102" s="158"/>
      <c r="P102" s="177"/>
      <c r="Q102" s="8"/>
      <c r="R102" s="8"/>
      <c r="S102" s="8"/>
      <c r="T102" s="8"/>
      <c r="U102" s="159" t="str">
        <f t="shared" si="16"/>
        <v/>
      </c>
      <c r="V102" s="8">
        <v>1</v>
      </c>
      <c r="W102" s="8" t="str">
        <f t="shared" si="17"/>
        <v/>
      </c>
      <c r="X102" s="8">
        <v>1</v>
      </c>
      <c r="Y102" s="8" t="str">
        <f t="shared" si="18"/>
        <v/>
      </c>
      <c r="Z102" s="123" t="str">
        <f t="shared" si="19"/>
        <v/>
      </c>
      <c r="AA102" s="192">
        <f t="shared" si="20"/>
        <v>0</v>
      </c>
      <c r="AB102" s="192" t="str">
        <f t="shared" si="14"/>
        <v/>
      </c>
      <c r="AC102" s="192" t="str">
        <f t="shared" si="14"/>
        <v/>
      </c>
      <c r="AD102" s="192">
        <f t="shared" si="21"/>
        <v>0</v>
      </c>
    </row>
    <row r="103" spans="2:30" ht="18" customHeight="1" x14ac:dyDescent="0.25">
      <c r="B103" s="7" t="str">
        <f t="shared" si="15"/>
        <v/>
      </c>
      <c r="C103" s="4"/>
      <c r="D103" s="4"/>
      <c r="E103" s="4"/>
      <c r="F103" s="230" t="str">
        <f>IF('תנאי סף'!AO103&lt;&gt;1,"",'תנאי סף'!F103)</f>
        <v/>
      </c>
      <c r="G103" s="6"/>
      <c r="H103" s="5"/>
      <c r="I103" s="6"/>
      <c r="J103" s="5"/>
      <c r="K103" s="6"/>
      <c r="L103" s="5"/>
      <c r="M103" s="6"/>
      <c r="N103" s="6"/>
      <c r="O103" s="158"/>
      <c r="P103" s="177"/>
      <c r="Q103" s="8"/>
      <c r="R103" s="8"/>
      <c r="S103" s="8"/>
      <c r="T103" s="8"/>
      <c r="U103" s="159" t="str">
        <f t="shared" si="16"/>
        <v/>
      </c>
      <c r="V103" s="8">
        <v>1</v>
      </c>
      <c r="W103" s="8" t="str">
        <f t="shared" si="17"/>
        <v/>
      </c>
      <c r="X103" s="8">
        <v>1</v>
      </c>
      <c r="Y103" s="8" t="str">
        <f t="shared" si="18"/>
        <v/>
      </c>
      <c r="Z103" s="123" t="str">
        <f t="shared" si="19"/>
        <v/>
      </c>
      <c r="AA103" s="192">
        <f t="shared" si="20"/>
        <v>0</v>
      </c>
      <c r="AB103" s="192" t="str">
        <f t="shared" si="14"/>
        <v/>
      </c>
      <c r="AC103" s="192" t="str">
        <f t="shared" si="14"/>
        <v/>
      </c>
      <c r="AD103" s="192">
        <f t="shared" si="21"/>
        <v>0</v>
      </c>
    </row>
    <row r="104" spans="2:30" ht="18" customHeight="1" x14ac:dyDescent="0.25">
      <c r="B104" s="7" t="str">
        <f t="shared" si="15"/>
        <v/>
      </c>
      <c r="C104" s="4"/>
      <c r="D104" s="4"/>
      <c r="E104" s="4"/>
      <c r="F104" s="230" t="str">
        <f>IF('תנאי סף'!AO104&lt;&gt;1,"",'תנאי סף'!F104)</f>
        <v/>
      </c>
      <c r="G104" s="6"/>
      <c r="H104" s="5"/>
      <c r="I104" s="6"/>
      <c r="J104" s="5"/>
      <c r="K104" s="6"/>
      <c r="L104" s="5"/>
      <c r="M104" s="6"/>
      <c r="N104" s="6"/>
      <c r="O104" s="158"/>
      <c r="P104" s="177"/>
      <c r="Q104" s="8"/>
      <c r="R104" s="8"/>
      <c r="S104" s="8"/>
      <c r="T104" s="8"/>
      <c r="U104" s="159" t="str">
        <f t="shared" si="16"/>
        <v/>
      </c>
      <c r="V104" s="8">
        <v>1</v>
      </c>
      <c r="W104" s="8" t="str">
        <f t="shared" si="17"/>
        <v/>
      </c>
      <c r="X104" s="8">
        <v>1</v>
      </c>
      <c r="Y104" s="8" t="str">
        <f t="shared" si="18"/>
        <v/>
      </c>
      <c r="Z104" s="123" t="str">
        <f t="shared" si="19"/>
        <v/>
      </c>
      <c r="AA104" s="192">
        <f t="shared" si="20"/>
        <v>0</v>
      </c>
      <c r="AB104" s="192" t="str">
        <f t="shared" si="14"/>
        <v/>
      </c>
      <c r="AC104" s="192" t="str">
        <f t="shared" si="14"/>
        <v/>
      </c>
      <c r="AD104" s="192">
        <f t="shared" si="21"/>
        <v>0</v>
      </c>
    </row>
    <row r="105" spans="2:30" ht="18" customHeight="1" x14ac:dyDescent="0.25">
      <c r="B105" s="7">
        <f t="shared" si="15"/>
        <v>75</v>
      </c>
      <c r="C105" s="4"/>
      <c r="D105" s="4"/>
      <c r="E105" s="4"/>
      <c r="F105" s="230" t="str">
        <f>IF('תנאי סף'!AO105&lt;&gt;1,"",'תנאי סף'!F105)</f>
        <v>לבונטין 7</v>
      </c>
      <c r="G105" s="6">
        <v>20</v>
      </c>
      <c r="H105" s="5"/>
      <c r="I105" s="6"/>
      <c r="J105" s="5"/>
      <c r="K105" s="6"/>
      <c r="L105" s="5"/>
      <c r="M105" s="6"/>
      <c r="N105" s="6"/>
      <c r="O105" s="158"/>
      <c r="P105" s="177"/>
      <c r="Q105" s="8"/>
      <c r="R105" s="8"/>
      <c r="S105" s="8"/>
      <c r="T105" s="8"/>
      <c r="U105" s="159">
        <f t="shared" si="16"/>
        <v>20</v>
      </c>
      <c r="V105" s="8">
        <v>1</v>
      </c>
      <c r="W105" s="8">
        <f t="shared" si="17"/>
        <v>20</v>
      </c>
      <c r="X105" s="8">
        <v>1</v>
      </c>
      <c r="Y105" s="8">
        <f t="shared" si="18"/>
        <v>20</v>
      </c>
      <c r="Z105" s="123">
        <f t="shared" si="19"/>
        <v>6.8027210884353748E-2</v>
      </c>
      <c r="AA105" s="192">
        <f t="shared" si="20"/>
        <v>1</v>
      </c>
      <c r="AB105" s="192">
        <f t="shared" si="14"/>
        <v>0</v>
      </c>
      <c r="AC105" s="192">
        <f t="shared" si="14"/>
        <v>1</v>
      </c>
      <c r="AD105" s="192">
        <f t="shared" si="21"/>
        <v>1</v>
      </c>
    </row>
    <row r="106" spans="2:30" ht="18" customHeight="1" x14ac:dyDescent="0.25">
      <c r="B106" s="7">
        <f t="shared" si="15"/>
        <v>76</v>
      </c>
      <c r="C106" s="4"/>
      <c r="D106" s="4"/>
      <c r="E106" s="4"/>
      <c r="F106" s="230" t="str">
        <f>IF('תנאי סף'!AO106&lt;&gt;1,"",'תנאי סף'!F106)</f>
        <v>מולטי פיאנו- פליציה בלומנטל</v>
      </c>
      <c r="G106" s="6">
        <v>1</v>
      </c>
      <c r="H106" s="5"/>
      <c r="I106" s="6"/>
      <c r="J106" s="5"/>
      <c r="K106" s="6"/>
      <c r="L106" s="5"/>
      <c r="M106" s="6"/>
      <c r="N106" s="6"/>
      <c r="O106" s="158"/>
      <c r="P106" s="177"/>
      <c r="Q106" s="8"/>
      <c r="R106" s="8"/>
      <c r="S106" s="8"/>
      <c r="T106" s="8"/>
      <c r="U106" s="159">
        <f t="shared" si="16"/>
        <v>1</v>
      </c>
      <c r="V106" s="8">
        <v>1</v>
      </c>
      <c r="W106" s="8">
        <f t="shared" si="17"/>
        <v>1</v>
      </c>
      <c r="X106" s="8">
        <v>1</v>
      </c>
      <c r="Y106" s="8">
        <f t="shared" si="18"/>
        <v>1</v>
      </c>
      <c r="Z106" s="123">
        <f t="shared" si="19"/>
        <v>3.4013605442176869E-3</v>
      </c>
      <c r="AA106" s="192">
        <f t="shared" si="20"/>
        <v>1</v>
      </c>
      <c r="AB106" s="192">
        <f t="shared" si="14"/>
        <v>0</v>
      </c>
      <c r="AC106" s="192">
        <f t="shared" si="14"/>
        <v>1</v>
      </c>
      <c r="AD106" s="192">
        <f t="shared" si="21"/>
        <v>1</v>
      </c>
    </row>
    <row r="107" spans="2:30" ht="18" customHeight="1" x14ac:dyDescent="0.25">
      <c r="B107" s="7">
        <f t="shared" si="15"/>
        <v>77</v>
      </c>
      <c r="C107" s="4"/>
      <c r="D107" s="4"/>
      <c r="E107" s="4"/>
      <c r="F107" s="230" t="str">
        <f>IF('תנאי סף'!AO107&lt;&gt;1,"",'תנאי סף'!F107)</f>
        <v>ארמון בזמן - העמותה לתרבות רב תחומית</v>
      </c>
      <c r="G107" s="6">
        <v>6</v>
      </c>
      <c r="H107" s="5"/>
      <c r="I107" s="6"/>
      <c r="J107" s="5"/>
      <c r="K107" s="6"/>
      <c r="L107" s="5"/>
      <c r="M107" s="6"/>
      <c r="N107" s="6"/>
      <c r="O107" s="158"/>
      <c r="P107" s="177"/>
      <c r="Q107" s="8"/>
      <c r="R107" s="8"/>
      <c r="S107" s="8"/>
      <c r="T107" s="8"/>
      <c r="U107" s="159">
        <f t="shared" si="16"/>
        <v>6</v>
      </c>
      <c r="V107" s="8">
        <v>1</v>
      </c>
      <c r="W107" s="8">
        <f t="shared" si="17"/>
        <v>6</v>
      </c>
      <c r="X107" s="8">
        <v>1</v>
      </c>
      <c r="Y107" s="8">
        <f t="shared" si="18"/>
        <v>6</v>
      </c>
      <c r="Z107" s="123">
        <f t="shared" si="19"/>
        <v>2.0408163265306121E-2</v>
      </c>
      <c r="AA107" s="192">
        <f t="shared" si="20"/>
        <v>1</v>
      </c>
      <c r="AB107" s="192">
        <f t="shared" si="14"/>
        <v>0</v>
      </c>
      <c r="AC107" s="192">
        <f t="shared" si="14"/>
        <v>1</v>
      </c>
      <c r="AD107" s="192">
        <f t="shared" si="21"/>
        <v>1</v>
      </c>
    </row>
    <row r="108" spans="2:30" x14ac:dyDescent="0.25">
      <c r="B108" s="7" t="str">
        <f t="shared" si="15"/>
        <v/>
      </c>
      <c r="C108" s="4"/>
      <c r="D108" s="4"/>
      <c r="E108" s="4"/>
      <c r="F108" s="230" t="str">
        <f>IF('תנאי סף'!AO108&lt;&gt;1,"",'תנאי סף'!F108)</f>
        <v/>
      </c>
      <c r="G108" s="6"/>
      <c r="H108" s="5"/>
      <c r="I108" s="6"/>
      <c r="J108" s="5"/>
      <c r="K108" s="6"/>
      <c r="L108" s="5"/>
      <c r="M108" s="6"/>
      <c r="N108" s="6"/>
      <c r="O108" s="158"/>
      <c r="P108" s="177"/>
      <c r="Q108" s="8"/>
      <c r="R108" s="8"/>
      <c r="S108" s="8"/>
      <c r="T108" s="8"/>
      <c r="U108" s="159" t="str">
        <f t="shared" si="16"/>
        <v/>
      </c>
      <c r="V108" s="8">
        <v>1</v>
      </c>
      <c r="W108" s="8" t="str">
        <f t="shared" si="17"/>
        <v/>
      </c>
      <c r="X108" s="8">
        <v>1</v>
      </c>
      <c r="Y108" s="8" t="str">
        <f t="shared" si="18"/>
        <v/>
      </c>
      <c r="Z108" s="123" t="str">
        <f t="shared" si="19"/>
        <v/>
      </c>
      <c r="AA108" s="192">
        <f t="shared" si="20"/>
        <v>0</v>
      </c>
      <c r="AB108" s="192" t="str">
        <f t="shared" si="14"/>
        <v/>
      </c>
      <c r="AC108" s="192" t="str">
        <f t="shared" si="14"/>
        <v/>
      </c>
      <c r="AD108" s="192">
        <f t="shared" si="21"/>
        <v>0</v>
      </c>
    </row>
    <row r="109" spans="2:30" x14ac:dyDescent="0.25">
      <c r="B109" s="7" t="str">
        <f t="shared" si="15"/>
        <v/>
      </c>
      <c r="C109" s="4"/>
      <c r="D109" s="4"/>
      <c r="E109" s="4"/>
      <c r="F109" s="230" t="str">
        <f>IF('תנאי סף'!AO109&lt;&gt;1,"",'תנאי סף'!F109)</f>
        <v/>
      </c>
      <c r="G109" s="6"/>
      <c r="H109" s="5"/>
      <c r="I109" s="6"/>
      <c r="J109" s="5"/>
      <c r="K109" s="6"/>
      <c r="L109" s="5"/>
      <c r="M109" s="6"/>
      <c r="N109" s="6"/>
      <c r="O109" s="158"/>
      <c r="P109" s="177"/>
      <c r="Q109" s="8"/>
      <c r="R109" s="8"/>
      <c r="S109" s="8"/>
      <c r="T109" s="8"/>
      <c r="U109" s="159" t="str">
        <f t="shared" si="16"/>
        <v/>
      </c>
      <c r="V109" s="8">
        <v>1</v>
      </c>
      <c r="W109" s="8" t="str">
        <f t="shared" si="17"/>
        <v/>
      </c>
      <c r="X109" s="8">
        <v>1</v>
      </c>
      <c r="Y109" s="8" t="str">
        <f t="shared" si="18"/>
        <v/>
      </c>
      <c r="Z109" s="123" t="str">
        <f t="shared" si="19"/>
        <v/>
      </c>
      <c r="AA109" s="192">
        <f t="shared" si="20"/>
        <v>0</v>
      </c>
      <c r="AB109" s="192" t="str">
        <f t="shared" si="14"/>
        <v/>
      </c>
      <c r="AC109" s="192" t="str">
        <f t="shared" si="14"/>
        <v/>
      </c>
      <c r="AD109" s="192">
        <f t="shared" si="21"/>
        <v>0</v>
      </c>
    </row>
    <row r="110" spans="2:30" x14ac:dyDescent="0.25">
      <c r="B110" s="7" t="str">
        <f t="shared" si="15"/>
        <v/>
      </c>
      <c r="C110" s="4"/>
      <c r="D110" s="4"/>
      <c r="E110" s="4"/>
      <c r="F110" s="230" t="str">
        <f>IF('תנאי סף'!AO110&lt;&gt;1,"",'תנאי סף'!F110)</f>
        <v/>
      </c>
      <c r="G110" s="6"/>
      <c r="H110" s="5"/>
      <c r="I110" s="6"/>
      <c r="J110" s="5"/>
      <c r="K110" s="6"/>
      <c r="L110" s="5"/>
      <c r="M110" s="6"/>
      <c r="N110" s="6"/>
      <c r="O110" s="158"/>
      <c r="P110" s="177"/>
      <c r="Q110" s="8"/>
      <c r="R110" s="8"/>
      <c r="S110" s="8"/>
      <c r="T110" s="8"/>
      <c r="U110" s="159" t="str">
        <f t="shared" si="16"/>
        <v/>
      </c>
      <c r="V110" s="8">
        <v>1</v>
      </c>
      <c r="W110" s="8" t="str">
        <f t="shared" si="17"/>
        <v/>
      </c>
      <c r="X110" s="8">
        <v>1</v>
      </c>
      <c r="Y110" s="8" t="str">
        <f t="shared" si="18"/>
        <v/>
      </c>
      <c r="Z110" s="123" t="str">
        <f t="shared" si="19"/>
        <v/>
      </c>
      <c r="AA110" s="192">
        <f t="shared" si="20"/>
        <v>0</v>
      </c>
      <c r="AB110" s="192" t="str">
        <f t="shared" si="14"/>
        <v/>
      </c>
      <c r="AC110" s="192" t="str">
        <f t="shared" si="14"/>
        <v/>
      </c>
      <c r="AD110" s="192">
        <f t="shared" si="21"/>
        <v>0</v>
      </c>
    </row>
    <row r="111" spans="2:30" x14ac:dyDescent="0.25">
      <c r="B111" s="7" t="str">
        <f t="shared" si="15"/>
        <v/>
      </c>
      <c r="C111" s="4"/>
      <c r="D111" s="4"/>
      <c r="E111" s="4"/>
      <c r="F111" s="230" t="str">
        <f>IF('תנאי סף'!AO111&lt;&gt;1,"",'תנאי סף'!F111)</f>
        <v/>
      </c>
      <c r="G111" s="6"/>
      <c r="H111" s="5"/>
      <c r="I111" s="6"/>
      <c r="J111" s="5"/>
      <c r="K111" s="6"/>
      <c r="L111" s="5"/>
      <c r="M111" s="6"/>
      <c r="N111" s="6"/>
      <c r="O111" s="158"/>
      <c r="P111" s="177"/>
      <c r="Q111" s="8"/>
      <c r="R111" s="8"/>
      <c r="S111" s="8"/>
      <c r="T111" s="8"/>
      <c r="U111" s="159" t="str">
        <f t="shared" si="16"/>
        <v/>
      </c>
      <c r="V111" s="8">
        <v>1</v>
      </c>
      <c r="W111" s="8" t="str">
        <f t="shared" si="17"/>
        <v/>
      </c>
      <c r="X111" s="8">
        <v>1</v>
      </c>
      <c r="Y111" s="8" t="str">
        <f t="shared" si="18"/>
        <v/>
      </c>
      <c r="Z111" s="123" t="str">
        <f t="shared" si="19"/>
        <v/>
      </c>
      <c r="AA111" s="192">
        <f t="shared" si="20"/>
        <v>0</v>
      </c>
      <c r="AB111" s="192" t="str">
        <f t="shared" si="14"/>
        <v/>
      </c>
      <c r="AC111" s="192" t="str">
        <f t="shared" si="14"/>
        <v/>
      </c>
      <c r="AD111" s="192">
        <f t="shared" si="21"/>
        <v>0</v>
      </c>
    </row>
    <row r="112" spans="2:30" x14ac:dyDescent="0.25">
      <c r="B112" s="7" t="str">
        <f t="shared" si="15"/>
        <v/>
      </c>
      <c r="C112" s="4"/>
      <c r="D112" s="4"/>
      <c r="E112" s="4"/>
      <c r="F112" s="230" t="str">
        <f>IF('תנאי סף'!AO112&lt;&gt;1,"",'תנאי סף'!F112)</f>
        <v/>
      </c>
      <c r="G112" s="6"/>
      <c r="H112" s="5"/>
      <c r="I112" s="6"/>
      <c r="J112" s="5"/>
      <c r="K112" s="6"/>
      <c r="L112" s="5"/>
      <c r="M112" s="6"/>
      <c r="N112" s="6"/>
      <c r="O112" s="158"/>
      <c r="P112" s="177"/>
      <c r="Q112" s="8"/>
      <c r="R112" s="8"/>
      <c r="S112" s="8"/>
      <c r="T112" s="8"/>
      <c r="U112" s="159" t="str">
        <f t="shared" si="16"/>
        <v/>
      </c>
      <c r="V112" s="8">
        <v>1</v>
      </c>
      <c r="W112" s="8" t="str">
        <f t="shared" si="17"/>
        <v/>
      </c>
      <c r="X112" s="8">
        <v>1</v>
      </c>
      <c r="Y112" s="8" t="str">
        <f t="shared" si="18"/>
        <v/>
      </c>
      <c r="Z112" s="123" t="str">
        <f t="shared" si="19"/>
        <v/>
      </c>
      <c r="AA112" s="192">
        <f t="shared" si="20"/>
        <v>0</v>
      </c>
      <c r="AB112" s="192" t="str">
        <f t="shared" si="14"/>
        <v/>
      </c>
      <c r="AC112" s="192" t="str">
        <f t="shared" si="14"/>
        <v/>
      </c>
      <c r="AD112" s="192">
        <f t="shared" si="21"/>
        <v>0</v>
      </c>
    </row>
    <row r="113" spans="2:30" x14ac:dyDescent="0.25">
      <c r="B113" s="7" t="str">
        <f t="shared" si="15"/>
        <v/>
      </c>
      <c r="C113" s="4"/>
      <c r="D113" s="4"/>
      <c r="E113" s="4"/>
      <c r="F113" s="230" t="str">
        <f>IF('תנאי סף'!AO113&lt;&gt;1,"",'תנאי סף'!F113)</f>
        <v/>
      </c>
      <c r="G113" s="6"/>
      <c r="H113" s="5"/>
      <c r="I113" s="6"/>
      <c r="J113" s="5"/>
      <c r="K113" s="6"/>
      <c r="L113" s="5"/>
      <c r="M113" s="6"/>
      <c r="N113" s="6"/>
      <c r="O113" s="158"/>
      <c r="P113" s="177"/>
      <c r="Q113" s="8"/>
      <c r="R113" s="8"/>
      <c r="S113" s="8"/>
      <c r="T113" s="8"/>
      <c r="U113" s="159" t="str">
        <f t="shared" si="16"/>
        <v/>
      </c>
      <c r="V113" s="8">
        <v>1</v>
      </c>
      <c r="W113" s="8" t="str">
        <f t="shared" si="17"/>
        <v/>
      </c>
      <c r="X113" s="8">
        <v>1</v>
      </c>
      <c r="Y113" s="8" t="str">
        <f t="shared" si="18"/>
        <v/>
      </c>
      <c r="Z113" s="123" t="str">
        <f t="shared" si="19"/>
        <v/>
      </c>
      <c r="AA113" s="192">
        <f t="shared" si="20"/>
        <v>0</v>
      </c>
      <c r="AB113" s="192" t="str">
        <f t="shared" si="14"/>
        <v/>
      </c>
      <c r="AC113" s="192" t="str">
        <f t="shared" si="14"/>
        <v/>
      </c>
      <c r="AD113" s="192">
        <f t="shared" si="21"/>
        <v>0</v>
      </c>
    </row>
    <row r="114" spans="2:30" x14ac:dyDescent="0.25">
      <c r="B114" s="7" t="str">
        <f t="shared" si="15"/>
        <v/>
      </c>
      <c r="C114" s="4"/>
      <c r="D114" s="4"/>
      <c r="E114" s="4"/>
      <c r="F114" s="230" t="str">
        <f>IF('תנאי סף'!AO114&lt;&gt;1,"",'תנאי סף'!F114)</f>
        <v/>
      </c>
      <c r="G114" s="6"/>
      <c r="H114" s="5"/>
      <c r="I114" s="6"/>
      <c r="J114" s="5"/>
      <c r="K114" s="6"/>
      <c r="L114" s="5"/>
      <c r="M114" s="6"/>
      <c r="N114" s="6"/>
      <c r="O114" s="158"/>
      <c r="P114" s="177"/>
      <c r="Q114" s="8"/>
      <c r="R114" s="8"/>
      <c r="S114" s="8"/>
      <c r="T114" s="8"/>
      <c r="U114" s="159" t="str">
        <f t="shared" si="16"/>
        <v/>
      </c>
      <c r="V114" s="8">
        <v>1</v>
      </c>
      <c r="W114" s="8" t="str">
        <f t="shared" si="17"/>
        <v/>
      </c>
      <c r="X114" s="8">
        <v>1</v>
      </c>
      <c r="Y114" s="8" t="str">
        <f t="shared" si="18"/>
        <v/>
      </c>
      <c r="Z114" s="123" t="str">
        <f t="shared" si="19"/>
        <v/>
      </c>
      <c r="AA114" s="192">
        <f t="shared" si="20"/>
        <v>0</v>
      </c>
      <c r="AB114" s="192" t="str">
        <f t="shared" si="14"/>
        <v/>
      </c>
      <c r="AC114" s="192" t="str">
        <f t="shared" si="14"/>
        <v/>
      </c>
      <c r="AD114" s="192">
        <f t="shared" si="21"/>
        <v>0</v>
      </c>
    </row>
    <row r="115" spans="2:30" x14ac:dyDescent="0.25">
      <c r="B115" s="7" t="str">
        <f t="shared" si="15"/>
        <v/>
      </c>
      <c r="C115" s="4"/>
      <c r="D115" s="4"/>
      <c r="E115" s="4"/>
      <c r="F115" s="230" t="str">
        <f>IF('תנאי סף'!AO115&lt;&gt;1,"",'תנאי סף'!F115)</f>
        <v/>
      </c>
      <c r="G115" s="6"/>
      <c r="H115" s="5"/>
      <c r="I115" s="6"/>
      <c r="J115" s="5"/>
      <c r="K115" s="6"/>
      <c r="L115" s="5"/>
      <c r="M115" s="6"/>
      <c r="N115" s="6"/>
      <c r="O115" s="158"/>
      <c r="P115" s="177"/>
      <c r="Q115" s="8"/>
      <c r="R115" s="8"/>
      <c r="S115" s="8"/>
      <c r="T115" s="8"/>
      <c r="U115" s="159" t="str">
        <f t="shared" si="16"/>
        <v/>
      </c>
      <c r="V115" s="8">
        <v>1</v>
      </c>
      <c r="W115" s="8" t="str">
        <f t="shared" si="17"/>
        <v/>
      </c>
      <c r="X115" s="8">
        <v>1</v>
      </c>
      <c r="Y115" s="8" t="str">
        <f t="shared" si="18"/>
        <v/>
      </c>
      <c r="Z115" s="123" t="str">
        <f t="shared" si="19"/>
        <v/>
      </c>
      <c r="AA115" s="192">
        <f t="shared" si="20"/>
        <v>0</v>
      </c>
      <c r="AB115" s="192" t="str">
        <f t="shared" si="14"/>
        <v/>
      </c>
      <c r="AC115" s="192" t="str">
        <f t="shared" si="14"/>
        <v/>
      </c>
      <c r="AD115" s="192">
        <f t="shared" si="21"/>
        <v>0</v>
      </c>
    </row>
    <row r="116" spans="2:30" x14ac:dyDescent="0.25">
      <c r="B116" s="7" t="str">
        <f t="shared" si="15"/>
        <v/>
      </c>
      <c r="C116" s="4"/>
      <c r="D116" s="4"/>
      <c r="E116" s="4"/>
      <c r="F116" s="230" t="str">
        <f>IF('תנאי סף'!AO116&lt;&gt;1,"",'תנאי סף'!F116)</f>
        <v/>
      </c>
      <c r="G116" s="6"/>
      <c r="H116" s="5"/>
      <c r="I116" s="6"/>
      <c r="J116" s="5"/>
      <c r="K116" s="6"/>
      <c r="L116" s="5"/>
      <c r="M116" s="6"/>
      <c r="N116" s="6"/>
      <c r="O116" s="158"/>
      <c r="P116" s="177"/>
      <c r="Q116" s="8"/>
      <c r="R116" s="8"/>
      <c r="S116" s="8"/>
      <c r="T116" s="8"/>
      <c r="U116" s="159" t="str">
        <f t="shared" si="16"/>
        <v/>
      </c>
      <c r="V116" s="8">
        <v>1</v>
      </c>
      <c r="W116" s="8" t="str">
        <f t="shared" si="17"/>
        <v/>
      </c>
      <c r="X116" s="8">
        <v>1</v>
      </c>
      <c r="Y116" s="8" t="str">
        <f t="shared" si="18"/>
        <v/>
      </c>
      <c r="Z116" s="123" t="str">
        <f t="shared" si="19"/>
        <v/>
      </c>
      <c r="AA116" s="192">
        <f t="shared" si="20"/>
        <v>0</v>
      </c>
      <c r="AB116" s="192" t="str">
        <f t="shared" si="14"/>
        <v/>
      </c>
      <c r="AC116" s="192" t="str">
        <f t="shared" si="14"/>
        <v/>
      </c>
      <c r="AD116" s="192">
        <f t="shared" si="21"/>
        <v>0</v>
      </c>
    </row>
    <row r="117" spans="2:30" x14ac:dyDescent="0.25">
      <c r="B117" s="7" t="str">
        <f t="shared" si="15"/>
        <v/>
      </c>
      <c r="C117" s="4"/>
      <c r="D117" s="4"/>
      <c r="E117" s="4"/>
      <c r="F117" s="230" t="str">
        <f>IF('תנאי סף'!AO117&lt;&gt;1,"",'תנאי סף'!F117)</f>
        <v/>
      </c>
      <c r="G117" s="6"/>
      <c r="H117" s="5"/>
      <c r="I117" s="6"/>
      <c r="J117" s="5"/>
      <c r="K117" s="6"/>
      <c r="L117" s="5"/>
      <c r="M117" s="6"/>
      <c r="N117" s="6"/>
      <c r="O117" s="158"/>
      <c r="P117" s="177"/>
      <c r="Q117" s="8"/>
      <c r="R117" s="8"/>
      <c r="S117" s="8"/>
      <c r="T117" s="8"/>
      <c r="U117" s="159" t="str">
        <f t="shared" si="16"/>
        <v/>
      </c>
      <c r="V117" s="8">
        <v>1</v>
      </c>
      <c r="W117" s="8" t="str">
        <f t="shared" si="17"/>
        <v/>
      </c>
      <c r="X117" s="8">
        <v>1</v>
      </c>
      <c r="Y117" s="8" t="str">
        <f t="shared" si="18"/>
        <v/>
      </c>
      <c r="Z117" s="123" t="str">
        <f t="shared" si="19"/>
        <v/>
      </c>
      <c r="AA117" s="192">
        <f t="shared" si="20"/>
        <v>0</v>
      </c>
      <c r="AB117" s="192" t="str">
        <f t="shared" si="14"/>
        <v/>
      </c>
      <c r="AC117" s="192" t="str">
        <f t="shared" si="14"/>
        <v/>
      </c>
      <c r="AD117" s="192">
        <f t="shared" si="21"/>
        <v>0</v>
      </c>
    </row>
    <row r="118" spans="2:30" x14ac:dyDescent="0.25">
      <c r="B118" s="7" t="str">
        <f t="shared" si="15"/>
        <v/>
      </c>
      <c r="C118" s="4"/>
      <c r="D118" s="4"/>
      <c r="E118" s="4"/>
      <c r="F118" s="230" t="str">
        <f>IF('תנאי סף'!AO118&lt;&gt;1,"",'תנאי סף'!F118)</f>
        <v/>
      </c>
      <c r="G118" s="6"/>
      <c r="H118" s="5"/>
      <c r="I118" s="6"/>
      <c r="J118" s="5"/>
      <c r="K118" s="6"/>
      <c r="L118" s="5"/>
      <c r="M118" s="6"/>
      <c r="N118" s="6"/>
      <c r="O118" s="158"/>
      <c r="P118" s="177"/>
      <c r="Q118" s="8"/>
      <c r="R118" s="8"/>
      <c r="S118" s="8"/>
      <c r="T118" s="8"/>
      <c r="U118" s="159" t="str">
        <f t="shared" si="16"/>
        <v/>
      </c>
      <c r="V118" s="8">
        <v>1</v>
      </c>
      <c r="W118" s="8" t="str">
        <f t="shared" si="17"/>
        <v/>
      </c>
      <c r="X118" s="8">
        <v>1</v>
      </c>
      <c r="Y118" s="8" t="str">
        <f t="shared" si="18"/>
        <v/>
      </c>
      <c r="Z118" s="123" t="str">
        <f t="shared" si="19"/>
        <v/>
      </c>
      <c r="AA118" s="192">
        <f t="shared" si="20"/>
        <v>0</v>
      </c>
      <c r="AB118" s="192" t="str">
        <f t="shared" si="14"/>
        <v/>
      </c>
      <c r="AC118" s="192" t="str">
        <f t="shared" si="14"/>
        <v/>
      </c>
      <c r="AD118" s="192">
        <f t="shared" si="21"/>
        <v>0</v>
      </c>
    </row>
    <row r="119" spans="2:30" x14ac:dyDescent="0.25">
      <c r="B119" s="7" t="str">
        <f t="shared" si="15"/>
        <v/>
      </c>
      <c r="C119" s="4"/>
      <c r="D119" s="4"/>
      <c r="E119" s="4"/>
      <c r="F119" s="230" t="str">
        <f>IF('תנאי סף'!AO119&lt;&gt;1,"",'תנאי סף'!F119)</f>
        <v/>
      </c>
      <c r="G119" s="6"/>
      <c r="H119" s="5"/>
      <c r="I119" s="6"/>
      <c r="J119" s="5"/>
      <c r="K119" s="6"/>
      <c r="L119" s="5"/>
      <c r="M119" s="6"/>
      <c r="N119" s="6"/>
      <c r="O119" s="158"/>
      <c r="P119" s="177"/>
      <c r="Q119" s="8"/>
      <c r="R119" s="8"/>
      <c r="S119" s="8"/>
      <c r="T119" s="8"/>
      <c r="U119" s="159" t="str">
        <f t="shared" si="16"/>
        <v/>
      </c>
      <c r="V119" s="8">
        <v>1</v>
      </c>
      <c r="W119" s="8" t="str">
        <f t="shared" si="17"/>
        <v/>
      </c>
      <c r="X119" s="8">
        <v>1</v>
      </c>
      <c r="Y119" s="8" t="str">
        <f t="shared" si="18"/>
        <v/>
      </c>
      <c r="Z119" s="123" t="str">
        <f t="shared" si="19"/>
        <v/>
      </c>
      <c r="AA119" s="192">
        <f t="shared" si="20"/>
        <v>0</v>
      </c>
      <c r="AB119" s="192" t="str">
        <f t="shared" si="14"/>
        <v/>
      </c>
      <c r="AC119" s="192" t="str">
        <f t="shared" si="14"/>
        <v/>
      </c>
      <c r="AD119" s="192">
        <f t="shared" si="21"/>
        <v>0</v>
      </c>
    </row>
    <row r="120" spans="2:30" x14ac:dyDescent="0.25">
      <c r="B120" s="7" t="str">
        <f t="shared" si="15"/>
        <v/>
      </c>
      <c r="C120" s="4"/>
      <c r="D120" s="4"/>
      <c r="E120" s="4"/>
      <c r="F120" s="230" t="str">
        <f>IF('תנאי סף'!AO120&lt;&gt;1,"",'תנאי סף'!F120)</f>
        <v/>
      </c>
      <c r="G120" s="6"/>
      <c r="H120" s="5"/>
      <c r="I120" s="6"/>
      <c r="J120" s="5"/>
      <c r="K120" s="6"/>
      <c r="L120" s="5"/>
      <c r="M120" s="6"/>
      <c r="N120" s="6"/>
      <c r="O120" s="158"/>
      <c r="P120" s="177"/>
      <c r="Q120" s="8"/>
      <c r="R120" s="8"/>
      <c r="S120" s="8"/>
      <c r="T120" s="8"/>
      <c r="U120" s="159" t="str">
        <f t="shared" si="16"/>
        <v/>
      </c>
      <c r="V120" s="8">
        <v>1</v>
      </c>
      <c r="W120" s="8" t="str">
        <f t="shared" si="17"/>
        <v/>
      </c>
      <c r="X120" s="8">
        <v>1</v>
      </c>
      <c r="Y120" s="8" t="str">
        <f t="shared" si="18"/>
        <v/>
      </c>
      <c r="Z120" s="123" t="str">
        <f t="shared" si="19"/>
        <v/>
      </c>
      <c r="AA120" s="192">
        <f t="shared" si="20"/>
        <v>0</v>
      </c>
      <c r="AB120" s="192" t="str">
        <f t="shared" si="14"/>
        <v/>
      </c>
      <c r="AC120" s="192" t="str">
        <f t="shared" si="14"/>
        <v/>
      </c>
      <c r="AD120" s="192">
        <f t="shared" si="21"/>
        <v>0</v>
      </c>
    </row>
    <row r="121" spans="2:30" x14ac:dyDescent="0.25">
      <c r="B121" s="7" t="str">
        <f t="shared" si="15"/>
        <v/>
      </c>
      <c r="C121" s="4"/>
      <c r="D121" s="4"/>
      <c r="E121" s="4"/>
      <c r="F121" s="230" t="str">
        <f>IF('תנאי סף'!AO121&lt;&gt;1,"",'תנאי סף'!F121)</f>
        <v/>
      </c>
      <c r="G121" s="6"/>
      <c r="H121" s="5"/>
      <c r="I121" s="6"/>
      <c r="J121" s="5"/>
      <c r="K121" s="6"/>
      <c r="L121" s="5"/>
      <c r="M121" s="6"/>
      <c r="N121" s="6"/>
      <c r="O121" s="158"/>
      <c r="P121" s="177"/>
      <c r="Q121" s="8"/>
      <c r="R121" s="8"/>
      <c r="S121" s="8"/>
      <c r="T121" s="8"/>
      <c r="U121" s="159" t="str">
        <f t="shared" si="16"/>
        <v/>
      </c>
      <c r="V121" s="8">
        <v>1</v>
      </c>
      <c r="W121" s="8" t="str">
        <f t="shared" si="17"/>
        <v/>
      </c>
      <c r="X121" s="8">
        <v>1</v>
      </c>
      <c r="Y121" s="8" t="str">
        <f t="shared" si="18"/>
        <v/>
      </c>
      <c r="Z121" s="123" t="str">
        <f t="shared" si="19"/>
        <v/>
      </c>
      <c r="AA121" s="192">
        <f t="shared" si="20"/>
        <v>0</v>
      </c>
      <c r="AB121" s="192" t="str">
        <f t="shared" si="14"/>
        <v/>
      </c>
      <c r="AC121" s="192" t="str">
        <f t="shared" si="14"/>
        <v/>
      </c>
      <c r="AD121" s="192">
        <f t="shared" si="21"/>
        <v>0</v>
      </c>
    </row>
    <row r="122" spans="2:30" x14ac:dyDescent="0.25">
      <c r="B122" s="7" t="str">
        <f t="shared" si="15"/>
        <v/>
      </c>
      <c r="C122" s="4"/>
      <c r="D122" s="4"/>
      <c r="E122" s="4"/>
      <c r="F122" s="230" t="str">
        <f>IF('תנאי סף'!AO122&lt;&gt;1,"",'תנאי סף'!F122)</f>
        <v/>
      </c>
      <c r="G122" s="6"/>
      <c r="H122" s="5"/>
      <c r="I122" s="6"/>
      <c r="J122" s="5"/>
      <c r="K122" s="6"/>
      <c r="L122" s="5"/>
      <c r="M122" s="6"/>
      <c r="N122" s="6"/>
      <c r="O122" s="158"/>
      <c r="P122" s="177"/>
      <c r="Q122" s="8"/>
      <c r="R122" s="8"/>
      <c r="S122" s="8"/>
      <c r="T122" s="8"/>
      <c r="U122" s="159" t="str">
        <f t="shared" si="16"/>
        <v/>
      </c>
      <c r="V122" s="8">
        <v>1</v>
      </c>
      <c r="W122" s="8" t="str">
        <f t="shared" si="17"/>
        <v/>
      </c>
      <c r="X122" s="8">
        <v>1</v>
      </c>
      <c r="Y122" s="8" t="str">
        <f t="shared" si="18"/>
        <v/>
      </c>
      <c r="Z122" s="123" t="str">
        <f t="shared" si="19"/>
        <v/>
      </c>
      <c r="AA122" s="192">
        <f t="shared" si="20"/>
        <v>0</v>
      </c>
      <c r="AB122" s="192" t="str">
        <f t="shared" si="14"/>
        <v/>
      </c>
      <c r="AC122" s="192" t="str">
        <f t="shared" si="14"/>
        <v/>
      </c>
      <c r="AD122" s="192">
        <f t="shared" si="21"/>
        <v>0</v>
      </c>
    </row>
    <row r="123" spans="2:30" x14ac:dyDescent="0.25">
      <c r="B123" s="7" t="str">
        <f t="shared" si="15"/>
        <v/>
      </c>
      <c r="C123" s="4"/>
      <c r="D123" s="4"/>
      <c r="E123" s="4"/>
      <c r="F123" s="230" t="str">
        <f>IF('תנאי סף'!AO123&lt;&gt;1,"",'תנאי סף'!F123)</f>
        <v/>
      </c>
      <c r="G123" s="6"/>
      <c r="H123" s="5"/>
      <c r="I123" s="6"/>
      <c r="J123" s="5"/>
      <c r="K123" s="6"/>
      <c r="L123" s="5"/>
      <c r="M123" s="6"/>
      <c r="N123" s="6"/>
      <c r="O123" s="158"/>
      <c r="P123" s="177"/>
      <c r="Q123" s="8"/>
      <c r="R123" s="8"/>
      <c r="S123" s="8"/>
      <c r="T123" s="8"/>
      <c r="U123" s="159" t="str">
        <f t="shared" si="16"/>
        <v/>
      </c>
      <c r="V123" s="8">
        <v>1</v>
      </c>
      <c r="W123" s="8" t="str">
        <f t="shared" si="17"/>
        <v/>
      </c>
      <c r="X123" s="8">
        <v>1</v>
      </c>
      <c r="Y123" s="8" t="str">
        <f t="shared" si="18"/>
        <v/>
      </c>
      <c r="Z123" s="123" t="str">
        <f t="shared" si="19"/>
        <v/>
      </c>
      <c r="AA123" s="192">
        <f t="shared" si="20"/>
        <v>0</v>
      </c>
      <c r="AB123" s="192" t="str">
        <f t="shared" si="14"/>
        <v/>
      </c>
      <c r="AC123" s="192" t="str">
        <f t="shared" si="14"/>
        <v/>
      </c>
      <c r="AD123" s="192">
        <f t="shared" si="21"/>
        <v>0</v>
      </c>
    </row>
    <row r="124" spans="2:30" x14ac:dyDescent="0.25">
      <c r="B124" s="7" t="str">
        <f t="shared" si="15"/>
        <v/>
      </c>
      <c r="C124" s="4"/>
      <c r="D124" s="4"/>
      <c r="E124" s="4"/>
      <c r="F124" s="230" t="str">
        <f>IF('תנאי סף'!AO124&lt;&gt;1,"",'תנאי סף'!F124)</f>
        <v/>
      </c>
      <c r="G124" s="6"/>
      <c r="H124" s="5"/>
      <c r="I124" s="6"/>
      <c r="J124" s="5"/>
      <c r="K124" s="6"/>
      <c r="L124" s="5"/>
      <c r="M124" s="6"/>
      <c r="N124" s="6"/>
      <c r="O124" s="158"/>
      <c r="P124" s="177"/>
      <c r="Q124" s="8"/>
      <c r="R124" s="8"/>
      <c r="S124" s="8"/>
      <c r="T124" s="8"/>
      <c r="U124" s="159" t="str">
        <f t="shared" si="16"/>
        <v/>
      </c>
      <c r="V124" s="8">
        <v>1</v>
      </c>
      <c r="W124" s="8" t="str">
        <f t="shared" si="17"/>
        <v/>
      </c>
      <c r="X124" s="8">
        <v>1</v>
      </c>
      <c r="Y124" s="8" t="str">
        <f t="shared" si="18"/>
        <v/>
      </c>
      <c r="Z124" s="123" t="str">
        <f t="shared" si="19"/>
        <v/>
      </c>
      <c r="AA124" s="192">
        <f t="shared" si="20"/>
        <v>0</v>
      </c>
      <c r="AB124" s="192" t="str">
        <f t="shared" si="14"/>
        <v/>
      </c>
      <c r="AC124" s="192" t="str">
        <f t="shared" si="14"/>
        <v/>
      </c>
      <c r="AD124" s="192">
        <f t="shared" si="21"/>
        <v>0</v>
      </c>
    </row>
    <row r="125" spans="2:30" x14ac:dyDescent="0.25">
      <c r="B125" s="7" t="str">
        <f t="shared" si="15"/>
        <v/>
      </c>
      <c r="C125" s="4"/>
      <c r="D125" s="4"/>
      <c r="E125" s="4"/>
      <c r="F125" s="230" t="str">
        <f>IF('תנאי סף'!AO125&lt;&gt;1,"",'תנאי סף'!F125)</f>
        <v/>
      </c>
      <c r="G125" s="6"/>
      <c r="H125" s="5"/>
      <c r="I125" s="6"/>
      <c r="J125" s="5"/>
      <c r="K125" s="6"/>
      <c r="L125" s="5"/>
      <c r="M125" s="6"/>
      <c r="N125" s="6"/>
      <c r="O125" s="158"/>
      <c r="P125" s="177"/>
      <c r="Q125" s="8"/>
      <c r="R125" s="8"/>
      <c r="S125" s="8"/>
      <c r="T125" s="8"/>
      <c r="U125" s="159" t="str">
        <f t="shared" si="16"/>
        <v/>
      </c>
      <c r="V125" s="8">
        <v>1</v>
      </c>
      <c r="W125" s="8" t="str">
        <f t="shared" si="17"/>
        <v/>
      </c>
      <c r="X125" s="8">
        <v>1</v>
      </c>
      <c r="Y125" s="8" t="str">
        <f t="shared" si="18"/>
        <v/>
      </c>
      <c r="Z125" s="123" t="str">
        <f t="shared" si="19"/>
        <v/>
      </c>
      <c r="AA125" s="192">
        <f t="shared" si="20"/>
        <v>0</v>
      </c>
      <c r="AB125" s="192" t="str">
        <f t="shared" si="14"/>
        <v/>
      </c>
      <c r="AC125" s="192" t="str">
        <f t="shared" si="14"/>
        <v/>
      </c>
      <c r="AD125" s="192">
        <f t="shared" si="21"/>
        <v>0</v>
      </c>
    </row>
    <row r="126" spans="2:30" x14ac:dyDescent="0.25">
      <c r="B126" s="7" t="str">
        <f t="shared" si="15"/>
        <v/>
      </c>
      <c r="C126" s="4"/>
      <c r="D126" s="4"/>
      <c r="E126" s="4"/>
      <c r="F126" s="230" t="str">
        <f>IF('תנאי סף'!AO126&lt;&gt;1,"",'תנאי סף'!F126)</f>
        <v/>
      </c>
      <c r="G126" s="6"/>
      <c r="H126" s="5"/>
      <c r="I126" s="6"/>
      <c r="J126" s="5"/>
      <c r="K126" s="6"/>
      <c r="L126" s="5"/>
      <c r="M126" s="6"/>
      <c r="N126" s="6"/>
      <c r="O126" s="158"/>
      <c r="P126" s="177"/>
      <c r="Q126" s="8"/>
      <c r="R126" s="8"/>
      <c r="S126" s="8"/>
      <c r="T126" s="8"/>
      <c r="U126" s="159" t="str">
        <f t="shared" si="16"/>
        <v/>
      </c>
      <c r="V126" s="8">
        <v>1</v>
      </c>
      <c r="W126" s="8" t="str">
        <f t="shared" si="17"/>
        <v/>
      </c>
      <c r="X126" s="8">
        <v>1</v>
      </c>
      <c r="Y126" s="8" t="str">
        <f t="shared" si="18"/>
        <v/>
      </c>
      <c r="Z126" s="123" t="str">
        <f t="shared" si="19"/>
        <v/>
      </c>
      <c r="AA126" s="192">
        <f t="shared" si="20"/>
        <v>0</v>
      </c>
      <c r="AB126" s="192" t="str">
        <f t="shared" si="14"/>
        <v/>
      </c>
      <c r="AC126" s="192" t="str">
        <f t="shared" si="14"/>
        <v/>
      </c>
      <c r="AD126" s="192">
        <f t="shared" si="21"/>
        <v>0</v>
      </c>
    </row>
    <row r="127" spans="2:30" x14ac:dyDescent="0.25">
      <c r="B127" s="7" t="str">
        <f t="shared" si="15"/>
        <v/>
      </c>
      <c r="C127" s="4"/>
      <c r="D127" s="4"/>
      <c r="E127" s="4"/>
      <c r="F127" s="230" t="str">
        <f>IF('תנאי סף'!AO127&lt;&gt;1,"",'תנאי סף'!F127)</f>
        <v/>
      </c>
      <c r="G127" s="6"/>
      <c r="H127" s="5"/>
      <c r="I127" s="6"/>
      <c r="J127" s="5"/>
      <c r="K127" s="6"/>
      <c r="L127" s="5"/>
      <c r="M127" s="6"/>
      <c r="N127" s="6"/>
      <c r="O127" s="158"/>
      <c r="P127" s="177"/>
      <c r="Q127" s="8"/>
      <c r="R127" s="8"/>
      <c r="S127" s="8"/>
      <c r="T127" s="8"/>
      <c r="U127" s="159" t="str">
        <f t="shared" si="16"/>
        <v/>
      </c>
      <c r="V127" s="8">
        <v>1</v>
      </c>
      <c r="W127" s="8" t="str">
        <f t="shared" si="17"/>
        <v/>
      </c>
      <c r="X127" s="8">
        <v>1</v>
      </c>
      <c r="Y127" s="8" t="str">
        <f t="shared" si="18"/>
        <v/>
      </c>
      <c r="Z127" s="123" t="str">
        <f t="shared" si="19"/>
        <v/>
      </c>
      <c r="AA127" s="192">
        <f t="shared" si="20"/>
        <v>0</v>
      </c>
      <c r="AB127" s="192" t="str">
        <f t="shared" si="14"/>
        <v/>
      </c>
      <c r="AC127" s="192" t="str">
        <f t="shared" si="14"/>
        <v/>
      </c>
      <c r="AD127" s="192">
        <f t="shared" si="21"/>
        <v>0</v>
      </c>
    </row>
    <row r="128" spans="2:30" x14ac:dyDescent="0.25">
      <c r="B128" s="7" t="str">
        <f t="shared" si="15"/>
        <v/>
      </c>
      <c r="C128" s="4"/>
      <c r="D128" s="4"/>
      <c r="E128" s="4"/>
      <c r="F128" s="230" t="str">
        <f>IF('תנאי סף'!AO128&lt;&gt;1,"",'תנאי סף'!F128)</f>
        <v/>
      </c>
      <c r="G128" s="6"/>
      <c r="H128" s="5"/>
      <c r="I128" s="6"/>
      <c r="J128" s="5"/>
      <c r="K128" s="6"/>
      <c r="L128" s="5"/>
      <c r="M128" s="6"/>
      <c r="N128" s="6"/>
      <c r="O128" s="158"/>
      <c r="P128" s="177"/>
      <c r="Q128" s="8"/>
      <c r="R128" s="8"/>
      <c r="S128" s="8"/>
      <c r="T128" s="8"/>
      <c r="U128" s="159" t="str">
        <f t="shared" si="16"/>
        <v/>
      </c>
      <c r="V128" s="8">
        <v>1</v>
      </c>
      <c r="W128" s="8" t="str">
        <f t="shared" si="17"/>
        <v/>
      </c>
      <c r="X128" s="8">
        <v>1</v>
      </c>
      <c r="Y128" s="8" t="str">
        <f t="shared" si="18"/>
        <v/>
      </c>
      <c r="Z128" s="123" t="str">
        <f t="shared" si="19"/>
        <v/>
      </c>
      <c r="AA128" s="192">
        <f t="shared" si="20"/>
        <v>0</v>
      </c>
      <c r="AB128" s="192" t="str">
        <f t="shared" si="14"/>
        <v/>
      </c>
      <c r="AC128" s="192" t="str">
        <f t="shared" si="14"/>
        <v/>
      </c>
      <c r="AD128" s="192">
        <f t="shared" si="21"/>
        <v>0</v>
      </c>
    </row>
    <row r="129" spans="2:31" x14ac:dyDescent="0.25">
      <c r="B129" s="7" t="str">
        <f t="shared" si="15"/>
        <v/>
      </c>
      <c r="C129" s="4"/>
      <c r="D129" s="4"/>
      <c r="E129" s="4"/>
      <c r="F129" s="230" t="str">
        <f>IF('תנאי סף'!AO129&lt;&gt;1,"",'תנאי סף'!F129)</f>
        <v/>
      </c>
      <c r="G129" s="6"/>
      <c r="H129" s="5"/>
      <c r="I129" s="6"/>
      <c r="J129" s="5"/>
      <c r="K129" s="6"/>
      <c r="L129" s="5"/>
      <c r="M129" s="6"/>
      <c r="N129" s="6"/>
      <c r="O129" s="158"/>
      <c r="P129" s="177"/>
      <c r="Q129" s="8"/>
      <c r="R129" s="8"/>
      <c r="S129" s="8"/>
      <c r="T129" s="8"/>
      <c r="U129" s="159" t="str">
        <f t="shared" si="16"/>
        <v/>
      </c>
      <c r="V129" s="8">
        <v>1</v>
      </c>
      <c r="W129" s="8" t="str">
        <f t="shared" si="17"/>
        <v/>
      </c>
      <c r="X129" s="8">
        <v>1</v>
      </c>
      <c r="Y129" s="8" t="str">
        <f t="shared" si="18"/>
        <v/>
      </c>
      <c r="Z129" s="123" t="str">
        <f t="shared" si="19"/>
        <v/>
      </c>
      <c r="AA129" s="192">
        <f t="shared" si="20"/>
        <v>0</v>
      </c>
      <c r="AB129" s="192" t="str">
        <f t="shared" si="14"/>
        <v/>
      </c>
      <c r="AC129" s="192" t="str">
        <f t="shared" si="14"/>
        <v/>
      </c>
      <c r="AD129" s="192">
        <f t="shared" si="21"/>
        <v>0</v>
      </c>
    </row>
    <row r="130" spans="2:31" ht="16.5" thickBot="1" x14ac:dyDescent="0.3">
      <c r="B130" s="7" t="str">
        <f t="shared" si="15"/>
        <v/>
      </c>
      <c r="C130" s="4"/>
      <c r="D130" s="4"/>
      <c r="E130" s="4"/>
      <c r="F130" s="230" t="str">
        <f>IF('תנאי סף'!AO130&lt;&gt;1,"",'תנאי סף'!F130)</f>
        <v/>
      </c>
      <c r="G130" s="6"/>
      <c r="H130" s="5"/>
      <c r="I130" s="6"/>
      <c r="J130" s="5"/>
      <c r="K130" s="6"/>
      <c r="L130" s="5"/>
      <c r="M130" s="6"/>
      <c r="N130" s="6"/>
      <c r="O130" s="158"/>
      <c r="P130" s="177"/>
      <c r="Q130" s="8"/>
      <c r="R130" s="8"/>
      <c r="S130" s="8"/>
      <c r="T130" s="8"/>
      <c r="U130" s="159" t="str">
        <f t="shared" si="16"/>
        <v/>
      </c>
      <c r="V130" s="8">
        <v>1</v>
      </c>
      <c r="W130" s="8" t="str">
        <f t="shared" si="17"/>
        <v/>
      </c>
      <c r="X130" s="8">
        <v>1</v>
      </c>
      <c r="Y130" s="8" t="str">
        <f t="shared" si="18"/>
        <v/>
      </c>
      <c r="Z130" s="123" t="str">
        <f t="shared" si="19"/>
        <v/>
      </c>
      <c r="AA130" s="192">
        <f t="shared" si="20"/>
        <v>0</v>
      </c>
      <c r="AB130" s="192" t="str">
        <f t="shared" si="14"/>
        <v/>
      </c>
      <c r="AC130" s="192" t="str">
        <f t="shared" si="14"/>
        <v/>
      </c>
      <c r="AD130" s="192">
        <f t="shared" si="21"/>
        <v>0</v>
      </c>
    </row>
    <row r="131" spans="2:31" ht="19.5" thickBot="1" x14ac:dyDescent="0.35">
      <c r="B131" s="555" t="s">
        <v>77</v>
      </c>
      <c r="C131" s="556"/>
      <c r="D131" s="556"/>
      <c r="E131" s="556"/>
      <c r="F131" s="557"/>
      <c r="G131" s="9">
        <f>SUM(G31:G130)</f>
        <v>294</v>
      </c>
      <c r="H131" s="9">
        <f t="shared" ref="H131:U131" si="22">SUM(H31:H130)</f>
        <v>0</v>
      </c>
      <c r="I131" s="9">
        <f t="shared" si="22"/>
        <v>0</v>
      </c>
      <c r="J131" s="9">
        <f t="shared" si="22"/>
        <v>0</v>
      </c>
      <c r="K131" s="9">
        <f t="shared" si="22"/>
        <v>0</v>
      </c>
      <c r="L131" s="9">
        <f t="shared" si="22"/>
        <v>0</v>
      </c>
      <c r="M131" s="9">
        <f t="shared" si="22"/>
        <v>0</v>
      </c>
      <c r="N131" s="9">
        <f t="shared" si="22"/>
        <v>0</v>
      </c>
      <c r="O131" s="9">
        <f t="shared" si="22"/>
        <v>0</v>
      </c>
      <c r="P131" s="9">
        <f t="shared" si="22"/>
        <v>0</v>
      </c>
      <c r="Q131" s="9">
        <f t="shared" si="22"/>
        <v>0</v>
      </c>
      <c r="R131" s="9">
        <f t="shared" si="22"/>
        <v>0</v>
      </c>
      <c r="S131" s="9">
        <f t="shared" si="22"/>
        <v>0</v>
      </c>
      <c r="T131" s="9">
        <f t="shared" si="22"/>
        <v>0</v>
      </c>
      <c r="U131" s="9">
        <f t="shared" si="22"/>
        <v>294</v>
      </c>
      <c r="V131" s="9">
        <f>SUM(V31:V130)</f>
        <v>100</v>
      </c>
      <c r="W131" s="9">
        <f>SUM(W31:W130)</f>
        <v>294</v>
      </c>
      <c r="X131" s="9">
        <f>SUM(X31:X130)</f>
        <v>100</v>
      </c>
      <c r="Y131" s="9">
        <f>SUM(Y31:Y130)</f>
        <v>294</v>
      </c>
      <c r="Z131" s="124">
        <f>SUM(Z31:Z130)</f>
        <v>1</v>
      </c>
      <c r="AD131" s="193"/>
      <c r="AE131" s="193"/>
    </row>
    <row r="132" spans="2:31" x14ac:dyDescent="0.25">
      <c r="AD132" s="193"/>
      <c r="AE132" s="193"/>
    </row>
    <row r="133" spans="2:31" x14ac:dyDescent="0.25">
      <c r="AD133" s="193"/>
      <c r="AE133" s="193"/>
    </row>
    <row r="134" spans="2:31" x14ac:dyDescent="0.25">
      <c r="AD134" s="193"/>
      <c r="AE134" s="193"/>
    </row>
    <row r="135" spans="2:31" x14ac:dyDescent="0.25">
      <c r="AD135" s="193"/>
      <c r="AE135" s="193"/>
    </row>
    <row r="136" spans="2:31" x14ac:dyDescent="0.25">
      <c r="AD136" s="193"/>
      <c r="AE136" s="193"/>
    </row>
    <row r="137" spans="2:31" x14ac:dyDescent="0.25">
      <c r="AD137" s="193"/>
      <c r="AE137" s="193"/>
    </row>
    <row r="138" spans="2:31" x14ac:dyDescent="0.25">
      <c r="AD138" s="193"/>
      <c r="AE138" s="193"/>
    </row>
    <row r="139" spans="2:31" x14ac:dyDescent="0.25">
      <c r="AD139" s="193"/>
      <c r="AE139" s="193"/>
    </row>
    <row r="140" spans="2:31" x14ac:dyDescent="0.25">
      <c r="AD140" s="193"/>
      <c r="AE140" s="193"/>
    </row>
    <row r="141" spans="2:31" x14ac:dyDescent="0.25">
      <c r="AD141" s="193"/>
      <c r="AE141" s="193"/>
    </row>
    <row r="142" spans="2:31" x14ac:dyDescent="0.25">
      <c r="AD142" s="193"/>
      <c r="AE142" s="193"/>
    </row>
    <row r="143" spans="2:31" x14ac:dyDescent="0.25">
      <c r="AD143" s="193"/>
      <c r="AE143" s="193"/>
    </row>
    <row r="144" spans="2:31" x14ac:dyDescent="0.25">
      <c r="AD144" s="193"/>
      <c r="AE144" s="193"/>
    </row>
    <row r="145" spans="30:31" x14ac:dyDescent="0.25">
      <c r="AD145" s="193"/>
      <c r="AE145" s="193"/>
    </row>
    <row r="146" spans="30:31" x14ac:dyDescent="0.25">
      <c r="AD146" s="193"/>
      <c r="AE146" s="193"/>
    </row>
    <row r="147" spans="30:31" x14ac:dyDescent="0.25">
      <c r="AD147" s="193"/>
      <c r="AE147" s="193"/>
    </row>
    <row r="148" spans="30:31" x14ac:dyDescent="0.25">
      <c r="AD148" s="193"/>
      <c r="AE148" s="193"/>
    </row>
    <row r="149" spans="30:31" x14ac:dyDescent="0.25">
      <c r="AD149" s="193"/>
      <c r="AE149" s="193"/>
    </row>
    <row r="150" spans="30:31" x14ac:dyDescent="0.25">
      <c r="AD150" s="193"/>
      <c r="AE150" s="193"/>
    </row>
    <row r="151" spans="30:31" x14ac:dyDescent="0.25">
      <c r="AD151" s="193"/>
      <c r="AE151" s="193"/>
    </row>
    <row r="152" spans="30:31" x14ac:dyDescent="0.25">
      <c r="AD152" s="193"/>
      <c r="AE152" s="193"/>
    </row>
    <row r="153" spans="30:31" x14ac:dyDescent="0.25">
      <c r="AD153" s="193"/>
      <c r="AE153" s="193"/>
    </row>
    <row r="154" spans="30:31" x14ac:dyDescent="0.25">
      <c r="AD154" s="193"/>
      <c r="AE154" s="193"/>
    </row>
    <row r="155" spans="30:31" x14ac:dyDescent="0.25">
      <c r="AD155" s="193"/>
      <c r="AE155" s="193"/>
    </row>
    <row r="156" spans="30:31" x14ac:dyDescent="0.25">
      <c r="AD156" s="193"/>
      <c r="AE156" s="193"/>
    </row>
    <row r="157" spans="30:31" x14ac:dyDescent="0.25">
      <c r="AD157" s="193"/>
      <c r="AE157" s="193"/>
    </row>
    <row r="158" spans="30:31" x14ac:dyDescent="0.25">
      <c r="AD158" s="193"/>
      <c r="AE158" s="193"/>
    </row>
    <row r="159" spans="30:31" x14ac:dyDescent="0.25">
      <c r="AD159" s="193"/>
      <c r="AE159" s="193"/>
    </row>
    <row r="160" spans="30:31" x14ac:dyDescent="0.25">
      <c r="AD160" s="193"/>
      <c r="AE160" s="193"/>
    </row>
    <row r="161" spans="30:31" x14ac:dyDescent="0.25">
      <c r="AD161" s="193"/>
      <c r="AE161" s="193"/>
    </row>
    <row r="162" spans="30:31" x14ac:dyDescent="0.25">
      <c r="AD162" s="193"/>
      <c r="AE162" s="193"/>
    </row>
    <row r="163" spans="30:31" x14ac:dyDescent="0.25">
      <c r="AD163" s="193"/>
      <c r="AE163" s="193"/>
    </row>
    <row r="164" spans="30:31" x14ac:dyDescent="0.25">
      <c r="AD164" s="193"/>
      <c r="AE164" s="193"/>
    </row>
    <row r="165" spans="30:31" x14ac:dyDescent="0.25">
      <c r="AD165" s="193"/>
      <c r="AE165" s="193"/>
    </row>
    <row r="166" spans="30:31" x14ac:dyDescent="0.25">
      <c r="AD166" s="193"/>
      <c r="AE166" s="193"/>
    </row>
    <row r="167" spans="30:31" x14ac:dyDescent="0.25">
      <c r="AD167" s="193"/>
      <c r="AE167" s="193"/>
    </row>
    <row r="168" spans="30:31" x14ac:dyDescent="0.25">
      <c r="AD168" s="193"/>
      <c r="AE168" s="193"/>
    </row>
    <row r="169" spans="30:31" x14ac:dyDescent="0.25">
      <c r="AD169" s="193"/>
      <c r="AE169" s="193"/>
    </row>
    <row r="170" spans="30:31" x14ac:dyDescent="0.25">
      <c r="AD170" s="193"/>
      <c r="AE170" s="193"/>
    </row>
    <row r="171" spans="30:31" x14ac:dyDescent="0.25">
      <c r="AD171" s="193"/>
      <c r="AE171" s="193"/>
    </row>
    <row r="172" spans="30:31" x14ac:dyDescent="0.25">
      <c r="AD172" s="193"/>
      <c r="AE172" s="193"/>
    </row>
    <row r="173" spans="30:31" x14ac:dyDescent="0.25">
      <c r="AD173" s="193"/>
      <c r="AE173" s="193"/>
    </row>
    <row r="174" spans="30:31" x14ac:dyDescent="0.25">
      <c r="AD174" s="193"/>
      <c r="AE174" s="193"/>
    </row>
    <row r="175" spans="30:31" x14ac:dyDescent="0.25">
      <c r="AD175" s="193"/>
      <c r="AE175" s="193"/>
    </row>
    <row r="176" spans="30:31" x14ac:dyDescent="0.25">
      <c r="AD176" s="193"/>
      <c r="AE176" s="193"/>
    </row>
    <row r="177" spans="30:31" x14ac:dyDescent="0.25">
      <c r="AD177" s="193"/>
      <c r="AE177" s="193"/>
    </row>
    <row r="178" spans="30:31" x14ac:dyDescent="0.25">
      <c r="AD178" s="193"/>
      <c r="AE178" s="193"/>
    </row>
    <row r="179" spans="30:31" x14ac:dyDescent="0.25">
      <c r="AD179" s="193"/>
      <c r="AE179" s="193"/>
    </row>
    <row r="180" spans="30:31" x14ac:dyDescent="0.25">
      <c r="AD180" s="193"/>
      <c r="AE180" s="193"/>
    </row>
  </sheetData>
  <sheetProtection algorithmName="SHA-512" hashValue="wHUIDENo/khMP+8SFb5WsnT4YgBd2zbxhPM+dxmX75Iu+RVA1SMCQ1hOh2ycOLQUSZJPlcUnDoScZirWZYfxGw==" saltValue="EmRtrOq4rzSEyhPeNF/6Mw==" spinCount="100000" sheet="1" scenarios="1" formatCells="0" formatColumns="0" formatRows="0" autoFilter="0"/>
  <mergeCells count="17">
    <mergeCell ref="Q29:Q30"/>
    <mergeCell ref="R29:R30"/>
    <mergeCell ref="B131:F131"/>
    <mergeCell ref="B1:Z1"/>
    <mergeCell ref="C29:C30"/>
    <mergeCell ref="D29:D30"/>
    <mergeCell ref="E29:E30"/>
    <mergeCell ref="V29:V30"/>
    <mergeCell ref="W29:W30"/>
    <mergeCell ref="X29:X30"/>
    <mergeCell ref="Y29:Y30"/>
    <mergeCell ref="S29:S30"/>
    <mergeCell ref="T29:T30"/>
    <mergeCell ref="U29:U30"/>
    <mergeCell ref="Z29:Z30"/>
    <mergeCell ref="B29:B30"/>
    <mergeCell ref="F29:F30"/>
  </mergeCells>
  <conditionalFormatting sqref="B31:Z130">
    <cfRule type="expression" dxfId="102" priority="1" stopIfTrue="1">
      <formula>AND($F31="",B31&lt;&gt;"")</formula>
    </cfRule>
    <cfRule type="expression" dxfId="101" priority="2">
      <formula>$F31=""</formula>
    </cfRule>
    <cfRule type="expression" dxfId="100" priority="3">
      <formula>B$30&lt;&gt;""</formula>
    </cfRule>
  </conditionalFormatting>
  <dataValidations count="10">
    <dataValidation type="whole" operator="notBetween" allowBlank="1" showInputMessage="1" showErrorMessage="1" errorTitle="נתון שגוי." error="ניתן להזין רק מספר שלם" sqref="I31:I130" xr:uid="{00000000-0002-0000-0D00-000000000000}">
      <formula1>-999999999</formula1>
      <formula2>-999999998</formula2>
    </dataValidation>
    <dataValidation type="list" allowBlank="1" showInputMessage="1" showErrorMessage="1" sqref="G30" xr:uid="{00000000-0002-0000-0D00-000001000000}">
      <formula1>$AE$1:$AZ$1</formula1>
    </dataValidation>
    <dataValidation type="decimal" operator="notBetween" allowBlank="1" showInputMessage="1" showErrorMessage="1" errorTitle="נתון שגוי." error="ניתן להזין רק מספר" sqref="H31" xr:uid="{00000000-0002-0000-0D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D00-000003000000}">
      <formula1>0</formula1>
    </dataValidation>
    <dataValidation type="whole" operator="greaterThanOrEqual" allowBlank="1" showInputMessage="1" showErrorMessage="1" errorTitle="נתון שגוי." error="ניתן להזין רק מספר שלם גדול או שווה ל-0." sqref="K31:K130 G31:G130" xr:uid="{00000000-0002-0000-0D00-000004000000}">
      <formula1>0</formula1>
    </dataValidation>
    <dataValidation type="decimal" operator="greaterThan" allowBlank="1" showInputMessage="1" showErrorMessage="1" errorTitle="נתון שגוי." error="ניתן להזין רק מספר גדול מ-0" sqref="L31:L130" xr:uid="{00000000-0002-0000-0D00-000005000000}">
      <formula1>0</formula1>
    </dataValidation>
    <dataValidation type="whole" operator="greaterThan" allowBlank="1" showInputMessage="1" showErrorMessage="1" errorTitle="נתון שגוי." error="ניתן להזין רק מספר שלם גדול מ-0" sqref="M31:M130" xr:uid="{00000000-0002-0000-0D00-000006000000}">
      <formula1>0</formula1>
    </dataValidation>
    <dataValidation type="list" allowBlank="1" showInputMessage="1" showErrorMessage="1" sqref="H30:P30" xr:uid="{00000000-0002-0000-0D00-000007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D00-000008000000}">
      <formula1>$AB31:$AC31</formula1>
    </dataValidation>
    <dataValidation type="list" allowBlank="1" showInputMessage="1" showErrorMessage="1" errorTitle="נתון לא מרשימה" error="יש לבחור מתוך הרשימה הסגורה בלבד" sqref="O31:O130" xr:uid="{00000000-0002-0000-0D00-000009000000}">
      <formula1>OFFSET($BA31,0,0,1,COUNTA($BA31:$BJ31))</formula1>
    </dataValidation>
  </dataValidations>
  <printOptions horizontalCentered="1"/>
  <pageMargins left="0.34" right="0.33" top="0.74803149606299213" bottom="0.61" header="0.31496062992125984" footer="0.31496062992125984"/>
  <pageSetup paperSize="9" scale="42"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26E5A1EC-4657-47FF-BD2E-1F3C4E6F7B11}">
            <xm:f>NOT(ISERROR(SEARCH($AB$1,B31)))</xm:f>
            <xm:f>$AB$1</xm:f>
            <x14:dxf>
              <fill>
                <patternFill>
                  <bgColor rgb="FFFF0000"/>
                </patternFill>
              </fill>
            </x14:dxf>
          </x14:cfRule>
          <xm:sqref>B31:Z130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Worksheet______7">
    <tabColor theme="4" tint="-0.249977111117893"/>
    <pageSetUpPr fitToPage="1"/>
  </sheetPr>
  <dimension ref="A1:BG131"/>
  <sheetViews>
    <sheetView rightToLeft="1" view="pageBreakPreview" topLeftCell="B1" zoomScale="70" zoomScaleNormal="100" zoomScaleSheetLayoutView="70" workbookViewId="0">
      <pane xSplit="2" ySplit="30" topLeftCell="D31" activePane="bottomRight" state="frozen"/>
      <selection pane="topRight" activeCell="G58" sqref="G58"/>
      <selection pane="bottomLeft" activeCell="G58" sqref="G58"/>
      <selection pane="bottomRight" activeCell="D31" sqref="D31"/>
    </sheetView>
  </sheetViews>
  <sheetFormatPr defaultColWidth="9.140625" defaultRowHeight="12.75" x14ac:dyDescent="0.2"/>
  <cols>
    <col min="1" max="1" width="0" style="244" hidden="1" customWidth="1"/>
    <col min="2" max="2" width="8.85546875" style="244" customWidth="1"/>
    <col min="3" max="3" width="32" style="244" customWidth="1"/>
    <col min="4" max="4" width="15" style="244" customWidth="1"/>
    <col min="5" max="5" width="12.7109375" style="244" customWidth="1"/>
    <col min="6" max="6" width="14" style="244" customWidth="1"/>
    <col min="7" max="7" width="14.85546875" style="244" customWidth="1"/>
    <col min="8" max="8" width="14" style="244" customWidth="1"/>
    <col min="9" max="9" width="13.7109375" style="244" customWidth="1"/>
    <col min="10" max="10" width="13.140625" style="244" customWidth="1"/>
    <col min="11" max="11" width="14.140625" style="244" customWidth="1"/>
    <col min="12" max="12" width="12.85546875" style="244" hidden="1" customWidth="1"/>
    <col min="13" max="29" width="10.7109375" style="244" hidden="1" customWidth="1"/>
    <col min="30" max="30" width="13.28515625" style="244" customWidth="1"/>
    <col min="31" max="31" width="14.85546875" style="244" customWidth="1"/>
    <col min="32" max="32" width="14" style="244" bestFit="1" customWidth="1"/>
    <col min="33" max="33" width="9.140625" style="244" hidden="1" customWidth="1"/>
    <col min="34" max="34" width="8.85546875" style="244" hidden="1" customWidth="1"/>
    <col min="35" max="59" width="1.85546875" style="244" hidden="1" customWidth="1"/>
    <col min="60" max="200" width="0" style="244" hidden="1" customWidth="1"/>
    <col min="201" max="16384" width="9.140625" style="244"/>
  </cols>
  <sheetData>
    <row r="1" spans="31:38" ht="34.5" customHeight="1" x14ac:dyDescent="0.2">
      <c r="AE1" s="198" t="str">
        <f>'פרמטרים לקריטריונים'!$B$4</f>
        <v>שנת תקציב</v>
      </c>
      <c r="AF1" s="1">
        <f>'פרמטרים לקריטריונים'!$C$4</f>
        <v>2025</v>
      </c>
      <c r="AH1" s="120" t="s">
        <v>115</v>
      </c>
      <c r="AI1" s="120"/>
      <c r="AJ1" s="120"/>
      <c r="AK1" s="120"/>
      <c r="AL1" s="120"/>
    </row>
    <row r="2" spans="31:38" ht="38.25" thickBot="1" x14ac:dyDescent="0.25">
      <c r="AE2" s="199" t="str">
        <f>'פרמטרים לקריטריונים'!$B$5</f>
        <v>תקציב התמיכה</v>
      </c>
      <c r="AF2" s="2">
        <f>'פרמטרים לקריטריונים'!$C$5</f>
        <v>3076367</v>
      </c>
    </row>
    <row r="3" spans="31:38" hidden="1" x14ac:dyDescent="0.2"/>
    <row r="4" spans="31:38" hidden="1" x14ac:dyDescent="0.2"/>
    <row r="5" spans="31:38" hidden="1" x14ac:dyDescent="0.2"/>
    <row r="6" spans="31:38" hidden="1" x14ac:dyDescent="0.2"/>
    <row r="7" spans="31:38" hidden="1" x14ac:dyDescent="0.2"/>
    <row r="8" spans="31:38" hidden="1" x14ac:dyDescent="0.2"/>
    <row r="9" spans="31:38" hidden="1" x14ac:dyDescent="0.2"/>
    <row r="10" spans="31:38" hidden="1" x14ac:dyDescent="0.2"/>
    <row r="11" spans="31:38" hidden="1" x14ac:dyDescent="0.2"/>
    <row r="12" spans="31:38" hidden="1" x14ac:dyDescent="0.2"/>
    <row r="13" spans="31:38" hidden="1" x14ac:dyDescent="0.2"/>
    <row r="14" spans="31:38" hidden="1" x14ac:dyDescent="0.2"/>
    <row r="15" spans="31:38" hidden="1" x14ac:dyDescent="0.2"/>
    <row r="16" spans="31:38" hidden="1" x14ac:dyDescent="0.2"/>
    <row r="17" spans="1:59" hidden="1" x14ac:dyDescent="0.2"/>
    <row r="18" spans="1:59" hidden="1" x14ac:dyDescent="0.2"/>
    <row r="19" spans="1:59" hidden="1" x14ac:dyDescent="0.2"/>
    <row r="20" spans="1:59" hidden="1" x14ac:dyDescent="0.2"/>
    <row r="21" spans="1:59" hidden="1" x14ac:dyDescent="0.2"/>
    <row r="22" spans="1:59" hidden="1" x14ac:dyDescent="0.2"/>
    <row r="23" spans="1:59" hidden="1" x14ac:dyDescent="0.2"/>
    <row r="24" spans="1:59" hidden="1" x14ac:dyDescent="0.2"/>
    <row r="25" spans="1:59" hidden="1" x14ac:dyDescent="0.2"/>
    <row r="26" spans="1:59" hidden="1" x14ac:dyDescent="0.2"/>
    <row r="27" spans="1:59" ht="13.5" thickBot="1" x14ac:dyDescent="0.25"/>
    <row r="28" spans="1:59" ht="19.5" thickBot="1" x14ac:dyDescent="0.35">
      <c r="B28" s="555" t="s">
        <v>18</v>
      </c>
      <c r="C28" s="556"/>
      <c r="D28" s="556"/>
      <c r="E28" s="556"/>
      <c r="F28" s="556"/>
      <c r="G28" s="556"/>
      <c r="H28" s="556"/>
      <c r="I28" s="556"/>
      <c r="J28" s="556"/>
      <c r="K28" s="556"/>
      <c r="L28" s="556"/>
      <c r="M28" s="556"/>
      <c r="N28" s="556"/>
      <c r="O28" s="556"/>
      <c r="P28" s="556"/>
      <c r="Q28" s="556"/>
      <c r="R28" s="556"/>
      <c r="S28" s="556"/>
      <c r="T28" s="556"/>
      <c r="U28" s="556"/>
      <c r="V28" s="556"/>
      <c r="W28" s="556"/>
      <c r="X28" s="556"/>
      <c r="Y28" s="556"/>
      <c r="Z28" s="556"/>
      <c r="AA28" s="556"/>
      <c r="AB28" s="556"/>
      <c r="AC28" s="556"/>
      <c r="AD28" s="556"/>
      <c r="AE28" s="556"/>
      <c r="AF28" s="556"/>
    </row>
    <row r="29" spans="1:59" ht="55.5" customHeight="1" x14ac:dyDescent="0.2">
      <c r="A29" s="245"/>
      <c r="B29" s="542" t="s">
        <v>219</v>
      </c>
      <c r="C29" s="542" t="s">
        <v>133</v>
      </c>
      <c r="D29" s="246" t="str">
        <f t="array" ref="D29:AD29">TRANSPOSE('פרמטרים לקריטריונים'!$B$32:$B$58)</f>
        <v>מספר הרצות</v>
      </c>
      <c r="E29" s="121" t="str">
        <v>מספר מבצעים בתשלום</v>
      </c>
      <c r="F29" s="121" t="str">
        <v>מיקום ההרצות</v>
      </c>
      <c r="G29" s="121" t="str">
        <v>רמה מקצועית ואמנותית</v>
      </c>
      <c r="H29" s="121" t="str">
        <v>מיקום גיאוגרפי</v>
      </c>
      <c r="I29" s="121" t="str">
        <v>תקציב</v>
      </c>
      <c r="J29" s="121" t="str">
        <v>עידוד יצירה ישראלית</v>
      </c>
      <c r="K29" s="121" t="str">
        <v>תיעוד</v>
      </c>
      <c r="L29" s="121">
        <v>0</v>
      </c>
      <c r="M29" s="121">
        <v>0</v>
      </c>
      <c r="N29" s="121">
        <v>0</v>
      </c>
      <c r="O29" s="121">
        <v>0</v>
      </c>
      <c r="P29" s="121">
        <v>0</v>
      </c>
      <c r="Q29" s="121">
        <v>0</v>
      </c>
      <c r="R29" s="121">
        <v>0</v>
      </c>
      <c r="S29" s="121">
        <v>0</v>
      </c>
      <c r="T29" s="121">
        <v>0</v>
      </c>
      <c r="U29" s="121">
        <v>0</v>
      </c>
      <c r="V29" s="121">
        <v>0</v>
      </c>
      <c r="W29" s="121">
        <v>0</v>
      </c>
      <c r="X29" s="121">
        <v>0</v>
      </c>
      <c r="Y29" s="121">
        <v>0</v>
      </c>
      <c r="Z29" s="121">
        <v>0</v>
      </c>
      <c r="AA29" s="121">
        <v>0</v>
      </c>
      <c r="AB29" s="121">
        <v>0</v>
      </c>
      <c r="AC29" s="121">
        <v>0</v>
      </c>
      <c r="AD29" s="121" t="str">
        <v>סה"כ</v>
      </c>
      <c r="AE29" s="246" t="s">
        <v>220</v>
      </c>
      <c r="AF29" s="223" t="s">
        <v>221</v>
      </c>
    </row>
    <row r="30" spans="1:59" ht="15.75" x14ac:dyDescent="0.2">
      <c r="A30" s="372"/>
      <c r="B30" s="567"/>
      <c r="C30" s="567"/>
      <c r="D30" s="373">
        <f t="array" ref="D30:AD30">TRANSPOSE('פרמטרים לקריטריונים'!$C$32:$C$58)</f>
        <v>0.2</v>
      </c>
      <c r="E30" s="373">
        <v>0.2</v>
      </c>
      <c r="F30" s="373">
        <v>0.1</v>
      </c>
      <c r="G30" s="373">
        <v>0.15</v>
      </c>
      <c r="H30" s="373">
        <v>0.1</v>
      </c>
      <c r="I30" s="373">
        <v>0.1</v>
      </c>
      <c r="J30" s="373">
        <v>0.1</v>
      </c>
      <c r="K30" s="373">
        <v>0.05</v>
      </c>
      <c r="L30" s="373">
        <v>0</v>
      </c>
      <c r="M30" s="373">
        <v>0</v>
      </c>
      <c r="N30" s="373">
        <v>0</v>
      </c>
      <c r="O30" s="373">
        <v>0</v>
      </c>
      <c r="P30" s="373">
        <v>0</v>
      </c>
      <c r="Q30" s="373">
        <v>0</v>
      </c>
      <c r="R30" s="373">
        <v>0</v>
      </c>
      <c r="S30" s="373">
        <v>0</v>
      </c>
      <c r="T30" s="373">
        <v>0</v>
      </c>
      <c r="U30" s="373">
        <v>0</v>
      </c>
      <c r="V30" s="373">
        <v>0</v>
      </c>
      <c r="W30" s="373">
        <v>0</v>
      </c>
      <c r="X30" s="373">
        <v>0</v>
      </c>
      <c r="Y30" s="373">
        <v>0</v>
      </c>
      <c r="Z30" s="373">
        <v>0</v>
      </c>
      <c r="AA30" s="373">
        <v>0</v>
      </c>
      <c r="AB30" s="373">
        <v>0</v>
      </c>
      <c r="AC30" s="373">
        <v>0</v>
      </c>
      <c r="AD30" s="373">
        <v>1</v>
      </c>
      <c r="AE30" s="373">
        <f>SUM(D30:AC30)</f>
        <v>1</v>
      </c>
      <c r="AF30" s="374">
        <f>AF2</f>
        <v>3076367</v>
      </c>
    </row>
    <row r="31" spans="1:59" ht="45.75" customHeight="1" x14ac:dyDescent="0.25">
      <c r="A31" s="415"/>
      <c r="B31" s="416">
        <f>IF(F31="","",ROW()-30)</f>
        <v>1</v>
      </c>
      <c r="C31" s="417" t="str">
        <f>IF('תנאי סף'!AO31&lt;&gt;1,"",'תנאי סף'!F31)</f>
        <v>אנסמבל פרץ אליהו</v>
      </c>
      <c r="D31" s="418">
        <f>'מספר הרצות'!$Z31</f>
        <v>2.8922893373945893E-2</v>
      </c>
      <c r="E31" s="418">
        <f>'מספר מבצעים בתשלום'!Z31</f>
        <v>2.4271844660194174E-2</v>
      </c>
      <c r="F31" s="418">
        <f>'מיקום ההרצות'!Z31</f>
        <v>6.3687150837988829E-2</v>
      </c>
      <c r="G31" s="418">
        <f>'רמה מקצועית ואמנותית'!Z31</f>
        <v>3.7071362372567189E-2</v>
      </c>
      <c r="H31" s="418">
        <f>'מיקום גיאוגרפי'!AB31</f>
        <v>0.10344827586206896</v>
      </c>
      <c r="I31" s="418">
        <f>תקציב!Z31</f>
        <v>1.2269938650306749E-2</v>
      </c>
      <c r="J31" s="418">
        <f>'עידוד יצירה ישראלית'!Z31</f>
        <v>2.7210884353741496E-2</v>
      </c>
      <c r="K31" s="418">
        <f>תיעוד!$Z31</f>
        <v>1.4705882352941176E-2</v>
      </c>
      <c r="L31" s="418"/>
      <c r="M31" s="418"/>
      <c r="N31" s="418"/>
      <c r="O31" s="418"/>
      <c r="P31" s="418"/>
      <c r="Q31" s="418"/>
      <c r="R31" s="419"/>
      <c r="S31" s="419"/>
      <c r="T31" s="419"/>
      <c r="U31" s="419"/>
      <c r="V31" s="419"/>
      <c r="W31" s="419"/>
      <c r="X31" s="419"/>
      <c r="Y31" s="419"/>
      <c r="Z31" s="419"/>
      <c r="AA31" s="419"/>
      <c r="AB31" s="419"/>
      <c r="AC31" s="419"/>
      <c r="AD31" s="419">
        <f>IF($C31="","",IF(AG31&lt;&gt;1,$AH$1,SUMPRODUCT($D$30:$AC$30,D31:AC31)))</f>
        <v>3.7596571050770751E-2</v>
      </c>
      <c r="AE31" s="419">
        <f>IF($C31="","",IF(AG31&lt;&gt;1,$AH$1,IFERROR(AD31/$AD$131,0)))</f>
        <v>3.7596571050770765E-2</v>
      </c>
      <c r="AF31" s="420">
        <f>IF($C31="","",IF(AG31&lt;&gt;1,$AH$1,AE31*$AF$30))</f>
        <v>115660.8504937465</v>
      </c>
      <c r="AG31" s="244">
        <f>IF(SUM(AH31:BG31)=COUNT(AH31:BG31),1,0)</f>
        <v>1</v>
      </c>
      <c r="AH31" s="244">
        <f>IF(D31=$AH$1,0,1)</f>
        <v>1</v>
      </c>
      <c r="AI31" s="244">
        <f t="shared" ref="AI31:BG31" si="0">IF(E31=$AH$1,0,1)</f>
        <v>1</v>
      </c>
      <c r="AJ31" s="244">
        <f t="shared" si="0"/>
        <v>1</v>
      </c>
      <c r="AK31" s="244">
        <f t="shared" si="0"/>
        <v>1</v>
      </c>
      <c r="AL31" s="244">
        <f t="shared" si="0"/>
        <v>1</v>
      </c>
      <c r="AM31" s="244">
        <f t="shared" si="0"/>
        <v>1</v>
      </c>
      <c r="AN31" s="244">
        <f t="shared" si="0"/>
        <v>1</v>
      </c>
      <c r="AO31" s="244">
        <f t="shared" si="0"/>
        <v>1</v>
      </c>
      <c r="AP31" s="244">
        <f t="shared" si="0"/>
        <v>1</v>
      </c>
      <c r="AQ31" s="244">
        <f t="shared" si="0"/>
        <v>1</v>
      </c>
      <c r="AR31" s="244">
        <f t="shared" si="0"/>
        <v>1</v>
      </c>
      <c r="AS31" s="244">
        <f t="shared" si="0"/>
        <v>1</v>
      </c>
      <c r="AT31" s="244">
        <f t="shared" si="0"/>
        <v>1</v>
      </c>
      <c r="AU31" s="244">
        <f t="shared" si="0"/>
        <v>1</v>
      </c>
      <c r="AV31" s="244">
        <f t="shared" si="0"/>
        <v>1</v>
      </c>
      <c r="AW31" s="244">
        <f t="shared" si="0"/>
        <v>1</v>
      </c>
      <c r="AX31" s="244">
        <f t="shared" si="0"/>
        <v>1</v>
      </c>
      <c r="AY31" s="244">
        <f t="shared" si="0"/>
        <v>1</v>
      </c>
      <c r="AZ31" s="244">
        <f t="shared" si="0"/>
        <v>1</v>
      </c>
      <c r="BA31" s="244">
        <f t="shared" si="0"/>
        <v>1</v>
      </c>
      <c r="BB31" s="244">
        <f t="shared" si="0"/>
        <v>1</v>
      </c>
      <c r="BC31" s="244">
        <f t="shared" si="0"/>
        <v>1</v>
      </c>
      <c r="BD31" s="244">
        <f t="shared" si="0"/>
        <v>1</v>
      </c>
      <c r="BE31" s="244">
        <f t="shared" si="0"/>
        <v>1</v>
      </c>
      <c r="BF31" s="244">
        <f t="shared" si="0"/>
        <v>1</v>
      </c>
      <c r="BG31" s="244">
        <f t="shared" si="0"/>
        <v>1</v>
      </c>
    </row>
    <row r="32" spans="1:59" ht="45.75" customHeight="1" x14ac:dyDescent="0.25">
      <c r="A32" s="415"/>
      <c r="B32" s="416" t="str">
        <f t="shared" ref="B32:B95" si="1">IF(F32="","",ROW()-30)</f>
        <v/>
      </c>
      <c r="C32" s="417" t="str">
        <f>IF('תנאי סף'!AO32&lt;&gt;1,"",'תנאי סף'!F32)</f>
        <v/>
      </c>
      <c r="D32" s="418" t="str">
        <f>'מספר הרצות'!Z32</f>
        <v/>
      </c>
      <c r="E32" s="418" t="str">
        <f>'מספר מבצעים בתשלום'!Z32</f>
        <v/>
      </c>
      <c r="F32" s="418" t="str">
        <f>'מיקום ההרצות'!Z32</f>
        <v/>
      </c>
      <c r="G32" s="418" t="str">
        <f>'רמה מקצועית ואמנותית'!Z32</f>
        <v/>
      </c>
      <c r="H32" s="418" t="str">
        <f>'מיקום גיאוגרפי'!AB32</f>
        <v/>
      </c>
      <c r="I32" s="418" t="str">
        <f>תקציב!Z32</f>
        <v/>
      </c>
      <c r="J32" s="418" t="str">
        <f>'עידוד יצירה ישראלית'!Z32</f>
        <v/>
      </c>
      <c r="K32" s="418" t="str">
        <f>תיעוד!$Z32</f>
        <v/>
      </c>
      <c r="L32" s="418"/>
      <c r="M32" s="418"/>
      <c r="N32" s="418"/>
      <c r="O32" s="418"/>
      <c r="P32" s="418"/>
      <c r="Q32" s="418"/>
      <c r="R32" s="419"/>
      <c r="S32" s="419"/>
      <c r="T32" s="419"/>
      <c r="U32" s="419"/>
      <c r="V32" s="419"/>
      <c r="W32" s="419"/>
      <c r="X32" s="419"/>
      <c r="Y32" s="419"/>
      <c r="Z32" s="419"/>
      <c r="AA32" s="419"/>
      <c r="AB32" s="419"/>
      <c r="AC32" s="419"/>
      <c r="AD32" s="419" t="str">
        <f t="shared" ref="AD32:AD95" si="2">IF($C32="","",IF(AG32&lt;&gt;1,$AH$1,SUMPRODUCT($D$30:$AC$30,D32:AC32)))</f>
        <v/>
      </c>
      <c r="AE32" s="419" t="str">
        <f t="shared" ref="AE32:AE95" si="3">IF($C32="","",IF(AG32&lt;&gt;1,$AH$1,IFERROR(AD32/$AD$131,0)))</f>
        <v/>
      </c>
      <c r="AF32" s="420" t="str">
        <f t="shared" ref="AF32:AF95" si="4">IF($C32="","",IF(AG32&lt;&gt;1,$AH$1,AE32*$AF$30))</f>
        <v/>
      </c>
      <c r="AG32" s="244">
        <f t="shared" ref="AG32:AG95" si="5">IF(SUM(AH32:BG32)=COUNT(AH32:BG32),1,0)</f>
        <v>1</v>
      </c>
      <c r="AH32" s="244">
        <f t="shared" ref="AH32:AH95" si="6">IF(D32=$AH$1,0,1)</f>
        <v>1</v>
      </c>
      <c r="AI32" s="244">
        <f t="shared" ref="AI32:AI95" si="7">IF(E32=$AH$1,0,1)</f>
        <v>1</v>
      </c>
      <c r="AJ32" s="244">
        <f t="shared" ref="AJ32:AJ95" si="8">IF(F32=$AH$1,0,1)</f>
        <v>1</v>
      </c>
      <c r="AK32" s="244">
        <f t="shared" ref="AK32:AK95" si="9">IF(G32=$AH$1,0,1)</f>
        <v>1</v>
      </c>
      <c r="AL32" s="244">
        <f t="shared" ref="AL32:AL95" si="10">IF(H32=$AH$1,0,1)</f>
        <v>1</v>
      </c>
      <c r="AM32" s="244">
        <f t="shared" ref="AM32:AM95" si="11">IF(I32=$AH$1,0,1)</f>
        <v>1</v>
      </c>
      <c r="AN32" s="244">
        <f t="shared" ref="AN32:AN95" si="12">IF(J32=$AH$1,0,1)</f>
        <v>1</v>
      </c>
      <c r="AO32" s="244">
        <f t="shared" ref="AO32:AO95" si="13">IF(K32=$AH$1,0,1)</f>
        <v>1</v>
      </c>
      <c r="AP32" s="244">
        <f t="shared" ref="AP32:AP95" si="14">IF(L32=$AH$1,0,1)</f>
        <v>1</v>
      </c>
      <c r="AQ32" s="244">
        <f t="shared" ref="AQ32:AQ95" si="15">IF(M32=$AH$1,0,1)</f>
        <v>1</v>
      </c>
      <c r="AR32" s="244">
        <f t="shared" ref="AR32:AR95" si="16">IF(N32=$AH$1,0,1)</f>
        <v>1</v>
      </c>
      <c r="AS32" s="244">
        <f t="shared" ref="AS32:AS95" si="17">IF(O32=$AH$1,0,1)</f>
        <v>1</v>
      </c>
      <c r="AT32" s="244">
        <f t="shared" ref="AT32:AT95" si="18">IF(P32=$AH$1,0,1)</f>
        <v>1</v>
      </c>
      <c r="AU32" s="244">
        <f t="shared" ref="AU32:AU95" si="19">IF(Q32=$AH$1,0,1)</f>
        <v>1</v>
      </c>
      <c r="AV32" s="244">
        <f t="shared" ref="AV32:AV95" si="20">IF(R32=$AH$1,0,1)</f>
        <v>1</v>
      </c>
      <c r="AW32" s="244">
        <f t="shared" ref="AW32:AW95" si="21">IF(S32=$AH$1,0,1)</f>
        <v>1</v>
      </c>
      <c r="AX32" s="244">
        <f t="shared" ref="AX32:AX95" si="22">IF(T32=$AH$1,0,1)</f>
        <v>1</v>
      </c>
      <c r="AY32" s="244">
        <f t="shared" ref="AY32:AY95" si="23">IF(U32=$AH$1,0,1)</f>
        <v>1</v>
      </c>
      <c r="AZ32" s="244">
        <f t="shared" ref="AZ32:AZ95" si="24">IF(V32=$AH$1,0,1)</f>
        <v>1</v>
      </c>
      <c r="BA32" s="244">
        <f t="shared" ref="BA32:BA95" si="25">IF(W32=$AH$1,0,1)</f>
        <v>1</v>
      </c>
      <c r="BB32" s="244">
        <f t="shared" ref="BB32:BB95" si="26">IF(X32=$AH$1,0,1)</f>
        <v>1</v>
      </c>
      <c r="BC32" s="244">
        <f t="shared" ref="BC32:BC95" si="27">IF(Y32=$AH$1,0,1)</f>
        <v>1</v>
      </c>
      <c r="BD32" s="244">
        <f t="shared" ref="BD32:BD95" si="28">IF(Z32=$AH$1,0,1)</f>
        <v>1</v>
      </c>
      <c r="BE32" s="244">
        <f t="shared" ref="BE32:BE95" si="29">IF(AA32=$AH$1,0,1)</f>
        <v>1</v>
      </c>
      <c r="BF32" s="244">
        <f t="shared" ref="BF32:BF95" si="30">IF(AB32=$AH$1,0,1)</f>
        <v>1</v>
      </c>
      <c r="BG32" s="244">
        <f t="shared" ref="BG32:BG95" si="31">IF(AC32=$AH$1,0,1)</f>
        <v>1</v>
      </c>
    </row>
    <row r="33" spans="1:59" ht="45.75" customHeight="1" x14ac:dyDescent="0.25">
      <c r="A33" s="415"/>
      <c r="B33" s="416" t="str">
        <f t="shared" si="1"/>
        <v/>
      </c>
      <c r="C33" s="417" t="str">
        <f>IF('תנאי סף'!AO33&lt;&gt;1,"",'תנאי סף'!F33)</f>
        <v/>
      </c>
      <c r="D33" s="418" t="str">
        <f>'מספר הרצות'!Z33</f>
        <v/>
      </c>
      <c r="E33" s="418" t="str">
        <f>'מספר מבצעים בתשלום'!Z33</f>
        <v/>
      </c>
      <c r="F33" s="418" t="str">
        <f>'מיקום ההרצות'!Z33</f>
        <v/>
      </c>
      <c r="G33" s="418" t="str">
        <f>'רמה מקצועית ואמנותית'!Z33</f>
        <v/>
      </c>
      <c r="H33" s="418" t="str">
        <f>'מיקום גיאוגרפי'!AB33</f>
        <v/>
      </c>
      <c r="I33" s="418" t="str">
        <f>תקציב!Z33</f>
        <v/>
      </c>
      <c r="J33" s="418" t="str">
        <f>'עידוד יצירה ישראלית'!Z33</f>
        <v/>
      </c>
      <c r="K33" s="418" t="str">
        <f>תיעוד!$Z33</f>
        <v/>
      </c>
      <c r="L33" s="418"/>
      <c r="M33" s="418"/>
      <c r="N33" s="418"/>
      <c r="O33" s="418"/>
      <c r="P33" s="418"/>
      <c r="Q33" s="418"/>
      <c r="R33" s="419"/>
      <c r="S33" s="419"/>
      <c r="T33" s="419"/>
      <c r="U33" s="419"/>
      <c r="V33" s="419"/>
      <c r="W33" s="419"/>
      <c r="X33" s="419"/>
      <c r="Y33" s="419"/>
      <c r="Z33" s="419"/>
      <c r="AA33" s="419"/>
      <c r="AB33" s="419"/>
      <c r="AC33" s="419"/>
      <c r="AD33" s="419" t="str">
        <f t="shared" si="2"/>
        <v/>
      </c>
      <c r="AE33" s="419" t="str">
        <f t="shared" si="3"/>
        <v/>
      </c>
      <c r="AF33" s="420" t="str">
        <f t="shared" si="4"/>
        <v/>
      </c>
      <c r="AG33" s="244">
        <f t="shared" si="5"/>
        <v>1</v>
      </c>
      <c r="AH33" s="244">
        <f t="shared" si="6"/>
        <v>1</v>
      </c>
      <c r="AI33" s="244">
        <f t="shared" si="7"/>
        <v>1</v>
      </c>
      <c r="AJ33" s="244">
        <f t="shared" si="8"/>
        <v>1</v>
      </c>
      <c r="AK33" s="244">
        <f t="shared" si="9"/>
        <v>1</v>
      </c>
      <c r="AL33" s="244">
        <f t="shared" si="10"/>
        <v>1</v>
      </c>
      <c r="AM33" s="244">
        <f t="shared" si="11"/>
        <v>1</v>
      </c>
      <c r="AN33" s="244">
        <f t="shared" si="12"/>
        <v>1</v>
      </c>
      <c r="AO33" s="244">
        <f t="shared" si="13"/>
        <v>1</v>
      </c>
      <c r="AP33" s="244">
        <f t="shared" si="14"/>
        <v>1</v>
      </c>
      <c r="AQ33" s="244">
        <f t="shared" si="15"/>
        <v>1</v>
      </c>
      <c r="AR33" s="244">
        <f t="shared" si="16"/>
        <v>1</v>
      </c>
      <c r="AS33" s="244">
        <f t="shared" si="17"/>
        <v>1</v>
      </c>
      <c r="AT33" s="244">
        <f t="shared" si="18"/>
        <v>1</v>
      </c>
      <c r="AU33" s="244">
        <f t="shared" si="19"/>
        <v>1</v>
      </c>
      <c r="AV33" s="244">
        <f t="shared" si="20"/>
        <v>1</v>
      </c>
      <c r="AW33" s="244">
        <f t="shared" si="21"/>
        <v>1</v>
      </c>
      <c r="AX33" s="244">
        <f t="shared" si="22"/>
        <v>1</v>
      </c>
      <c r="AY33" s="244">
        <f t="shared" si="23"/>
        <v>1</v>
      </c>
      <c r="AZ33" s="244">
        <f t="shared" si="24"/>
        <v>1</v>
      </c>
      <c r="BA33" s="244">
        <f t="shared" si="25"/>
        <v>1</v>
      </c>
      <c r="BB33" s="244">
        <f t="shared" si="26"/>
        <v>1</v>
      </c>
      <c r="BC33" s="244">
        <f t="shared" si="27"/>
        <v>1</v>
      </c>
      <c r="BD33" s="244">
        <f t="shared" si="28"/>
        <v>1</v>
      </c>
      <c r="BE33" s="244">
        <f t="shared" si="29"/>
        <v>1</v>
      </c>
      <c r="BF33" s="244">
        <f t="shared" si="30"/>
        <v>1</v>
      </c>
      <c r="BG33" s="244">
        <f t="shared" si="31"/>
        <v>1</v>
      </c>
    </row>
    <row r="34" spans="1:59" ht="45.75" customHeight="1" x14ac:dyDescent="0.25">
      <c r="A34" s="415"/>
      <c r="B34" s="416">
        <f t="shared" si="1"/>
        <v>4</v>
      </c>
      <c r="C34" s="417" t="str">
        <f>IF('תנאי סף'!AO34&lt;&gt;1,"",'תנאי סף'!F34)</f>
        <v>יניב ד'אור - אנסמבל נאיה</v>
      </c>
      <c r="D34" s="418">
        <f>'מספר הרצות'!Z34</f>
        <v>1.3304530952015109E-2</v>
      </c>
      <c r="E34" s="418">
        <f>'מספר מבצעים בתשלום'!Z34</f>
        <v>4.5307443365695796E-2</v>
      </c>
      <c r="F34" s="418">
        <f>'מיקום ההרצות'!Z34</f>
        <v>1.452513966480447E-2</v>
      </c>
      <c r="G34" s="418">
        <f>'רמה מקצועית ואמנותית'!Z34</f>
        <v>2.9657089898053754E-2</v>
      </c>
      <c r="H34" s="418">
        <f>'מיקום גיאוגרפי'!AB34</f>
        <v>3.4482758620689655E-2</v>
      </c>
      <c r="I34" s="418">
        <f>תקציב!Z34</f>
        <v>6.1349693251533744E-3</v>
      </c>
      <c r="J34" s="418">
        <f>'עידוד יצירה ישראלית'!Z34</f>
        <v>1.020408163265306E-2</v>
      </c>
      <c r="K34" s="418">
        <f>תיעוד!$Z34</f>
        <v>0</v>
      </c>
      <c r="L34" s="418"/>
      <c r="M34" s="418"/>
      <c r="N34" s="418"/>
      <c r="O34" s="418"/>
      <c r="P34" s="418"/>
      <c r="Q34" s="418"/>
      <c r="R34" s="419"/>
      <c r="S34" s="419"/>
      <c r="T34" s="419"/>
      <c r="U34" s="419"/>
      <c r="V34" s="419"/>
      <c r="W34" s="419"/>
      <c r="X34" s="419"/>
      <c r="Y34" s="419"/>
      <c r="Z34" s="419"/>
      <c r="AA34" s="419"/>
      <c r="AB34" s="419"/>
      <c r="AC34" s="419"/>
      <c r="AD34" s="419">
        <f t="shared" si="2"/>
        <v>2.2705653272580301E-2</v>
      </c>
      <c r="AE34" s="419">
        <f t="shared" si="3"/>
        <v>2.2705653272580308E-2</v>
      </c>
      <c r="AF34" s="420">
        <f t="shared" si="4"/>
        <v>69850.922441208066</v>
      </c>
      <c r="AG34" s="244">
        <f t="shared" si="5"/>
        <v>1</v>
      </c>
      <c r="AH34" s="244">
        <f t="shared" si="6"/>
        <v>1</v>
      </c>
      <c r="AI34" s="244">
        <f t="shared" si="7"/>
        <v>1</v>
      </c>
      <c r="AJ34" s="244">
        <f t="shared" si="8"/>
        <v>1</v>
      </c>
      <c r="AK34" s="244">
        <f t="shared" si="9"/>
        <v>1</v>
      </c>
      <c r="AL34" s="244">
        <f t="shared" si="10"/>
        <v>1</v>
      </c>
      <c r="AM34" s="244">
        <f t="shared" si="11"/>
        <v>1</v>
      </c>
      <c r="AN34" s="244">
        <f t="shared" si="12"/>
        <v>1</v>
      </c>
      <c r="AO34" s="244">
        <f t="shared" si="13"/>
        <v>1</v>
      </c>
      <c r="AP34" s="244">
        <f t="shared" si="14"/>
        <v>1</v>
      </c>
      <c r="AQ34" s="244">
        <f t="shared" si="15"/>
        <v>1</v>
      </c>
      <c r="AR34" s="244">
        <f t="shared" si="16"/>
        <v>1</v>
      </c>
      <c r="AS34" s="244">
        <f t="shared" si="17"/>
        <v>1</v>
      </c>
      <c r="AT34" s="244">
        <f t="shared" si="18"/>
        <v>1</v>
      </c>
      <c r="AU34" s="244">
        <f t="shared" si="19"/>
        <v>1</v>
      </c>
      <c r="AV34" s="244">
        <f t="shared" si="20"/>
        <v>1</v>
      </c>
      <c r="AW34" s="244">
        <f t="shared" si="21"/>
        <v>1</v>
      </c>
      <c r="AX34" s="244">
        <f t="shared" si="22"/>
        <v>1</v>
      </c>
      <c r="AY34" s="244">
        <f t="shared" si="23"/>
        <v>1</v>
      </c>
      <c r="AZ34" s="244">
        <f t="shared" si="24"/>
        <v>1</v>
      </c>
      <c r="BA34" s="244">
        <f t="shared" si="25"/>
        <v>1</v>
      </c>
      <c r="BB34" s="244">
        <f t="shared" si="26"/>
        <v>1</v>
      </c>
      <c r="BC34" s="244">
        <f t="shared" si="27"/>
        <v>1</v>
      </c>
      <c r="BD34" s="244">
        <f t="shared" si="28"/>
        <v>1</v>
      </c>
      <c r="BE34" s="244">
        <f t="shared" si="29"/>
        <v>1</v>
      </c>
      <c r="BF34" s="244">
        <f t="shared" si="30"/>
        <v>1</v>
      </c>
      <c r="BG34" s="244">
        <f t="shared" si="31"/>
        <v>1</v>
      </c>
    </row>
    <row r="35" spans="1:59" ht="45.75" hidden="1" customHeight="1" x14ac:dyDescent="0.25">
      <c r="A35" s="415"/>
      <c r="B35" s="416" t="str">
        <f t="shared" si="1"/>
        <v/>
      </c>
      <c r="C35" s="417" t="str">
        <f>IF('תנאי סף'!AO35&lt;&gt;1,"",'תנאי סף'!F35)</f>
        <v/>
      </c>
      <c r="D35" s="418" t="str">
        <f>'מספר הרצות'!Z35</f>
        <v/>
      </c>
      <c r="E35" s="418" t="str">
        <f>'מספר מבצעים בתשלום'!Z35</f>
        <v/>
      </c>
      <c r="F35" s="418" t="str">
        <f>'מיקום ההרצות'!Z35</f>
        <v/>
      </c>
      <c r="G35" s="418" t="str">
        <f>'רמה מקצועית ואמנותית'!Z35</f>
        <v/>
      </c>
      <c r="H35" s="418" t="str">
        <f>'מיקום גיאוגרפי'!AB35</f>
        <v/>
      </c>
      <c r="I35" s="418" t="str">
        <f>תקציב!Z35</f>
        <v/>
      </c>
      <c r="J35" s="418" t="str">
        <f>'עידוד יצירה ישראלית'!Z35</f>
        <v/>
      </c>
      <c r="K35" s="418" t="str">
        <f>תיעוד!$Z35</f>
        <v/>
      </c>
      <c r="L35" s="418"/>
      <c r="M35" s="418"/>
      <c r="N35" s="418"/>
      <c r="O35" s="418"/>
      <c r="P35" s="418"/>
      <c r="Q35" s="418"/>
      <c r="R35" s="419"/>
      <c r="S35" s="419"/>
      <c r="T35" s="419"/>
      <c r="U35" s="419"/>
      <c r="V35" s="419"/>
      <c r="W35" s="419"/>
      <c r="X35" s="419"/>
      <c r="Y35" s="419"/>
      <c r="Z35" s="419"/>
      <c r="AA35" s="419"/>
      <c r="AB35" s="419"/>
      <c r="AC35" s="419"/>
      <c r="AD35" s="419" t="str">
        <f t="shared" si="2"/>
        <v/>
      </c>
      <c r="AE35" s="419" t="str">
        <f t="shared" si="3"/>
        <v/>
      </c>
      <c r="AF35" s="420" t="str">
        <f t="shared" si="4"/>
        <v/>
      </c>
      <c r="AG35" s="244">
        <f t="shared" si="5"/>
        <v>1</v>
      </c>
      <c r="AH35" s="244">
        <f t="shared" si="6"/>
        <v>1</v>
      </c>
      <c r="AI35" s="244">
        <f t="shared" si="7"/>
        <v>1</v>
      </c>
      <c r="AJ35" s="244">
        <f t="shared" si="8"/>
        <v>1</v>
      </c>
      <c r="AK35" s="244">
        <f t="shared" si="9"/>
        <v>1</v>
      </c>
      <c r="AL35" s="244">
        <f t="shared" si="10"/>
        <v>1</v>
      </c>
      <c r="AM35" s="244">
        <f t="shared" si="11"/>
        <v>1</v>
      </c>
      <c r="AN35" s="244">
        <f t="shared" si="12"/>
        <v>1</v>
      </c>
      <c r="AO35" s="244">
        <f t="shared" si="13"/>
        <v>1</v>
      </c>
      <c r="AP35" s="244">
        <f t="shared" si="14"/>
        <v>1</v>
      </c>
      <c r="AQ35" s="244">
        <f t="shared" si="15"/>
        <v>1</v>
      </c>
      <c r="AR35" s="244">
        <f t="shared" si="16"/>
        <v>1</v>
      </c>
      <c r="AS35" s="244">
        <f t="shared" si="17"/>
        <v>1</v>
      </c>
      <c r="AT35" s="244">
        <f t="shared" si="18"/>
        <v>1</v>
      </c>
      <c r="AU35" s="244">
        <f t="shared" si="19"/>
        <v>1</v>
      </c>
      <c r="AV35" s="244">
        <f t="shared" si="20"/>
        <v>1</v>
      </c>
      <c r="AW35" s="244">
        <f t="shared" si="21"/>
        <v>1</v>
      </c>
      <c r="AX35" s="244">
        <f t="shared" si="22"/>
        <v>1</v>
      </c>
      <c r="AY35" s="244">
        <f t="shared" si="23"/>
        <v>1</v>
      </c>
      <c r="AZ35" s="244">
        <f t="shared" si="24"/>
        <v>1</v>
      </c>
      <c r="BA35" s="244">
        <f t="shared" si="25"/>
        <v>1</v>
      </c>
      <c r="BB35" s="244">
        <f t="shared" si="26"/>
        <v>1</v>
      </c>
      <c r="BC35" s="244">
        <f t="shared" si="27"/>
        <v>1</v>
      </c>
      <c r="BD35" s="244">
        <f t="shared" si="28"/>
        <v>1</v>
      </c>
      <c r="BE35" s="244">
        <f t="shared" si="29"/>
        <v>1</v>
      </c>
      <c r="BF35" s="244">
        <f t="shared" si="30"/>
        <v>1</v>
      </c>
      <c r="BG35" s="244">
        <f t="shared" si="31"/>
        <v>1</v>
      </c>
    </row>
    <row r="36" spans="1:59" ht="45.75" customHeight="1" x14ac:dyDescent="0.25">
      <c r="A36" s="415"/>
      <c r="B36" s="416">
        <f t="shared" si="1"/>
        <v>6</v>
      </c>
      <c r="C36" s="417" t="str">
        <f>IF('תנאי סף'!AO36&lt;&gt;1,"",'תנאי סף'!F36)</f>
        <v>הפרויקט הקאמרי הישראלי</v>
      </c>
      <c r="D36" s="418">
        <f>'מספר הרצות'!Z36</f>
        <v>1.6630663690018886E-2</v>
      </c>
      <c r="E36" s="418">
        <f>'מספר מבצעים בתשלום'!Z36</f>
        <v>2.4271844660194174E-2</v>
      </c>
      <c r="F36" s="418">
        <f>'מיקום ההרצות'!Z36</f>
        <v>2.9050279329608939E-2</v>
      </c>
      <c r="G36" s="418">
        <f>'רמה מקצועית ואמנותית'!Z36</f>
        <v>4.6339202965708988E-2</v>
      </c>
      <c r="H36" s="418">
        <f>'מיקום גיאוגרפי'!AB36</f>
        <v>0</v>
      </c>
      <c r="I36" s="418">
        <f>תקציב!Z36</f>
        <v>3.6809815950920248E-2</v>
      </c>
      <c r="J36" s="418">
        <f>'עידוד יצירה ישראלית'!Z36</f>
        <v>2.0408163265306121E-2</v>
      </c>
      <c r="K36" s="418">
        <f>תיעוד!$Z36</f>
        <v>0</v>
      </c>
      <c r="L36" s="418"/>
      <c r="M36" s="418"/>
      <c r="N36" s="418"/>
      <c r="O36" s="418"/>
      <c r="P36" s="418"/>
      <c r="Q36" s="418"/>
      <c r="R36" s="419"/>
      <c r="S36" s="419"/>
      <c r="T36" s="419"/>
      <c r="U36" s="419"/>
      <c r="V36" s="419"/>
      <c r="W36" s="419"/>
      <c r="X36" s="419"/>
      <c r="Y36" s="419"/>
      <c r="Z36" s="419"/>
      <c r="AA36" s="419"/>
      <c r="AB36" s="419"/>
      <c r="AC36" s="419"/>
      <c r="AD36" s="419">
        <f t="shared" si="2"/>
        <v>2.3758207969482491E-2</v>
      </c>
      <c r="AE36" s="419">
        <f t="shared" si="3"/>
        <v>2.3758207969482498E-2</v>
      </c>
      <c r="AF36" s="420">
        <f t="shared" si="4"/>
        <v>73088.966976452968</v>
      </c>
      <c r="AG36" s="244">
        <f t="shared" si="5"/>
        <v>1</v>
      </c>
      <c r="AH36" s="244">
        <f t="shared" si="6"/>
        <v>1</v>
      </c>
      <c r="AI36" s="244">
        <f t="shared" si="7"/>
        <v>1</v>
      </c>
      <c r="AJ36" s="244">
        <f t="shared" si="8"/>
        <v>1</v>
      </c>
      <c r="AK36" s="244">
        <f t="shared" si="9"/>
        <v>1</v>
      </c>
      <c r="AL36" s="244">
        <f t="shared" si="10"/>
        <v>1</v>
      </c>
      <c r="AM36" s="244">
        <f t="shared" si="11"/>
        <v>1</v>
      </c>
      <c r="AN36" s="244">
        <f t="shared" si="12"/>
        <v>1</v>
      </c>
      <c r="AO36" s="244">
        <f t="shared" si="13"/>
        <v>1</v>
      </c>
      <c r="AP36" s="244">
        <f t="shared" si="14"/>
        <v>1</v>
      </c>
      <c r="AQ36" s="244">
        <f t="shared" si="15"/>
        <v>1</v>
      </c>
      <c r="AR36" s="244">
        <f t="shared" si="16"/>
        <v>1</v>
      </c>
      <c r="AS36" s="244">
        <f t="shared" si="17"/>
        <v>1</v>
      </c>
      <c r="AT36" s="244">
        <f t="shared" si="18"/>
        <v>1</v>
      </c>
      <c r="AU36" s="244">
        <f t="shared" si="19"/>
        <v>1</v>
      </c>
      <c r="AV36" s="244">
        <f t="shared" si="20"/>
        <v>1</v>
      </c>
      <c r="AW36" s="244">
        <f t="shared" si="21"/>
        <v>1</v>
      </c>
      <c r="AX36" s="244">
        <f t="shared" si="22"/>
        <v>1</v>
      </c>
      <c r="AY36" s="244">
        <f t="shared" si="23"/>
        <v>1</v>
      </c>
      <c r="AZ36" s="244">
        <f t="shared" si="24"/>
        <v>1</v>
      </c>
      <c r="BA36" s="244">
        <f t="shared" si="25"/>
        <v>1</v>
      </c>
      <c r="BB36" s="244">
        <f t="shared" si="26"/>
        <v>1</v>
      </c>
      <c r="BC36" s="244">
        <f t="shared" si="27"/>
        <v>1</v>
      </c>
      <c r="BD36" s="244">
        <f t="shared" si="28"/>
        <v>1</v>
      </c>
      <c r="BE36" s="244">
        <f t="shared" si="29"/>
        <v>1</v>
      </c>
      <c r="BF36" s="244">
        <f t="shared" si="30"/>
        <v>1</v>
      </c>
      <c r="BG36" s="244">
        <f t="shared" si="31"/>
        <v>1</v>
      </c>
    </row>
    <row r="37" spans="1:59" ht="45.75" customHeight="1" x14ac:dyDescent="0.25">
      <c r="A37" s="415"/>
      <c r="B37" s="416">
        <f t="shared" si="1"/>
        <v>7</v>
      </c>
      <c r="C37" s="417" t="str">
        <f>IF('תנאי סף'!AO37&lt;&gt;1,"",'תנאי סף'!F37)</f>
        <v>מארש דונדורמה</v>
      </c>
      <c r="D37" s="418">
        <f>'מספר הרצות'!Z37</f>
        <v>5.2422744240276931E-2</v>
      </c>
      <c r="E37" s="418">
        <f>'מספר מבצעים בתשלום'!Z37</f>
        <v>0.10517799352750809</v>
      </c>
      <c r="F37" s="418">
        <f>'מיקום ההרצות'!Z37</f>
        <v>3.2402234636871509E-2</v>
      </c>
      <c r="G37" s="418">
        <f>'רמה מקצועית ואמנותית'!Z37</f>
        <v>3.7071362372567189E-2</v>
      </c>
      <c r="H37" s="418">
        <f>'מיקום גיאוגרפי'!AB37</f>
        <v>0</v>
      </c>
      <c r="I37" s="418">
        <f>תקציב!Z37</f>
        <v>3.6809815950920248E-2</v>
      </c>
      <c r="J37" s="418">
        <f>'עידוד יצירה ישראלית'!Z37</f>
        <v>1.020408163265306E-2</v>
      </c>
      <c r="K37" s="418">
        <f>תיעוד!$Z37</f>
        <v>0</v>
      </c>
      <c r="L37" s="418"/>
      <c r="M37" s="418"/>
      <c r="N37" s="418"/>
      <c r="O37" s="418"/>
      <c r="P37" s="418"/>
      <c r="Q37" s="418"/>
      <c r="R37" s="419"/>
      <c r="S37" s="419"/>
      <c r="T37" s="419"/>
      <c r="U37" s="419"/>
      <c r="V37" s="419"/>
      <c r="W37" s="419"/>
      <c r="X37" s="419"/>
      <c r="Y37" s="419"/>
      <c r="Z37" s="419"/>
      <c r="AA37" s="419"/>
      <c r="AB37" s="419"/>
      <c r="AC37" s="419"/>
      <c r="AD37" s="419">
        <f t="shared" si="2"/>
        <v>4.5022465131486562E-2</v>
      </c>
      <c r="AE37" s="419">
        <f t="shared" si="3"/>
        <v>4.5022465131486576E-2</v>
      </c>
      <c r="AF37" s="420">
        <f t="shared" si="4"/>
        <v>138505.62598915596</v>
      </c>
      <c r="AG37" s="244">
        <f t="shared" si="5"/>
        <v>1</v>
      </c>
      <c r="AH37" s="244">
        <f t="shared" si="6"/>
        <v>1</v>
      </c>
      <c r="AI37" s="244">
        <f t="shared" si="7"/>
        <v>1</v>
      </c>
      <c r="AJ37" s="244">
        <f t="shared" si="8"/>
        <v>1</v>
      </c>
      <c r="AK37" s="244">
        <f t="shared" si="9"/>
        <v>1</v>
      </c>
      <c r="AL37" s="244">
        <f t="shared" si="10"/>
        <v>1</v>
      </c>
      <c r="AM37" s="244">
        <f t="shared" si="11"/>
        <v>1</v>
      </c>
      <c r="AN37" s="244">
        <f t="shared" si="12"/>
        <v>1</v>
      </c>
      <c r="AO37" s="244">
        <f t="shared" si="13"/>
        <v>1</v>
      </c>
      <c r="AP37" s="244">
        <f t="shared" si="14"/>
        <v>1</v>
      </c>
      <c r="AQ37" s="244">
        <f t="shared" si="15"/>
        <v>1</v>
      </c>
      <c r="AR37" s="244">
        <f t="shared" si="16"/>
        <v>1</v>
      </c>
      <c r="AS37" s="244">
        <f t="shared" si="17"/>
        <v>1</v>
      </c>
      <c r="AT37" s="244">
        <f t="shared" si="18"/>
        <v>1</v>
      </c>
      <c r="AU37" s="244">
        <f t="shared" si="19"/>
        <v>1</v>
      </c>
      <c r="AV37" s="244">
        <f t="shared" si="20"/>
        <v>1</v>
      </c>
      <c r="AW37" s="244">
        <f t="shared" si="21"/>
        <v>1</v>
      </c>
      <c r="AX37" s="244">
        <f t="shared" si="22"/>
        <v>1</v>
      </c>
      <c r="AY37" s="244">
        <f t="shared" si="23"/>
        <v>1</v>
      </c>
      <c r="AZ37" s="244">
        <f t="shared" si="24"/>
        <v>1</v>
      </c>
      <c r="BA37" s="244">
        <f t="shared" si="25"/>
        <v>1</v>
      </c>
      <c r="BB37" s="244">
        <f t="shared" si="26"/>
        <v>1</v>
      </c>
      <c r="BC37" s="244">
        <f t="shared" si="27"/>
        <v>1</v>
      </c>
      <c r="BD37" s="244">
        <f t="shared" si="28"/>
        <v>1</v>
      </c>
      <c r="BE37" s="244">
        <f t="shared" si="29"/>
        <v>1</v>
      </c>
      <c r="BF37" s="244">
        <f t="shared" si="30"/>
        <v>1</v>
      </c>
      <c r="BG37" s="244">
        <f t="shared" si="31"/>
        <v>1</v>
      </c>
    </row>
    <row r="38" spans="1:59" ht="45.75" customHeight="1" x14ac:dyDescent="0.25">
      <c r="A38" s="415"/>
      <c r="B38" s="416">
        <f t="shared" si="1"/>
        <v>8</v>
      </c>
      <c r="C38" s="417" t="str">
        <f>IF('תנאי סף'!AO38&lt;&gt;1,"",'תנאי סף'!F38)</f>
        <v>להקת מורין נהדר</v>
      </c>
      <c r="D38" s="418">
        <f>'מספר הרצות'!Z38</f>
        <v>1.1749925433165519E-2</v>
      </c>
      <c r="E38" s="418">
        <f>'מספר מבצעים בתשלום'!Z38</f>
        <v>4.0453074433656963E-3</v>
      </c>
      <c r="F38" s="418">
        <f>'מיקום ההרצות'!Z38</f>
        <v>1.0055865921787709E-2</v>
      </c>
      <c r="G38" s="418">
        <f>'רמה מקצועית ואמנותית'!Z38</f>
        <v>1.3901760889712697E-2</v>
      </c>
      <c r="H38" s="418">
        <f>'מיקום גיאוגרפי'!AB38</f>
        <v>0</v>
      </c>
      <c r="I38" s="418">
        <f>תקציב!Z38</f>
        <v>6.1349693251533744E-3</v>
      </c>
      <c r="J38" s="418">
        <f>'עידוד יצירה ישראלית'!Z38</f>
        <v>0</v>
      </c>
      <c r="K38" s="418">
        <f>תיעוד!$Z38</f>
        <v>1.4705882352941176E-2</v>
      </c>
      <c r="L38" s="418"/>
      <c r="M38" s="418"/>
      <c r="N38" s="418"/>
      <c r="O38" s="418"/>
      <c r="P38" s="418"/>
      <c r="Q38" s="418"/>
      <c r="R38" s="419"/>
      <c r="S38" s="419"/>
      <c r="T38" s="419"/>
      <c r="U38" s="419"/>
      <c r="V38" s="419"/>
      <c r="W38" s="419"/>
      <c r="X38" s="419"/>
      <c r="Y38" s="419"/>
      <c r="Z38" s="419"/>
      <c r="AA38" s="419"/>
      <c r="AB38" s="419"/>
      <c r="AC38" s="419"/>
      <c r="AD38" s="419">
        <f t="shared" si="2"/>
        <v>7.598688351104315E-3</v>
      </c>
      <c r="AE38" s="419">
        <f t="shared" si="3"/>
        <v>7.5986883511043176E-3</v>
      </c>
      <c r="AF38" s="420">
        <f t="shared" si="4"/>
        <v>23376.354086621737</v>
      </c>
      <c r="AG38" s="244">
        <f t="shared" si="5"/>
        <v>1</v>
      </c>
      <c r="AH38" s="244">
        <f t="shared" si="6"/>
        <v>1</v>
      </c>
      <c r="AI38" s="244">
        <f t="shared" si="7"/>
        <v>1</v>
      </c>
      <c r="AJ38" s="244">
        <f t="shared" si="8"/>
        <v>1</v>
      </c>
      <c r="AK38" s="244">
        <f t="shared" si="9"/>
        <v>1</v>
      </c>
      <c r="AL38" s="244">
        <f t="shared" si="10"/>
        <v>1</v>
      </c>
      <c r="AM38" s="244">
        <f t="shared" si="11"/>
        <v>1</v>
      </c>
      <c r="AN38" s="244">
        <f t="shared" si="12"/>
        <v>1</v>
      </c>
      <c r="AO38" s="244">
        <f t="shared" si="13"/>
        <v>1</v>
      </c>
      <c r="AP38" s="244">
        <f t="shared" si="14"/>
        <v>1</v>
      </c>
      <c r="AQ38" s="244">
        <f t="shared" si="15"/>
        <v>1</v>
      </c>
      <c r="AR38" s="244">
        <f t="shared" si="16"/>
        <v>1</v>
      </c>
      <c r="AS38" s="244">
        <f t="shared" si="17"/>
        <v>1</v>
      </c>
      <c r="AT38" s="244">
        <f t="shared" si="18"/>
        <v>1</v>
      </c>
      <c r="AU38" s="244">
        <f t="shared" si="19"/>
        <v>1</v>
      </c>
      <c r="AV38" s="244">
        <f t="shared" si="20"/>
        <v>1</v>
      </c>
      <c r="AW38" s="244">
        <f t="shared" si="21"/>
        <v>1</v>
      </c>
      <c r="AX38" s="244">
        <f t="shared" si="22"/>
        <v>1</v>
      </c>
      <c r="AY38" s="244">
        <f t="shared" si="23"/>
        <v>1</v>
      </c>
      <c r="AZ38" s="244">
        <f t="shared" si="24"/>
        <v>1</v>
      </c>
      <c r="BA38" s="244">
        <f t="shared" si="25"/>
        <v>1</v>
      </c>
      <c r="BB38" s="244">
        <f t="shared" si="26"/>
        <v>1</v>
      </c>
      <c r="BC38" s="244">
        <f t="shared" si="27"/>
        <v>1</v>
      </c>
      <c r="BD38" s="244">
        <f t="shared" si="28"/>
        <v>1</v>
      </c>
      <c r="BE38" s="244">
        <f t="shared" si="29"/>
        <v>1</v>
      </c>
      <c r="BF38" s="244">
        <f t="shared" si="30"/>
        <v>1</v>
      </c>
      <c r="BG38" s="244">
        <f t="shared" si="31"/>
        <v>1</v>
      </c>
    </row>
    <row r="39" spans="1:59" ht="45.75" hidden="1" customHeight="1" x14ac:dyDescent="0.25">
      <c r="A39" s="415"/>
      <c r="B39" s="416" t="str">
        <f t="shared" si="1"/>
        <v/>
      </c>
      <c r="C39" s="417" t="str">
        <f>IF('תנאי סף'!AO39&lt;&gt;1,"",'תנאי סף'!F39)</f>
        <v/>
      </c>
      <c r="D39" s="418" t="str">
        <f>'מספר הרצות'!Z39</f>
        <v/>
      </c>
      <c r="E39" s="418" t="str">
        <f>'מספר מבצעים בתשלום'!Z39</f>
        <v/>
      </c>
      <c r="F39" s="418" t="str">
        <f>'מיקום ההרצות'!Z39</f>
        <v/>
      </c>
      <c r="G39" s="418" t="str">
        <f>'רמה מקצועית ואמנותית'!Z39</f>
        <v/>
      </c>
      <c r="H39" s="418" t="str">
        <f>'מיקום גיאוגרפי'!AB39</f>
        <v/>
      </c>
      <c r="I39" s="418" t="str">
        <f>תקציב!Z39</f>
        <v/>
      </c>
      <c r="J39" s="418" t="str">
        <f>'עידוד יצירה ישראלית'!Z39</f>
        <v/>
      </c>
      <c r="K39" s="418" t="str">
        <f>תיעוד!$Z39</f>
        <v/>
      </c>
      <c r="L39" s="418"/>
      <c r="M39" s="418"/>
      <c r="N39" s="418"/>
      <c r="O39" s="418"/>
      <c r="P39" s="418"/>
      <c r="Q39" s="418"/>
      <c r="R39" s="419"/>
      <c r="S39" s="419"/>
      <c r="T39" s="419"/>
      <c r="U39" s="419"/>
      <c r="V39" s="419"/>
      <c r="W39" s="419"/>
      <c r="X39" s="419"/>
      <c r="Y39" s="419"/>
      <c r="Z39" s="419"/>
      <c r="AA39" s="419"/>
      <c r="AB39" s="419"/>
      <c r="AC39" s="419"/>
      <c r="AD39" s="419" t="str">
        <f t="shared" si="2"/>
        <v/>
      </c>
      <c r="AE39" s="419" t="str">
        <f t="shared" si="3"/>
        <v/>
      </c>
      <c r="AF39" s="420" t="str">
        <f t="shared" si="4"/>
        <v/>
      </c>
      <c r="AG39" s="244">
        <f t="shared" si="5"/>
        <v>1</v>
      </c>
      <c r="AH39" s="244">
        <f t="shared" si="6"/>
        <v>1</v>
      </c>
      <c r="AI39" s="244">
        <f t="shared" si="7"/>
        <v>1</v>
      </c>
      <c r="AJ39" s="244">
        <f t="shared" si="8"/>
        <v>1</v>
      </c>
      <c r="AK39" s="244">
        <f t="shared" si="9"/>
        <v>1</v>
      </c>
      <c r="AL39" s="244">
        <f t="shared" si="10"/>
        <v>1</v>
      </c>
      <c r="AM39" s="244">
        <f t="shared" si="11"/>
        <v>1</v>
      </c>
      <c r="AN39" s="244">
        <f t="shared" si="12"/>
        <v>1</v>
      </c>
      <c r="AO39" s="244">
        <f t="shared" si="13"/>
        <v>1</v>
      </c>
      <c r="AP39" s="244">
        <f t="shared" si="14"/>
        <v>1</v>
      </c>
      <c r="AQ39" s="244">
        <f t="shared" si="15"/>
        <v>1</v>
      </c>
      <c r="AR39" s="244">
        <f t="shared" si="16"/>
        <v>1</v>
      </c>
      <c r="AS39" s="244">
        <f t="shared" si="17"/>
        <v>1</v>
      </c>
      <c r="AT39" s="244">
        <f t="shared" si="18"/>
        <v>1</v>
      </c>
      <c r="AU39" s="244">
        <f t="shared" si="19"/>
        <v>1</v>
      </c>
      <c r="AV39" s="244">
        <f t="shared" si="20"/>
        <v>1</v>
      </c>
      <c r="AW39" s="244">
        <f t="shared" si="21"/>
        <v>1</v>
      </c>
      <c r="AX39" s="244">
        <f t="shared" si="22"/>
        <v>1</v>
      </c>
      <c r="AY39" s="244">
        <f t="shared" si="23"/>
        <v>1</v>
      </c>
      <c r="AZ39" s="244">
        <f t="shared" si="24"/>
        <v>1</v>
      </c>
      <c r="BA39" s="244">
        <f t="shared" si="25"/>
        <v>1</v>
      </c>
      <c r="BB39" s="244">
        <f t="shared" si="26"/>
        <v>1</v>
      </c>
      <c r="BC39" s="244">
        <f t="shared" si="27"/>
        <v>1</v>
      </c>
      <c r="BD39" s="244">
        <f t="shared" si="28"/>
        <v>1</v>
      </c>
      <c r="BE39" s="244">
        <f t="shared" si="29"/>
        <v>1</v>
      </c>
      <c r="BF39" s="244">
        <f t="shared" si="30"/>
        <v>1</v>
      </c>
      <c r="BG39" s="244">
        <f t="shared" si="31"/>
        <v>1</v>
      </c>
    </row>
    <row r="40" spans="1:59" ht="45.75" customHeight="1" x14ac:dyDescent="0.25">
      <c r="A40" s="415"/>
      <c r="B40" s="416">
        <f t="shared" si="1"/>
        <v>10</v>
      </c>
      <c r="C40" s="417" t="str">
        <f>IF('תנאי סף'!AO40&lt;&gt;1,"",'תנאי סף'!F40)</f>
        <v>אנסמבל גלעד אפרת</v>
      </c>
      <c r="D40" s="418">
        <f>'מספר הרצות'!Z40</f>
        <v>1.4461446686972947E-2</v>
      </c>
      <c r="E40" s="418">
        <f>'מספר מבצעים בתשלום'!Z40</f>
        <v>3.236245954692557E-2</v>
      </c>
      <c r="F40" s="418">
        <f>'מיקום ההרצות'!Z40</f>
        <v>1.2290502793296089E-2</v>
      </c>
      <c r="G40" s="418">
        <f>'רמה מקצועית ואמנותית'!Z40</f>
        <v>3.7071362372567189E-2</v>
      </c>
      <c r="H40" s="418">
        <f>'מיקום גיאוגרפי'!AB40</f>
        <v>3.4482758620689655E-2</v>
      </c>
      <c r="I40" s="418">
        <f>תקציב!Z40</f>
        <v>3.6809815950920248E-2</v>
      </c>
      <c r="J40" s="418">
        <f>'עידוד יצירה ישראלית'!Z40</f>
        <v>0</v>
      </c>
      <c r="K40" s="418">
        <f>תיעוד!$Z40</f>
        <v>0</v>
      </c>
      <c r="L40" s="418"/>
      <c r="M40" s="418"/>
      <c r="N40" s="418"/>
      <c r="O40" s="418"/>
      <c r="P40" s="418"/>
      <c r="Q40" s="418"/>
      <c r="R40" s="419"/>
      <c r="S40" s="419"/>
      <c r="T40" s="419"/>
      <c r="U40" s="419"/>
      <c r="V40" s="419"/>
      <c r="W40" s="419"/>
      <c r="X40" s="419"/>
      <c r="Y40" s="419"/>
      <c r="Z40" s="419"/>
      <c r="AA40" s="419"/>
      <c r="AB40" s="419"/>
      <c r="AC40" s="419"/>
      <c r="AD40" s="419">
        <f t="shared" si="2"/>
        <v>2.3283793339155381E-2</v>
      </c>
      <c r="AE40" s="419">
        <f t="shared" si="3"/>
        <v>2.3283793339155388E-2</v>
      </c>
      <c r="AF40" s="420">
        <f t="shared" si="4"/>
        <v>71629.493463397448</v>
      </c>
      <c r="AG40" s="244">
        <f t="shared" si="5"/>
        <v>1</v>
      </c>
      <c r="AH40" s="244">
        <f t="shared" si="6"/>
        <v>1</v>
      </c>
      <c r="AI40" s="244">
        <f t="shared" si="7"/>
        <v>1</v>
      </c>
      <c r="AJ40" s="244">
        <f t="shared" si="8"/>
        <v>1</v>
      </c>
      <c r="AK40" s="244">
        <f t="shared" si="9"/>
        <v>1</v>
      </c>
      <c r="AL40" s="244">
        <f t="shared" si="10"/>
        <v>1</v>
      </c>
      <c r="AM40" s="244">
        <f t="shared" si="11"/>
        <v>1</v>
      </c>
      <c r="AN40" s="244">
        <f t="shared" si="12"/>
        <v>1</v>
      </c>
      <c r="AO40" s="244">
        <f t="shared" si="13"/>
        <v>1</v>
      </c>
      <c r="AP40" s="244">
        <f t="shared" si="14"/>
        <v>1</v>
      </c>
      <c r="AQ40" s="244">
        <f t="shared" si="15"/>
        <v>1</v>
      </c>
      <c r="AR40" s="244">
        <f t="shared" si="16"/>
        <v>1</v>
      </c>
      <c r="AS40" s="244">
        <f t="shared" si="17"/>
        <v>1</v>
      </c>
      <c r="AT40" s="244">
        <f t="shared" si="18"/>
        <v>1</v>
      </c>
      <c r="AU40" s="244">
        <f t="shared" si="19"/>
        <v>1</v>
      </c>
      <c r="AV40" s="244">
        <f t="shared" si="20"/>
        <v>1</v>
      </c>
      <c r="AW40" s="244">
        <f t="shared" si="21"/>
        <v>1</v>
      </c>
      <c r="AX40" s="244">
        <f t="shared" si="22"/>
        <v>1</v>
      </c>
      <c r="AY40" s="244">
        <f t="shared" si="23"/>
        <v>1</v>
      </c>
      <c r="AZ40" s="244">
        <f t="shared" si="24"/>
        <v>1</v>
      </c>
      <c r="BA40" s="244">
        <f t="shared" si="25"/>
        <v>1</v>
      </c>
      <c r="BB40" s="244">
        <f t="shared" si="26"/>
        <v>1</v>
      </c>
      <c r="BC40" s="244">
        <f t="shared" si="27"/>
        <v>1</v>
      </c>
      <c r="BD40" s="244">
        <f t="shared" si="28"/>
        <v>1</v>
      </c>
      <c r="BE40" s="244">
        <f t="shared" si="29"/>
        <v>1</v>
      </c>
      <c r="BF40" s="244">
        <f t="shared" si="30"/>
        <v>1</v>
      </c>
      <c r="BG40" s="244">
        <f t="shared" si="31"/>
        <v>1</v>
      </c>
    </row>
    <row r="41" spans="1:59" ht="45.75" customHeight="1" x14ac:dyDescent="0.25">
      <c r="A41" s="415"/>
      <c r="B41" s="416">
        <f t="shared" si="1"/>
        <v>11</v>
      </c>
      <c r="C41" s="417" t="str">
        <f>IF('תנאי סף'!AO41&lt;&gt;1,"",'תנאי סף'!F41)</f>
        <v>רביעיית כרמל</v>
      </c>
      <c r="D41" s="418">
        <f>'מספר הרצות'!Z41</f>
        <v>7.7730275942479582E-2</v>
      </c>
      <c r="E41" s="418">
        <f>'מספר מבצעים בתשלום'!Z41</f>
        <v>3.236245954692557E-2</v>
      </c>
      <c r="F41" s="418">
        <f>'מיקום ההרצות'!Z41</f>
        <v>7.150837988826815E-2</v>
      </c>
      <c r="G41" s="418">
        <f>'רמה מקצועית ואמנותית'!Z41</f>
        <v>4.6339202965708988E-2</v>
      </c>
      <c r="H41" s="418">
        <f>'מיקום גיאוגרפי'!AB41</f>
        <v>0</v>
      </c>
      <c r="I41" s="418">
        <f>תקציב!Z41</f>
        <v>3.6809815950920248E-2</v>
      </c>
      <c r="J41" s="418">
        <f>'עידוד יצירה ישראלית'!Z41</f>
        <v>0</v>
      </c>
      <c r="K41" s="418">
        <f>תיעוד!$Z41</f>
        <v>8.8235294117647065E-2</v>
      </c>
      <c r="L41" s="418"/>
      <c r="M41" s="418"/>
      <c r="N41" s="418"/>
      <c r="O41" s="418"/>
      <c r="P41" s="418"/>
      <c r="Q41" s="418"/>
      <c r="R41" s="419"/>
      <c r="S41" s="419"/>
      <c r="T41" s="419"/>
      <c r="U41" s="419"/>
      <c r="V41" s="419"/>
      <c r="W41" s="419"/>
      <c r="X41" s="419"/>
      <c r="Y41" s="419"/>
      <c r="Z41" s="419"/>
      <c r="AA41" s="419"/>
      <c r="AB41" s="419"/>
      <c r="AC41" s="419"/>
      <c r="AD41" s="419">
        <f t="shared" si="2"/>
        <v>4.4213011832538569E-2</v>
      </c>
      <c r="AE41" s="419">
        <f t="shared" si="3"/>
        <v>4.4213011832538583E-2</v>
      </c>
      <c r="AF41" s="420">
        <f t="shared" si="4"/>
        <v>136015.45057223123</v>
      </c>
      <c r="AG41" s="244">
        <f t="shared" si="5"/>
        <v>1</v>
      </c>
      <c r="AH41" s="244">
        <f t="shared" si="6"/>
        <v>1</v>
      </c>
      <c r="AI41" s="244">
        <f t="shared" si="7"/>
        <v>1</v>
      </c>
      <c r="AJ41" s="244">
        <f t="shared" si="8"/>
        <v>1</v>
      </c>
      <c r="AK41" s="244">
        <f t="shared" si="9"/>
        <v>1</v>
      </c>
      <c r="AL41" s="244">
        <f t="shared" si="10"/>
        <v>1</v>
      </c>
      <c r="AM41" s="244">
        <f t="shared" si="11"/>
        <v>1</v>
      </c>
      <c r="AN41" s="244">
        <f t="shared" si="12"/>
        <v>1</v>
      </c>
      <c r="AO41" s="244">
        <f t="shared" si="13"/>
        <v>1</v>
      </c>
      <c r="AP41" s="244">
        <f t="shared" si="14"/>
        <v>1</v>
      </c>
      <c r="AQ41" s="244">
        <f t="shared" si="15"/>
        <v>1</v>
      </c>
      <c r="AR41" s="244">
        <f t="shared" si="16"/>
        <v>1</v>
      </c>
      <c r="AS41" s="244">
        <f t="shared" si="17"/>
        <v>1</v>
      </c>
      <c r="AT41" s="244">
        <f t="shared" si="18"/>
        <v>1</v>
      </c>
      <c r="AU41" s="244">
        <f t="shared" si="19"/>
        <v>1</v>
      </c>
      <c r="AV41" s="244">
        <f t="shared" si="20"/>
        <v>1</v>
      </c>
      <c r="AW41" s="244">
        <f t="shared" si="21"/>
        <v>1</v>
      </c>
      <c r="AX41" s="244">
        <f t="shared" si="22"/>
        <v>1</v>
      </c>
      <c r="AY41" s="244">
        <f t="shared" si="23"/>
        <v>1</v>
      </c>
      <c r="AZ41" s="244">
        <f t="shared" si="24"/>
        <v>1</v>
      </c>
      <c r="BA41" s="244">
        <f t="shared" si="25"/>
        <v>1</v>
      </c>
      <c r="BB41" s="244">
        <f t="shared" si="26"/>
        <v>1</v>
      </c>
      <c r="BC41" s="244">
        <f t="shared" si="27"/>
        <v>1</v>
      </c>
      <c r="BD41" s="244">
        <f t="shared" si="28"/>
        <v>1</v>
      </c>
      <c r="BE41" s="244">
        <f t="shared" si="29"/>
        <v>1</v>
      </c>
      <c r="BF41" s="244">
        <f t="shared" si="30"/>
        <v>1</v>
      </c>
      <c r="BG41" s="244">
        <f t="shared" si="31"/>
        <v>1</v>
      </c>
    </row>
    <row r="42" spans="1:59" ht="45.75" customHeight="1" x14ac:dyDescent="0.25">
      <c r="A42" s="415"/>
      <c r="B42" s="416">
        <f t="shared" si="1"/>
        <v>12</v>
      </c>
      <c r="C42" s="417" t="str">
        <f>IF('תנאי סף'!AO42&lt;&gt;1,"",'תנאי סף'!F42)</f>
        <v>שורולה</v>
      </c>
      <c r="D42" s="418">
        <f>'מספר הרצות'!Z42</f>
        <v>1.1749925433165519E-2</v>
      </c>
      <c r="E42" s="418">
        <f>'מספר מבצעים בתשלום'!Z42</f>
        <v>2.0226537216828482E-2</v>
      </c>
      <c r="F42" s="418">
        <f>'מיקום ההרצות'!Z42</f>
        <v>4.4692737430167594E-3</v>
      </c>
      <c r="G42" s="418">
        <f>'רמה מקצועית ואמנותית'!Z42</f>
        <v>1.8535681186283594E-2</v>
      </c>
      <c r="H42" s="418">
        <f>'מיקום גיאוגרפי'!AB42</f>
        <v>0</v>
      </c>
      <c r="I42" s="418">
        <f>תקציב!Z42</f>
        <v>2.4539877300613498E-2</v>
      </c>
      <c r="J42" s="418">
        <f>'עידוד יצירה ישראלית'!Z42</f>
        <v>0</v>
      </c>
      <c r="K42" s="418">
        <f>תיעוד!$Z42</f>
        <v>1.4705882352941176E-2</v>
      </c>
      <c r="L42" s="418"/>
      <c r="M42" s="418"/>
      <c r="N42" s="418"/>
      <c r="O42" s="418"/>
      <c r="P42" s="418"/>
      <c r="Q42" s="418"/>
      <c r="R42" s="419"/>
      <c r="S42" s="419"/>
      <c r="T42" s="419"/>
      <c r="U42" s="419"/>
      <c r="V42" s="419"/>
      <c r="W42" s="419"/>
      <c r="X42" s="419"/>
      <c r="Y42" s="419"/>
      <c r="Z42" s="419"/>
      <c r="AA42" s="419"/>
      <c r="AB42" s="419"/>
      <c r="AC42" s="419"/>
      <c r="AD42" s="419">
        <f t="shared" si="2"/>
        <v>1.2811853929951423E-2</v>
      </c>
      <c r="AE42" s="419">
        <f t="shared" si="3"/>
        <v>1.2811853929951426E-2</v>
      </c>
      <c r="AF42" s="420">
        <f t="shared" si="4"/>
        <v>39413.96463892288</v>
      </c>
      <c r="AG42" s="244">
        <f t="shared" si="5"/>
        <v>1</v>
      </c>
      <c r="AH42" s="244">
        <f t="shared" si="6"/>
        <v>1</v>
      </c>
      <c r="AI42" s="244">
        <f t="shared" si="7"/>
        <v>1</v>
      </c>
      <c r="AJ42" s="244">
        <f t="shared" si="8"/>
        <v>1</v>
      </c>
      <c r="AK42" s="244">
        <f t="shared" si="9"/>
        <v>1</v>
      </c>
      <c r="AL42" s="244">
        <f t="shared" si="10"/>
        <v>1</v>
      </c>
      <c r="AM42" s="244">
        <f t="shared" si="11"/>
        <v>1</v>
      </c>
      <c r="AN42" s="244">
        <f t="shared" si="12"/>
        <v>1</v>
      </c>
      <c r="AO42" s="244">
        <f t="shared" si="13"/>
        <v>1</v>
      </c>
      <c r="AP42" s="244">
        <f t="shared" si="14"/>
        <v>1</v>
      </c>
      <c r="AQ42" s="244">
        <f t="shared" si="15"/>
        <v>1</v>
      </c>
      <c r="AR42" s="244">
        <f t="shared" si="16"/>
        <v>1</v>
      </c>
      <c r="AS42" s="244">
        <f t="shared" si="17"/>
        <v>1</v>
      </c>
      <c r="AT42" s="244">
        <f t="shared" si="18"/>
        <v>1</v>
      </c>
      <c r="AU42" s="244">
        <f t="shared" si="19"/>
        <v>1</v>
      </c>
      <c r="AV42" s="244">
        <f t="shared" si="20"/>
        <v>1</v>
      </c>
      <c r="AW42" s="244">
        <f t="shared" si="21"/>
        <v>1</v>
      </c>
      <c r="AX42" s="244">
        <f t="shared" si="22"/>
        <v>1</v>
      </c>
      <c r="AY42" s="244">
        <f t="shared" si="23"/>
        <v>1</v>
      </c>
      <c r="AZ42" s="244">
        <f t="shared" si="24"/>
        <v>1</v>
      </c>
      <c r="BA42" s="244">
        <f t="shared" si="25"/>
        <v>1</v>
      </c>
      <c r="BB42" s="244">
        <f t="shared" si="26"/>
        <v>1</v>
      </c>
      <c r="BC42" s="244">
        <f t="shared" si="27"/>
        <v>1</v>
      </c>
      <c r="BD42" s="244">
        <f t="shared" si="28"/>
        <v>1</v>
      </c>
      <c r="BE42" s="244">
        <f t="shared" si="29"/>
        <v>1</v>
      </c>
      <c r="BF42" s="244">
        <f t="shared" si="30"/>
        <v>1</v>
      </c>
      <c r="BG42" s="244">
        <f t="shared" si="31"/>
        <v>1</v>
      </c>
    </row>
    <row r="43" spans="1:59" ht="45.75" hidden="1" customHeight="1" x14ac:dyDescent="0.25">
      <c r="A43" s="415"/>
      <c r="B43" s="416" t="str">
        <f t="shared" si="1"/>
        <v/>
      </c>
      <c r="C43" s="417" t="str">
        <f>IF('תנאי סף'!AO43&lt;&gt;1,"",'תנאי סף'!F43)</f>
        <v/>
      </c>
      <c r="D43" s="418" t="str">
        <f>'מספר הרצות'!Z43</f>
        <v/>
      </c>
      <c r="E43" s="418" t="str">
        <f>'מספר מבצעים בתשלום'!Z43</f>
        <v/>
      </c>
      <c r="F43" s="418" t="str">
        <f>'מיקום ההרצות'!Z43</f>
        <v/>
      </c>
      <c r="G43" s="418" t="str">
        <f>'רמה מקצועית ואמנותית'!Z43</f>
        <v/>
      </c>
      <c r="H43" s="418" t="str">
        <f>'מיקום גיאוגרפי'!AB43</f>
        <v/>
      </c>
      <c r="I43" s="418" t="str">
        <f>תקציב!Z43</f>
        <v/>
      </c>
      <c r="J43" s="418" t="str">
        <f>'עידוד יצירה ישראלית'!Z43</f>
        <v/>
      </c>
      <c r="K43" s="418" t="str">
        <f>תיעוד!$Z43</f>
        <v/>
      </c>
      <c r="L43" s="418"/>
      <c r="M43" s="418"/>
      <c r="N43" s="418"/>
      <c r="O43" s="418"/>
      <c r="P43" s="418"/>
      <c r="Q43" s="418"/>
      <c r="R43" s="419"/>
      <c r="S43" s="419"/>
      <c r="T43" s="419"/>
      <c r="U43" s="419"/>
      <c r="V43" s="419"/>
      <c r="W43" s="419"/>
      <c r="X43" s="419"/>
      <c r="Y43" s="419"/>
      <c r="Z43" s="419"/>
      <c r="AA43" s="419"/>
      <c r="AB43" s="419"/>
      <c r="AC43" s="419"/>
      <c r="AD43" s="419" t="str">
        <f t="shared" si="2"/>
        <v/>
      </c>
      <c r="AE43" s="419" t="str">
        <f t="shared" si="3"/>
        <v/>
      </c>
      <c r="AF43" s="420" t="str">
        <f t="shared" si="4"/>
        <v/>
      </c>
      <c r="AG43" s="244">
        <f t="shared" si="5"/>
        <v>1</v>
      </c>
      <c r="AH43" s="244">
        <f t="shared" si="6"/>
        <v>1</v>
      </c>
      <c r="AI43" s="244">
        <f t="shared" si="7"/>
        <v>1</v>
      </c>
      <c r="AJ43" s="244">
        <f t="shared" si="8"/>
        <v>1</v>
      </c>
      <c r="AK43" s="244">
        <f t="shared" si="9"/>
        <v>1</v>
      </c>
      <c r="AL43" s="244">
        <f t="shared" si="10"/>
        <v>1</v>
      </c>
      <c r="AM43" s="244">
        <f t="shared" si="11"/>
        <v>1</v>
      </c>
      <c r="AN43" s="244">
        <f t="shared" si="12"/>
        <v>1</v>
      </c>
      <c r="AO43" s="244">
        <f t="shared" si="13"/>
        <v>1</v>
      </c>
      <c r="AP43" s="244">
        <f t="shared" si="14"/>
        <v>1</v>
      </c>
      <c r="AQ43" s="244">
        <f t="shared" si="15"/>
        <v>1</v>
      </c>
      <c r="AR43" s="244">
        <f t="shared" si="16"/>
        <v>1</v>
      </c>
      <c r="AS43" s="244">
        <f t="shared" si="17"/>
        <v>1</v>
      </c>
      <c r="AT43" s="244">
        <f t="shared" si="18"/>
        <v>1</v>
      </c>
      <c r="AU43" s="244">
        <f t="shared" si="19"/>
        <v>1</v>
      </c>
      <c r="AV43" s="244">
        <f t="shared" si="20"/>
        <v>1</v>
      </c>
      <c r="AW43" s="244">
        <f t="shared" si="21"/>
        <v>1</v>
      </c>
      <c r="AX43" s="244">
        <f t="shared" si="22"/>
        <v>1</v>
      </c>
      <c r="AY43" s="244">
        <f t="shared" si="23"/>
        <v>1</v>
      </c>
      <c r="AZ43" s="244">
        <f t="shared" si="24"/>
        <v>1</v>
      </c>
      <c r="BA43" s="244">
        <f t="shared" si="25"/>
        <v>1</v>
      </c>
      <c r="BB43" s="244">
        <f t="shared" si="26"/>
        <v>1</v>
      </c>
      <c r="BC43" s="244">
        <f t="shared" si="27"/>
        <v>1</v>
      </c>
      <c r="BD43" s="244">
        <f t="shared" si="28"/>
        <v>1</v>
      </c>
      <c r="BE43" s="244">
        <f t="shared" si="29"/>
        <v>1</v>
      </c>
      <c r="BF43" s="244">
        <f t="shared" si="30"/>
        <v>1</v>
      </c>
      <c r="BG43" s="244">
        <f t="shared" si="31"/>
        <v>1</v>
      </c>
    </row>
    <row r="44" spans="1:59" ht="45.75" hidden="1" customHeight="1" x14ac:dyDescent="0.25">
      <c r="A44" s="415"/>
      <c r="B44" s="416" t="str">
        <f t="shared" si="1"/>
        <v/>
      </c>
      <c r="C44" s="417" t="str">
        <f>IF('תנאי סף'!AO44&lt;&gt;1,"",'תנאי סף'!F44)</f>
        <v/>
      </c>
      <c r="D44" s="418" t="str">
        <f>'מספר הרצות'!Z44</f>
        <v/>
      </c>
      <c r="E44" s="418" t="str">
        <f>'מספר מבצעים בתשלום'!Z44</f>
        <v/>
      </c>
      <c r="F44" s="418" t="str">
        <f>'מיקום ההרצות'!Z44</f>
        <v/>
      </c>
      <c r="G44" s="418" t="str">
        <f>'רמה מקצועית ואמנותית'!Z44</f>
        <v/>
      </c>
      <c r="H44" s="418" t="str">
        <f>'מיקום גיאוגרפי'!AB44</f>
        <v/>
      </c>
      <c r="I44" s="418" t="str">
        <f>תקציב!Z44</f>
        <v/>
      </c>
      <c r="J44" s="418" t="str">
        <f>'עידוד יצירה ישראלית'!Z44</f>
        <v/>
      </c>
      <c r="K44" s="418" t="str">
        <f>תיעוד!$Z44</f>
        <v/>
      </c>
      <c r="L44" s="418"/>
      <c r="M44" s="418"/>
      <c r="N44" s="418"/>
      <c r="O44" s="418"/>
      <c r="P44" s="418"/>
      <c r="Q44" s="418"/>
      <c r="R44" s="419"/>
      <c r="S44" s="419"/>
      <c r="T44" s="419"/>
      <c r="U44" s="419"/>
      <c r="V44" s="419"/>
      <c r="W44" s="419"/>
      <c r="X44" s="419"/>
      <c r="Y44" s="419"/>
      <c r="Z44" s="419"/>
      <c r="AA44" s="419"/>
      <c r="AB44" s="419"/>
      <c r="AC44" s="419"/>
      <c r="AD44" s="419" t="str">
        <f t="shared" si="2"/>
        <v/>
      </c>
      <c r="AE44" s="419" t="str">
        <f t="shared" si="3"/>
        <v/>
      </c>
      <c r="AF44" s="420" t="str">
        <f t="shared" si="4"/>
        <v/>
      </c>
      <c r="AG44" s="244">
        <f t="shared" si="5"/>
        <v>1</v>
      </c>
      <c r="AH44" s="244">
        <f t="shared" si="6"/>
        <v>1</v>
      </c>
      <c r="AI44" s="244">
        <f t="shared" si="7"/>
        <v>1</v>
      </c>
      <c r="AJ44" s="244">
        <f t="shared" si="8"/>
        <v>1</v>
      </c>
      <c r="AK44" s="244">
        <f t="shared" si="9"/>
        <v>1</v>
      </c>
      <c r="AL44" s="244">
        <f t="shared" si="10"/>
        <v>1</v>
      </c>
      <c r="AM44" s="244">
        <f t="shared" si="11"/>
        <v>1</v>
      </c>
      <c r="AN44" s="244">
        <f t="shared" si="12"/>
        <v>1</v>
      </c>
      <c r="AO44" s="244">
        <f t="shared" si="13"/>
        <v>1</v>
      </c>
      <c r="AP44" s="244">
        <f t="shared" si="14"/>
        <v>1</v>
      </c>
      <c r="AQ44" s="244">
        <f t="shared" si="15"/>
        <v>1</v>
      </c>
      <c r="AR44" s="244">
        <f t="shared" si="16"/>
        <v>1</v>
      </c>
      <c r="AS44" s="244">
        <f t="shared" si="17"/>
        <v>1</v>
      </c>
      <c r="AT44" s="244">
        <f t="shared" si="18"/>
        <v>1</v>
      </c>
      <c r="AU44" s="244">
        <f t="shared" si="19"/>
        <v>1</v>
      </c>
      <c r="AV44" s="244">
        <f t="shared" si="20"/>
        <v>1</v>
      </c>
      <c r="AW44" s="244">
        <f t="shared" si="21"/>
        <v>1</v>
      </c>
      <c r="AX44" s="244">
        <f t="shared" si="22"/>
        <v>1</v>
      </c>
      <c r="AY44" s="244">
        <f t="shared" si="23"/>
        <v>1</v>
      </c>
      <c r="AZ44" s="244">
        <f t="shared" si="24"/>
        <v>1</v>
      </c>
      <c r="BA44" s="244">
        <f t="shared" si="25"/>
        <v>1</v>
      </c>
      <c r="BB44" s="244">
        <f t="shared" si="26"/>
        <v>1</v>
      </c>
      <c r="BC44" s="244">
        <f t="shared" si="27"/>
        <v>1</v>
      </c>
      <c r="BD44" s="244">
        <f t="shared" si="28"/>
        <v>1</v>
      </c>
      <c r="BE44" s="244">
        <f t="shared" si="29"/>
        <v>1</v>
      </c>
      <c r="BF44" s="244">
        <f t="shared" si="30"/>
        <v>1</v>
      </c>
      <c r="BG44" s="244">
        <f t="shared" si="31"/>
        <v>1</v>
      </c>
    </row>
    <row r="45" spans="1:59" ht="45.75" customHeight="1" x14ac:dyDescent="0.25">
      <c r="A45" s="415"/>
      <c r="B45" s="416" t="str">
        <f t="shared" si="1"/>
        <v/>
      </c>
      <c r="C45" s="417" t="str">
        <f>IF('תנאי סף'!AO45&lt;&gt;1,"",'תנאי סף'!F45)</f>
        <v/>
      </c>
      <c r="D45" s="418" t="str">
        <f>'מספר הרצות'!Z45</f>
        <v/>
      </c>
      <c r="E45" s="418" t="str">
        <f>'מספר מבצעים בתשלום'!Z45</f>
        <v/>
      </c>
      <c r="F45" s="418" t="str">
        <f>'מיקום ההרצות'!Z45</f>
        <v/>
      </c>
      <c r="G45" s="418" t="str">
        <f>'רמה מקצועית ואמנותית'!Z45</f>
        <v/>
      </c>
      <c r="H45" s="418" t="str">
        <f>'מיקום גיאוגרפי'!AB45</f>
        <v/>
      </c>
      <c r="I45" s="418" t="str">
        <f>תקציב!Z45</f>
        <v/>
      </c>
      <c r="J45" s="418" t="str">
        <f>'עידוד יצירה ישראלית'!Z45</f>
        <v/>
      </c>
      <c r="K45" s="418" t="str">
        <f>תיעוד!$Z45</f>
        <v/>
      </c>
      <c r="L45" s="418"/>
      <c r="M45" s="418"/>
      <c r="N45" s="418"/>
      <c r="O45" s="418"/>
      <c r="P45" s="418"/>
      <c r="Q45" s="418"/>
      <c r="R45" s="419"/>
      <c r="S45" s="419"/>
      <c r="T45" s="419"/>
      <c r="U45" s="419"/>
      <c r="V45" s="419"/>
      <c r="W45" s="419"/>
      <c r="X45" s="419"/>
      <c r="Y45" s="419"/>
      <c r="Z45" s="419"/>
      <c r="AA45" s="419"/>
      <c r="AB45" s="419"/>
      <c r="AC45" s="419"/>
      <c r="AD45" s="419" t="str">
        <f t="shared" si="2"/>
        <v/>
      </c>
      <c r="AE45" s="419" t="str">
        <f t="shared" si="3"/>
        <v/>
      </c>
      <c r="AF45" s="420" t="str">
        <f t="shared" si="4"/>
        <v/>
      </c>
      <c r="AG45" s="244">
        <f t="shared" si="5"/>
        <v>1</v>
      </c>
      <c r="AH45" s="244">
        <f t="shared" si="6"/>
        <v>1</v>
      </c>
      <c r="AI45" s="244">
        <f t="shared" si="7"/>
        <v>1</v>
      </c>
      <c r="AJ45" s="244">
        <f t="shared" si="8"/>
        <v>1</v>
      </c>
      <c r="AK45" s="244">
        <f t="shared" si="9"/>
        <v>1</v>
      </c>
      <c r="AL45" s="244">
        <f t="shared" si="10"/>
        <v>1</v>
      </c>
      <c r="AM45" s="244">
        <f t="shared" si="11"/>
        <v>1</v>
      </c>
      <c r="AN45" s="244">
        <f t="shared" si="12"/>
        <v>1</v>
      </c>
      <c r="AO45" s="244">
        <f t="shared" si="13"/>
        <v>1</v>
      </c>
      <c r="AP45" s="244">
        <f t="shared" si="14"/>
        <v>1</v>
      </c>
      <c r="AQ45" s="244">
        <f t="shared" si="15"/>
        <v>1</v>
      </c>
      <c r="AR45" s="244">
        <f t="shared" si="16"/>
        <v>1</v>
      </c>
      <c r="AS45" s="244">
        <f t="shared" si="17"/>
        <v>1</v>
      </c>
      <c r="AT45" s="244">
        <f t="shared" si="18"/>
        <v>1</v>
      </c>
      <c r="AU45" s="244">
        <f t="shared" si="19"/>
        <v>1</v>
      </c>
      <c r="AV45" s="244">
        <f t="shared" si="20"/>
        <v>1</v>
      </c>
      <c r="AW45" s="244">
        <f t="shared" si="21"/>
        <v>1</v>
      </c>
      <c r="AX45" s="244">
        <f t="shared" si="22"/>
        <v>1</v>
      </c>
      <c r="AY45" s="244">
        <f t="shared" si="23"/>
        <v>1</v>
      </c>
      <c r="AZ45" s="244">
        <f t="shared" si="24"/>
        <v>1</v>
      </c>
      <c r="BA45" s="244">
        <f t="shared" si="25"/>
        <v>1</v>
      </c>
      <c r="BB45" s="244">
        <f t="shared" si="26"/>
        <v>1</v>
      </c>
      <c r="BC45" s="244">
        <f t="shared" si="27"/>
        <v>1</v>
      </c>
      <c r="BD45" s="244">
        <f t="shared" si="28"/>
        <v>1</v>
      </c>
      <c r="BE45" s="244">
        <f t="shared" si="29"/>
        <v>1</v>
      </c>
      <c r="BF45" s="244">
        <f t="shared" si="30"/>
        <v>1</v>
      </c>
      <c r="BG45" s="244">
        <f t="shared" si="31"/>
        <v>1</v>
      </c>
    </row>
    <row r="46" spans="1:59" ht="45.75" customHeight="1" x14ac:dyDescent="0.25">
      <c r="A46" s="415"/>
      <c r="B46" s="416" t="str">
        <f t="shared" si="1"/>
        <v/>
      </c>
      <c r="C46" s="417" t="str">
        <f>IF('תנאי סף'!AO46&lt;&gt;1,"",'תנאי סף'!F46)</f>
        <v/>
      </c>
      <c r="D46" s="418" t="str">
        <f>'מספר הרצות'!Z46</f>
        <v/>
      </c>
      <c r="E46" s="418" t="str">
        <f>'מספר מבצעים בתשלום'!Z46</f>
        <v/>
      </c>
      <c r="F46" s="418" t="str">
        <f>'מיקום ההרצות'!Z46</f>
        <v/>
      </c>
      <c r="G46" s="418" t="str">
        <f>'רמה מקצועית ואמנותית'!Z46</f>
        <v/>
      </c>
      <c r="H46" s="418" t="str">
        <f>'מיקום גיאוגרפי'!AB46</f>
        <v/>
      </c>
      <c r="I46" s="418" t="str">
        <f>תקציב!Z46</f>
        <v/>
      </c>
      <c r="J46" s="418" t="str">
        <f>'עידוד יצירה ישראלית'!Z46</f>
        <v/>
      </c>
      <c r="K46" s="418" t="str">
        <f>תיעוד!$Z46</f>
        <v/>
      </c>
      <c r="L46" s="418"/>
      <c r="M46" s="418"/>
      <c r="N46" s="418"/>
      <c r="O46" s="418"/>
      <c r="P46" s="418"/>
      <c r="Q46" s="418"/>
      <c r="R46" s="419"/>
      <c r="S46" s="419"/>
      <c r="T46" s="419"/>
      <c r="U46" s="419"/>
      <c r="V46" s="419"/>
      <c r="W46" s="419"/>
      <c r="X46" s="419"/>
      <c r="Y46" s="419"/>
      <c r="Z46" s="419"/>
      <c r="AA46" s="419"/>
      <c r="AB46" s="419"/>
      <c r="AC46" s="419"/>
      <c r="AD46" s="419" t="str">
        <f t="shared" si="2"/>
        <v/>
      </c>
      <c r="AE46" s="419" t="str">
        <f t="shared" si="3"/>
        <v/>
      </c>
      <c r="AF46" s="420" t="str">
        <f t="shared" si="4"/>
        <v/>
      </c>
      <c r="AG46" s="244">
        <f t="shared" si="5"/>
        <v>1</v>
      </c>
      <c r="AH46" s="244">
        <f t="shared" si="6"/>
        <v>1</v>
      </c>
      <c r="AI46" s="244">
        <f t="shared" si="7"/>
        <v>1</v>
      </c>
      <c r="AJ46" s="244">
        <f t="shared" si="8"/>
        <v>1</v>
      </c>
      <c r="AK46" s="244">
        <f t="shared" si="9"/>
        <v>1</v>
      </c>
      <c r="AL46" s="244">
        <f t="shared" si="10"/>
        <v>1</v>
      </c>
      <c r="AM46" s="244">
        <f t="shared" si="11"/>
        <v>1</v>
      </c>
      <c r="AN46" s="244">
        <f t="shared" si="12"/>
        <v>1</v>
      </c>
      <c r="AO46" s="244">
        <f t="shared" si="13"/>
        <v>1</v>
      </c>
      <c r="AP46" s="244">
        <f t="shared" si="14"/>
        <v>1</v>
      </c>
      <c r="AQ46" s="244">
        <f t="shared" si="15"/>
        <v>1</v>
      </c>
      <c r="AR46" s="244">
        <f t="shared" si="16"/>
        <v>1</v>
      </c>
      <c r="AS46" s="244">
        <f t="shared" si="17"/>
        <v>1</v>
      </c>
      <c r="AT46" s="244">
        <f t="shared" si="18"/>
        <v>1</v>
      </c>
      <c r="AU46" s="244">
        <f t="shared" si="19"/>
        <v>1</v>
      </c>
      <c r="AV46" s="244">
        <f t="shared" si="20"/>
        <v>1</v>
      </c>
      <c r="AW46" s="244">
        <f t="shared" si="21"/>
        <v>1</v>
      </c>
      <c r="AX46" s="244">
        <f t="shared" si="22"/>
        <v>1</v>
      </c>
      <c r="AY46" s="244">
        <f t="shared" si="23"/>
        <v>1</v>
      </c>
      <c r="AZ46" s="244">
        <f t="shared" si="24"/>
        <v>1</v>
      </c>
      <c r="BA46" s="244">
        <f t="shared" si="25"/>
        <v>1</v>
      </c>
      <c r="BB46" s="244">
        <f t="shared" si="26"/>
        <v>1</v>
      </c>
      <c r="BC46" s="244">
        <f t="shared" si="27"/>
        <v>1</v>
      </c>
      <c r="BD46" s="244">
        <f t="shared" si="28"/>
        <v>1</v>
      </c>
      <c r="BE46" s="244">
        <f t="shared" si="29"/>
        <v>1</v>
      </c>
      <c r="BF46" s="244">
        <f t="shared" si="30"/>
        <v>1</v>
      </c>
      <c r="BG46" s="244">
        <f t="shared" si="31"/>
        <v>1</v>
      </c>
    </row>
    <row r="47" spans="1:59" ht="45.75" customHeight="1" x14ac:dyDescent="0.25">
      <c r="A47" s="415"/>
      <c r="B47" s="416">
        <f t="shared" si="1"/>
        <v>17</v>
      </c>
      <c r="C47" s="417" t="str">
        <f>IF('תנאי סף'!AO47&lt;&gt;1,"",'תנאי סף'!F47)</f>
        <v>הרכב עמית פרידמן</v>
      </c>
      <c r="D47" s="418">
        <f>'מספר הרצות'!Z47</f>
        <v>5.6399642079194498E-2</v>
      </c>
      <c r="E47" s="418">
        <f>'מספר מבצעים בתשלום'!Z47</f>
        <v>6.4724919093851136E-3</v>
      </c>
      <c r="F47" s="418">
        <f>'מיקום ההרצות'!Z47</f>
        <v>3.0167597765363128E-2</v>
      </c>
      <c r="G47" s="418">
        <f>'רמה מקצועית ואמנותית'!Z47</f>
        <v>2.9657089898053754E-2</v>
      </c>
      <c r="H47" s="418">
        <f>'מיקום גיאוגרפי'!AB47</f>
        <v>0</v>
      </c>
      <c r="I47" s="418">
        <f>תקציב!Z47</f>
        <v>2.4539877300613498E-2</v>
      </c>
      <c r="J47" s="418">
        <f>'עידוד יצירה ישראלית'!Z47</f>
        <v>3.7414965986394558E-2</v>
      </c>
      <c r="K47" s="418">
        <f>תיעוד!$Z47</f>
        <v>1.4705882352941176E-2</v>
      </c>
      <c r="L47" s="418"/>
      <c r="M47" s="418"/>
      <c r="N47" s="418"/>
      <c r="O47" s="418"/>
      <c r="P47" s="418"/>
      <c r="Q47" s="418"/>
      <c r="R47" s="419"/>
      <c r="S47" s="419"/>
      <c r="T47" s="419"/>
      <c r="U47" s="419"/>
      <c r="V47" s="419"/>
      <c r="W47" s="419"/>
      <c r="X47" s="419"/>
      <c r="Y47" s="419"/>
      <c r="Z47" s="419"/>
      <c r="AA47" s="419"/>
      <c r="AB47" s="419"/>
      <c r="AC47" s="419"/>
      <c r="AD47" s="419">
        <f t="shared" si="2"/>
        <v>2.697052850530816E-2</v>
      </c>
      <c r="AE47" s="419">
        <f t="shared" si="3"/>
        <v>2.6970528505308171E-2</v>
      </c>
      <c r="AF47" s="420">
        <f t="shared" si="4"/>
        <v>82971.243866289384</v>
      </c>
      <c r="AG47" s="244">
        <f t="shared" si="5"/>
        <v>1</v>
      </c>
      <c r="AH47" s="244">
        <f t="shared" si="6"/>
        <v>1</v>
      </c>
      <c r="AI47" s="244">
        <f t="shared" si="7"/>
        <v>1</v>
      </c>
      <c r="AJ47" s="244">
        <f t="shared" si="8"/>
        <v>1</v>
      </c>
      <c r="AK47" s="244">
        <f t="shared" si="9"/>
        <v>1</v>
      </c>
      <c r="AL47" s="244">
        <f t="shared" si="10"/>
        <v>1</v>
      </c>
      <c r="AM47" s="244">
        <f t="shared" si="11"/>
        <v>1</v>
      </c>
      <c r="AN47" s="244">
        <f t="shared" si="12"/>
        <v>1</v>
      </c>
      <c r="AO47" s="244">
        <f t="shared" si="13"/>
        <v>1</v>
      </c>
      <c r="AP47" s="244">
        <f t="shared" si="14"/>
        <v>1</v>
      </c>
      <c r="AQ47" s="244">
        <f t="shared" si="15"/>
        <v>1</v>
      </c>
      <c r="AR47" s="244">
        <f t="shared" si="16"/>
        <v>1</v>
      </c>
      <c r="AS47" s="244">
        <f t="shared" si="17"/>
        <v>1</v>
      </c>
      <c r="AT47" s="244">
        <f t="shared" si="18"/>
        <v>1</v>
      </c>
      <c r="AU47" s="244">
        <f t="shared" si="19"/>
        <v>1</v>
      </c>
      <c r="AV47" s="244">
        <f t="shared" si="20"/>
        <v>1</v>
      </c>
      <c r="AW47" s="244">
        <f t="shared" si="21"/>
        <v>1</v>
      </c>
      <c r="AX47" s="244">
        <f t="shared" si="22"/>
        <v>1</v>
      </c>
      <c r="AY47" s="244">
        <f t="shared" si="23"/>
        <v>1</v>
      </c>
      <c r="AZ47" s="244">
        <f t="shared" si="24"/>
        <v>1</v>
      </c>
      <c r="BA47" s="244">
        <f t="shared" si="25"/>
        <v>1</v>
      </c>
      <c r="BB47" s="244">
        <f t="shared" si="26"/>
        <v>1</v>
      </c>
      <c r="BC47" s="244">
        <f t="shared" si="27"/>
        <v>1</v>
      </c>
      <c r="BD47" s="244">
        <f t="shared" si="28"/>
        <v>1</v>
      </c>
      <c r="BE47" s="244">
        <f t="shared" si="29"/>
        <v>1</v>
      </c>
      <c r="BF47" s="244">
        <f t="shared" si="30"/>
        <v>1</v>
      </c>
      <c r="BG47" s="244">
        <f t="shared" si="31"/>
        <v>1</v>
      </c>
    </row>
    <row r="48" spans="1:59" ht="45.75" hidden="1" customHeight="1" x14ac:dyDescent="0.25">
      <c r="A48" s="415"/>
      <c r="B48" s="416" t="str">
        <f t="shared" si="1"/>
        <v/>
      </c>
      <c r="C48" s="417" t="str">
        <f>IF('תנאי סף'!AO48&lt;&gt;1,"",'תנאי סף'!F48)</f>
        <v/>
      </c>
      <c r="D48" s="418" t="str">
        <f>'מספר הרצות'!Z48</f>
        <v/>
      </c>
      <c r="E48" s="418" t="str">
        <f>'מספר מבצעים בתשלום'!Z48</f>
        <v/>
      </c>
      <c r="F48" s="418" t="str">
        <f>'מיקום ההרצות'!Z48</f>
        <v/>
      </c>
      <c r="G48" s="418" t="str">
        <f>'רמה מקצועית ואמנותית'!Z48</f>
        <v/>
      </c>
      <c r="H48" s="418" t="str">
        <f>'מיקום גיאוגרפי'!AB48</f>
        <v/>
      </c>
      <c r="I48" s="418" t="str">
        <f>תקציב!Z48</f>
        <v/>
      </c>
      <c r="J48" s="418" t="str">
        <f>'עידוד יצירה ישראלית'!Z48</f>
        <v/>
      </c>
      <c r="K48" s="418" t="str">
        <f>תיעוד!$Z48</f>
        <v/>
      </c>
      <c r="L48" s="418"/>
      <c r="M48" s="418"/>
      <c r="N48" s="418"/>
      <c r="O48" s="418"/>
      <c r="P48" s="418"/>
      <c r="Q48" s="418"/>
      <c r="R48" s="419"/>
      <c r="S48" s="419"/>
      <c r="T48" s="419"/>
      <c r="U48" s="419"/>
      <c r="V48" s="419"/>
      <c r="W48" s="419"/>
      <c r="X48" s="419"/>
      <c r="Y48" s="419"/>
      <c r="Z48" s="419"/>
      <c r="AA48" s="419"/>
      <c r="AB48" s="419"/>
      <c r="AC48" s="419"/>
      <c r="AD48" s="419" t="str">
        <f t="shared" si="2"/>
        <v/>
      </c>
      <c r="AE48" s="419" t="str">
        <f t="shared" si="3"/>
        <v/>
      </c>
      <c r="AF48" s="420" t="str">
        <f t="shared" si="4"/>
        <v/>
      </c>
      <c r="AG48" s="244">
        <f t="shared" si="5"/>
        <v>1</v>
      </c>
      <c r="AH48" s="244">
        <f t="shared" si="6"/>
        <v>1</v>
      </c>
      <c r="AI48" s="244">
        <f t="shared" si="7"/>
        <v>1</v>
      </c>
      <c r="AJ48" s="244">
        <f t="shared" si="8"/>
        <v>1</v>
      </c>
      <c r="AK48" s="244">
        <f t="shared" si="9"/>
        <v>1</v>
      </c>
      <c r="AL48" s="244">
        <f t="shared" si="10"/>
        <v>1</v>
      </c>
      <c r="AM48" s="244">
        <f t="shared" si="11"/>
        <v>1</v>
      </c>
      <c r="AN48" s="244">
        <f t="shared" si="12"/>
        <v>1</v>
      </c>
      <c r="AO48" s="244">
        <f t="shared" si="13"/>
        <v>1</v>
      </c>
      <c r="AP48" s="244">
        <f t="shared" si="14"/>
        <v>1</v>
      </c>
      <c r="AQ48" s="244">
        <f t="shared" si="15"/>
        <v>1</v>
      </c>
      <c r="AR48" s="244">
        <f t="shared" si="16"/>
        <v>1</v>
      </c>
      <c r="AS48" s="244">
        <f t="shared" si="17"/>
        <v>1</v>
      </c>
      <c r="AT48" s="244">
        <f t="shared" si="18"/>
        <v>1</v>
      </c>
      <c r="AU48" s="244">
        <f t="shared" si="19"/>
        <v>1</v>
      </c>
      <c r="AV48" s="244">
        <f t="shared" si="20"/>
        <v>1</v>
      </c>
      <c r="AW48" s="244">
        <f t="shared" si="21"/>
        <v>1</v>
      </c>
      <c r="AX48" s="244">
        <f t="shared" si="22"/>
        <v>1</v>
      </c>
      <c r="AY48" s="244">
        <f t="shared" si="23"/>
        <v>1</v>
      </c>
      <c r="AZ48" s="244">
        <f t="shared" si="24"/>
        <v>1</v>
      </c>
      <c r="BA48" s="244">
        <f t="shared" si="25"/>
        <v>1</v>
      </c>
      <c r="BB48" s="244">
        <f t="shared" si="26"/>
        <v>1</v>
      </c>
      <c r="BC48" s="244">
        <f t="shared" si="27"/>
        <v>1</v>
      </c>
      <c r="BD48" s="244">
        <f t="shared" si="28"/>
        <v>1</v>
      </c>
      <c r="BE48" s="244">
        <f t="shared" si="29"/>
        <v>1</v>
      </c>
      <c r="BF48" s="244">
        <f t="shared" si="30"/>
        <v>1</v>
      </c>
      <c r="BG48" s="244">
        <f t="shared" si="31"/>
        <v>1</v>
      </c>
    </row>
    <row r="49" spans="1:59" ht="45.75" hidden="1" customHeight="1" x14ac:dyDescent="0.25">
      <c r="A49" s="415"/>
      <c r="B49" s="416" t="str">
        <f t="shared" si="1"/>
        <v/>
      </c>
      <c r="C49" s="417" t="str">
        <f>IF('תנאי סף'!AO49&lt;&gt;1,"",'תנאי סף'!F49)</f>
        <v/>
      </c>
      <c r="D49" s="418" t="str">
        <f>'מספר הרצות'!Z49</f>
        <v/>
      </c>
      <c r="E49" s="418" t="str">
        <f>'מספר מבצעים בתשלום'!Z49</f>
        <v/>
      </c>
      <c r="F49" s="418" t="str">
        <f>'מיקום ההרצות'!Z49</f>
        <v/>
      </c>
      <c r="G49" s="418" t="str">
        <f>'רמה מקצועית ואמנותית'!Z49</f>
        <v/>
      </c>
      <c r="H49" s="418" t="str">
        <f>'מיקום גיאוגרפי'!AB49</f>
        <v/>
      </c>
      <c r="I49" s="418" t="str">
        <f>תקציב!Z49</f>
        <v/>
      </c>
      <c r="J49" s="418" t="str">
        <f>'עידוד יצירה ישראלית'!Z49</f>
        <v/>
      </c>
      <c r="K49" s="418" t="str">
        <f>תיעוד!$Z49</f>
        <v/>
      </c>
      <c r="L49" s="418"/>
      <c r="M49" s="418"/>
      <c r="N49" s="418"/>
      <c r="O49" s="418"/>
      <c r="P49" s="418"/>
      <c r="Q49" s="418"/>
      <c r="R49" s="419"/>
      <c r="S49" s="419"/>
      <c r="T49" s="419"/>
      <c r="U49" s="419"/>
      <c r="V49" s="419"/>
      <c r="W49" s="419"/>
      <c r="X49" s="419"/>
      <c r="Y49" s="419"/>
      <c r="Z49" s="419"/>
      <c r="AA49" s="419"/>
      <c r="AB49" s="419"/>
      <c r="AC49" s="419"/>
      <c r="AD49" s="419" t="str">
        <f t="shared" si="2"/>
        <v/>
      </c>
      <c r="AE49" s="419" t="str">
        <f t="shared" si="3"/>
        <v/>
      </c>
      <c r="AF49" s="420" t="str">
        <f t="shared" si="4"/>
        <v/>
      </c>
      <c r="AG49" s="244">
        <f t="shared" si="5"/>
        <v>1</v>
      </c>
      <c r="AH49" s="244">
        <f t="shared" si="6"/>
        <v>1</v>
      </c>
      <c r="AI49" s="244">
        <f t="shared" si="7"/>
        <v>1</v>
      </c>
      <c r="AJ49" s="244">
        <f t="shared" si="8"/>
        <v>1</v>
      </c>
      <c r="AK49" s="244">
        <f t="shared" si="9"/>
        <v>1</v>
      </c>
      <c r="AL49" s="244">
        <f t="shared" si="10"/>
        <v>1</v>
      </c>
      <c r="AM49" s="244">
        <f t="shared" si="11"/>
        <v>1</v>
      </c>
      <c r="AN49" s="244">
        <f t="shared" si="12"/>
        <v>1</v>
      </c>
      <c r="AO49" s="244">
        <f t="shared" si="13"/>
        <v>1</v>
      </c>
      <c r="AP49" s="244">
        <f t="shared" si="14"/>
        <v>1</v>
      </c>
      <c r="AQ49" s="244">
        <f t="shared" si="15"/>
        <v>1</v>
      </c>
      <c r="AR49" s="244">
        <f t="shared" si="16"/>
        <v>1</v>
      </c>
      <c r="AS49" s="244">
        <f t="shared" si="17"/>
        <v>1</v>
      </c>
      <c r="AT49" s="244">
        <f t="shared" si="18"/>
        <v>1</v>
      </c>
      <c r="AU49" s="244">
        <f t="shared" si="19"/>
        <v>1</v>
      </c>
      <c r="AV49" s="244">
        <f t="shared" si="20"/>
        <v>1</v>
      </c>
      <c r="AW49" s="244">
        <f t="shared" si="21"/>
        <v>1</v>
      </c>
      <c r="AX49" s="244">
        <f t="shared" si="22"/>
        <v>1</v>
      </c>
      <c r="AY49" s="244">
        <f t="shared" si="23"/>
        <v>1</v>
      </c>
      <c r="AZ49" s="244">
        <f t="shared" si="24"/>
        <v>1</v>
      </c>
      <c r="BA49" s="244">
        <f t="shared" si="25"/>
        <v>1</v>
      </c>
      <c r="BB49" s="244">
        <f t="shared" si="26"/>
        <v>1</v>
      </c>
      <c r="BC49" s="244">
        <f t="shared" si="27"/>
        <v>1</v>
      </c>
      <c r="BD49" s="244">
        <f t="shared" si="28"/>
        <v>1</v>
      </c>
      <c r="BE49" s="244">
        <f t="shared" si="29"/>
        <v>1</v>
      </c>
      <c r="BF49" s="244">
        <f t="shared" si="30"/>
        <v>1</v>
      </c>
      <c r="BG49" s="244">
        <f t="shared" si="31"/>
        <v>1</v>
      </c>
    </row>
    <row r="50" spans="1:59" ht="45.75" hidden="1" customHeight="1" x14ac:dyDescent="0.25">
      <c r="A50" s="415"/>
      <c r="B50" s="416" t="str">
        <f t="shared" si="1"/>
        <v/>
      </c>
      <c r="C50" s="417" t="str">
        <f>IF('תנאי סף'!AO50&lt;&gt;1,"",'תנאי סף'!F50)</f>
        <v/>
      </c>
      <c r="D50" s="418" t="str">
        <f>'מספר הרצות'!Z50</f>
        <v/>
      </c>
      <c r="E50" s="418" t="str">
        <f>'מספר מבצעים בתשלום'!Z50</f>
        <v/>
      </c>
      <c r="F50" s="418" t="str">
        <f>'מיקום ההרצות'!Z50</f>
        <v/>
      </c>
      <c r="G50" s="418" t="str">
        <f>'רמה מקצועית ואמנותית'!Z50</f>
        <v/>
      </c>
      <c r="H50" s="418" t="str">
        <f>'מיקום גיאוגרפי'!AB50</f>
        <v/>
      </c>
      <c r="I50" s="418" t="str">
        <f>תקציב!Z50</f>
        <v/>
      </c>
      <c r="J50" s="418" t="str">
        <f>'עידוד יצירה ישראלית'!Z50</f>
        <v/>
      </c>
      <c r="K50" s="418" t="str">
        <f>תיעוד!$Z50</f>
        <v/>
      </c>
      <c r="L50" s="418"/>
      <c r="M50" s="418"/>
      <c r="N50" s="418"/>
      <c r="O50" s="418"/>
      <c r="P50" s="418"/>
      <c r="Q50" s="418"/>
      <c r="R50" s="419"/>
      <c r="S50" s="419"/>
      <c r="T50" s="419"/>
      <c r="U50" s="419"/>
      <c r="V50" s="419"/>
      <c r="W50" s="419"/>
      <c r="X50" s="419"/>
      <c r="Y50" s="419"/>
      <c r="Z50" s="419"/>
      <c r="AA50" s="419"/>
      <c r="AB50" s="419"/>
      <c r="AC50" s="419"/>
      <c r="AD50" s="419" t="str">
        <f t="shared" si="2"/>
        <v/>
      </c>
      <c r="AE50" s="419" t="str">
        <f t="shared" si="3"/>
        <v/>
      </c>
      <c r="AF50" s="420" t="str">
        <f t="shared" si="4"/>
        <v/>
      </c>
      <c r="AG50" s="244">
        <f t="shared" si="5"/>
        <v>1</v>
      </c>
      <c r="AH50" s="244">
        <f t="shared" si="6"/>
        <v>1</v>
      </c>
      <c r="AI50" s="244">
        <f t="shared" si="7"/>
        <v>1</v>
      </c>
      <c r="AJ50" s="244">
        <f t="shared" si="8"/>
        <v>1</v>
      </c>
      <c r="AK50" s="244">
        <f t="shared" si="9"/>
        <v>1</v>
      </c>
      <c r="AL50" s="244">
        <f t="shared" si="10"/>
        <v>1</v>
      </c>
      <c r="AM50" s="244">
        <f t="shared" si="11"/>
        <v>1</v>
      </c>
      <c r="AN50" s="244">
        <f t="shared" si="12"/>
        <v>1</v>
      </c>
      <c r="AO50" s="244">
        <f t="shared" si="13"/>
        <v>1</v>
      </c>
      <c r="AP50" s="244">
        <f t="shared" si="14"/>
        <v>1</v>
      </c>
      <c r="AQ50" s="244">
        <f t="shared" si="15"/>
        <v>1</v>
      </c>
      <c r="AR50" s="244">
        <f t="shared" si="16"/>
        <v>1</v>
      </c>
      <c r="AS50" s="244">
        <f t="shared" si="17"/>
        <v>1</v>
      </c>
      <c r="AT50" s="244">
        <f t="shared" si="18"/>
        <v>1</v>
      </c>
      <c r="AU50" s="244">
        <f t="shared" si="19"/>
        <v>1</v>
      </c>
      <c r="AV50" s="244">
        <f t="shared" si="20"/>
        <v>1</v>
      </c>
      <c r="AW50" s="244">
        <f t="shared" si="21"/>
        <v>1</v>
      </c>
      <c r="AX50" s="244">
        <f t="shared" si="22"/>
        <v>1</v>
      </c>
      <c r="AY50" s="244">
        <f t="shared" si="23"/>
        <v>1</v>
      </c>
      <c r="AZ50" s="244">
        <f t="shared" si="24"/>
        <v>1</v>
      </c>
      <c r="BA50" s="244">
        <f t="shared" si="25"/>
        <v>1</v>
      </c>
      <c r="BB50" s="244">
        <f t="shared" si="26"/>
        <v>1</v>
      </c>
      <c r="BC50" s="244">
        <f t="shared" si="27"/>
        <v>1</v>
      </c>
      <c r="BD50" s="244">
        <f t="shared" si="28"/>
        <v>1</v>
      </c>
      <c r="BE50" s="244">
        <f t="shared" si="29"/>
        <v>1</v>
      </c>
      <c r="BF50" s="244">
        <f t="shared" si="30"/>
        <v>1</v>
      </c>
      <c r="BG50" s="244">
        <f t="shared" si="31"/>
        <v>1</v>
      </c>
    </row>
    <row r="51" spans="1:59" ht="45.75" customHeight="1" x14ac:dyDescent="0.25">
      <c r="A51" s="415"/>
      <c r="B51" s="416">
        <f t="shared" si="1"/>
        <v>21</v>
      </c>
      <c r="C51" s="417" t="str">
        <f>IF('תנאי סף'!AO51&lt;&gt;1,"",'תנאי סף'!F51)</f>
        <v>חמישיית תל אביב לכלי נשיפה</v>
      </c>
      <c r="D51" s="418">
        <f>'מספר הרצות'!Z51</f>
        <v>6.0286155876318477E-2</v>
      </c>
      <c r="E51" s="418">
        <f>'מספר מבצעים בתשלום'!Z51</f>
        <v>4.0453074433656963E-2</v>
      </c>
      <c r="F51" s="418">
        <f>'מיקום ההרצות'!Z51</f>
        <v>5.5865921787709494E-2</v>
      </c>
      <c r="G51" s="418">
        <f>'רמה מקצועית ואמנותית'!Z51</f>
        <v>4.6339202965708988E-2</v>
      </c>
      <c r="H51" s="418">
        <f>'מיקום גיאוגרפי'!AB51</f>
        <v>0</v>
      </c>
      <c r="I51" s="418">
        <f>תקציב!Z51</f>
        <v>3.6809815950920248E-2</v>
      </c>
      <c r="J51" s="418">
        <f>'עידוד יצירה ישראלית'!Z51</f>
        <v>3.4013605442176869E-3</v>
      </c>
      <c r="K51" s="418">
        <f>תיעוד!$Z51</f>
        <v>4.4117647058823532E-2</v>
      </c>
      <c r="L51" s="418"/>
      <c r="M51" s="418"/>
      <c r="N51" s="418"/>
      <c r="O51" s="418"/>
      <c r="P51" s="418"/>
      <c r="Q51" s="418"/>
      <c r="R51" s="419"/>
      <c r="S51" s="419"/>
      <c r="T51" s="419"/>
      <c r="U51" s="419"/>
      <c r="V51" s="419"/>
      <c r="W51" s="419"/>
      <c r="X51" s="419"/>
      <c r="Y51" s="419"/>
      <c r="Z51" s="419"/>
      <c r="AA51" s="419"/>
      <c r="AB51" s="419"/>
      <c r="AC51" s="419"/>
      <c r="AD51" s="419">
        <f t="shared" si="2"/>
        <v>3.8912318688077353E-2</v>
      </c>
      <c r="AE51" s="419">
        <f t="shared" si="3"/>
        <v>3.8912318688077367E-2</v>
      </c>
      <c r="AF51" s="420">
        <f t="shared" si="4"/>
        <v>119708.57310548451</v>
      </c>
      <c r="AG51" s="244">
        <f t="shared" si="5"/>
        <v>1</v>
      </c>
      <c r="AH51" s="244">
        <f t="shared" si="6"/>
        <v>1</v>
      </c>
      <c r="AI51" s="244">
        <f t="shared" si="7"/>
        <v>1</v>
      </c>
      <c r="AJ51" s="244">
        <f t="shared" si="8"/>
        <v>1</v>
      </c>
      <c r="AK51" s="244">
        <f t="shared" si="9"/>
        <v>1</v>
      </c>
      <c r="AL51" s="244">
        <f t="shared" si="10"/>
        <v>1</v>
      </c>
      <c r="AM51" s="244">
        <f t="shared" si="11"/>
        <v>1</v>
      </c>
      <c r="AN51" s="244">
        <f t="shared" si="12"/>
        <v>1</v>
      </c>
      <c r="AO51" s="244">
        <f t="shared" si="13"/>
        <v>1</v>
      </c>
      <c r="AP51" s="244">
        <f t="shared" si="14"/>
        <v>1</v>
      </c>
      <c r="AQ51" s="244">
        <f t="shared" si="15"/>
        <v>1</v>
      </c>
      <c r="AR51" s="244">
        <f t="shared" si="16"/>
        <v>1</v>
      </c>
      <c r="AS51" s="244">
        <f t="shared" si="17"/>
        <v>1</v>
      </c>
      <c r="AT51" s="244">
        <f t="shared" si="18"/>
        <v>1</v>
      </c>
      <c r="AU51" s="244">
        <f t="shared" si="19"/>
        <v>1</v>
      </c>
      <c r="AV51" s="244">
        <f t="shared" si="20"/>
        <v>1</v>
      </c>
      <c r="AW51" s="244">
        <f t="shared" si="21"/>
        <v>1</v>
      </c>
      <c r="AX51" s="244">
        <f t="shared" si="22"/>
        <v>1</v>
      </c>
      <c r="AY51" s="244">
        <f t="shared" si="23"/>
        <v>1</v>
      </c>
      <c r="AZ51" s="244">
        <f t="shared" si="24"/>
        <v>1</v>
      </c>
      <c r="BA51" s="244">
        <f t="shared" si="25"/>
        <v>1</v>
      </c>
      <c r="BB51" s="244">
        <f t="shared" si="26"/>
        <v>1</v>
      </c>
      <c r="BC51" s="244">
        <f t="shared" si="27"/>
        <v>1</v>
      </c>
      <c r="BD51" s="244">
        <f t="shared" si="28"/>
        <v>1</v>
      </c>
      <c r="BE51" s="244">
        <f t="shared" si="29"/>
        <v>1</v>
      </c>
      <c r="BF51" s="244">
        <f t="shared" si="30"/>
        <v>1</v>
      </c>
      <c r="BG51" s="244">
        <f t="shared" si="31"/>
        <v>1</v>
      </c>
    </row>
    <row r="52" spans="1:59" ht="45.75" customHeight="1" x14ac:dyDescent="0.25">
      <c r="A52" s="415"/>
      <c r="B52" s="416">
        <f t="shared" si="1"/>
        <v>22</v>
      </c>
      <c r="C52" s="417" t="str">
        <f>IF('תנאי סף'!AO52&lt;&gt;1,"",'תנאי סף'!F52)</f>
        <v>הרכב אקוט</v>
      </c>
      <c r="D52" s="418">
        <f>'מספר הרצות'!Z52</f>
        <v>5.7845786747891786E-2</v>
      </c>
      <c r="E52" s="418">
        <f>'מספר מבצעים בתשלום'!Z52</f>
        <v>1.6181229773462785E-2</v>
      </c>
      <c r="F52" s="418">
        <f>'מיקום ההרצות'!Z52</f>
        <v>6.1452513966480445E-2</v>
      </c>
      <c r="G52" s="418">
        <f>'רמה מקצועית ואמנותית'!Z52</f>
        <v>2.7803521779425393E-2</v>
      </c>
      <c r="H52" s="418">
        <f>'מיקום גיאוגרפי'!AB52</f>
        <v>6.8965517241379309E-2</v>
      </c>
      <c r="I52" s="418">
        <f>תקציב!Z52</f>
        <v>2.4539877300613498E-2</v>
      </c>
      <c r="J52" s="418">
        <f>'עידוד יצירה ישראלית'!Z52</f>
        <v>5.4421768707482991E-2</v>
      </c>
      <c r="K52" s="418">
        <f>תיעוד!$Z52</f>
        <v>0</v>
      </c>
      <c r="L52" s="418"/>
      <c r="M52" s="418"/>
      <c r="N52" s="418"/>
      <c r="O52" s="418"/>
      <c r="P52" s="418"/>
      <c r="Q52" s="418"/>
      <c r="R52" s="419"/>
      <c r="S52" s="419"/>
      <c r="T52" s="419"/>
      <c r="U52" s="419"/>
      <c r="V52" s="419"/>
      <c r="W52" s="419"/>
      <c r="X52" s="419"/>
      <c r="Y52" s="419"/>
      <c r="Z52" s="419"/>
      <c r="AA52" s="419"/>
      <c r="AB52" s="419"/>
      <c r="AC52" s="419"/>
      <c r="AD52" s="419">
        <f t="shared" si="2"/>
        <v>3.9913899292780351E-2</v>
      </c>
      <c r="AE52" s="419">
        <f t="shared" si="3"/>
        <v>3.9913899292780365E-2</v>
      </c>
      <c r="AF52" s="420">
        <f t="shared" si="4"/>
        <v>122789.80262563286</v>
      </c>
      <c r="AG52" s="244">
        <f t="shared" si="5"/>
        <v>1</v>
      </c>
      <c r="AH52" s="244">
        <f t="shared" si="6"/>
        <v>1</v>
      </c>
      <c r="AI52" s="244">
        <f t="shared" si="7"/>
        <v>1</v>
      </c>
      <c r="AJ52" s="244">
        <f t="shared" si="8"/>
        <v>1</v>
      </c>
      <c r="AK52" s="244">
        <f t="shared" si="9"/>
        <v>1</v>
      </c>
      <c r="AL52" s="244">
        <f t="shared" si="10"/>
        <v>1</v>
      </c>
      <c r="AM52" s="244">
        <f t="shared" si="11"/>
        <v>1</v>
      </c>
      <c r="AN52" s="244">
        <f t="shared" si="12"/>
        <v>1</v>
      </c>
      <c r="AO52" s="244">
        <f t="shared" si="13"/>
        <v>1</v>
      </c>
      <c r="AP52" s="244">
        <f t="shared" si="14"/>
        <v>1</v>
      </c>
      <c r="AQ52" s="244">
        <f t="shared" si="15"/>
        <v>1</v>
      </c>
      <c r="AR52" s="244">
        <f t="shared" si="16"/>
        <v>1</v>
      </c>
      <c r="AS52" s="244">
        <f t="shared" si="17"/>
        <v>1</v>
      </c>
      <c r="AT52" s="244">
        <f t="shared" si="18"/>
        <v>1</v>
      </c>
      <c r="AU52" s="244">
        <f t="shared" si="19"/>
        <v>1</v>
      </c>
      <c r="AV52" s="244">
        <f t="shared" si="20"/>
        <v>1</v>
      </c>
      <c r="AW52" s="244">
        <f t="shared" si="21"/>
        <v>1</v>
      </c>
      <c r="AX52" s="244">
        <f t="shared" si="22"/>
        <v>1</v>
      </c>
      <c r="AY52" s="244">
        <f t="shared" si="23"/>
        <v>1</v>
      </c>
      <c r="AZ52" s="244">
        <f t="shared" si="24"/>
        <v>1</v>
      </c>
      <c r="BA52" s="244">
        <f t="shared" si="25"/>
        <v>1</v>
      </c>
      <c r="BB52" s="244">
        <f t="shared" si="26"/>
        <v>1</v>
      </c>
      <c r="BC52" s="244">
        <f t="shared" si="27"/>
        <v>1</v>
      </c>
      <c r="BD52" s="244">
        <f t="shared" si="28"/>
        <v>1</v>
      </c>
      <c r="BE52" s="244">
        <f t="shared" si="29"/>
        <v>1</v>
      </c>
      <c r="BF52" s="244">
        <f t="shared" si="30"/>
        <v>1</v>
      </c>
      <c r="BG52" s="244">
        <f t="shared" si="31"/>
        <v>1</v>
      </c>
    </row>
    <row r="53" spans="1:59" ht="45.75" customHeight="1" x14ac:dyDescent="0.25">
      <c r="A53" s="415"/>
      <c r="B53" s="416">
        <f t="shared" si="1"/>
        <v>23</v>
      </c>
      <c r="C53" s="417" t="str">
        <f>IF('תנאי סף'!AO53&lt;&gt;1,"",'תנאי סף'!F53)</f>
        <v>שלישיית עתר</v>
      </c>
      <c r="D53" s="418">
        <f>'מספר הרצות'!Z53</f>
        <v>2.5307531702202658E-2</v>
      </c>
      <c r="E53" s="418">
        <f>'מספר מבצעים בתשלום'!Z53</f>
        <v>1.2135922330097087E-2</v>
      </c>
      <c r="F53" s="418">
        <f>'מיקום ההרצות'!Z53</f>
        <v>5.6983240223463689E-2</v>
      </c>
      <c r="G53" s="418">
        <f>'רמה מקצועית ואמנותית'!Z53</f>
        <v>1.8535681186283594E-2</v>
      </c>
      <c r="H53" s="418">
        <f>'מיקום גיאוגרפי'!AB53</f>
        <v>6.8965517241379309E-2</v>
      </c>
      <c r="I53" s="418">
        <f>תקציב!Z53</f>
        <v>1.2269938650306749E-2</v>
      </c>
      <c r="J53" s="418">
        <f>'עידוד יצירה ישראלית'!Z53</f>
        <v>3.0612244897959183E-2</v>
      </c>
      <c r="K53" s="418">
        <f>תיעוד!$Z53</f>
        <v>3.6764705882352942E-2</v>
      </c>
      <c r="L53" s="418"/>
      <c r="M53" s="418"/>
      <c r="N53" s="418"/>
      <c r="O53" s="418"/>
      <c r="P53" s="418"/>
      <c r="Q53" s="418"/>
      <c r="R53" s="419"/>
      <c r="S53" s="419"/>
      <c r="T53" s="419"/>
      <c r="U53" s="419"/>
      <c r="V53" s="419"/>
      <c r="W53" s="419"/>
      <c r="X53" s="419"/>
      <c r="Y53" s="419"/>
      <c r="Z53" s="419"/>
      <c r="AA53" s="419"/>
      <c r="AB53" s="419"/>
      <c r="AC53" s="419"/>
      <c r="AD53" s="419">
        <f t="shared" si="2"/>
        <v>2.8990372379831028E-2</v>
      </c>
      <c r="AE53" s="419">
        <f t="shared" si="3"/>
        <v>2.8990372379831039E-2</v>
      </c>
      <c r="AF53" s="420">
        <f t="shared" si="4"/>
        <v>89185.024907023675</v>
      </c>
      <c r="AG53" s="244">
        <f t="shared" si="5"/>
        <v>1</v>
      </c>
      <c r="AH53" s="244">
        <f t="shared" si="6"/>
        <v>1</v>
      </c>
      <c r="AI53" s="244">
        <f t="shared" si="7"/>
        <v>1</v>
      </c>
      <c r="AJ53" s="244">
        <f t="shared" si="8"/>
        <v>1</v>
      </c>
      <c r="AK53" s="244">
        <f t="shared" si="9"/>
        <v>1</v>
      </c>
      <c r="AL53" s="244">
        <f t="shared" si="10"/>
        <v>1</v>
      </c>
      <c r="AM53" s="244">
        <f t="shared" si="11"/>
        <v>1</v>
      </c>
      <c r="AN53" s="244">
        <f t="shared" si="12"/>
        <v>1</v>
      </c>
      <c r="AO53" s="244">
        <f t="shared" si="13"/>
        <v>1</v>
      </c>
      <c r="AP53" s="244">
        <f t="shared" si="14"/>
        <v>1</v>
      </c>
      <c r="AQ53" s="244">
        <f t="shared" si="15"/>
        <v>1</v>
      </c>
      <c r="AR53" s="244">
        <f t="shared" si="16"/>
        <v>1</v>
      </c>
      <c r="AS53" s="244">
        <f t="shared" si="17"/>
        <v>1</v>
      </c>
      <c r="AT53" s="244">
        <f t="shared" si="18"/>
        <v>1</v>
      </c>
      <c r="AU53" s="244">
        <f t="shared" si="19"/>
        <v>1</v>
      </c>
      <c r="AV53" s="244">
        <f t="shared" si="20"/>
        <v>1</v>
      </c>
      <c r="AW53" s="244">
        <f t="shared" si="21"/>
        <v>1</v>
      </c>
      <c r="AX53" s="244">
        <f t="shared" si="22"/>
        <v>1</v>
      </c>
      <c r="AY53" s="244">
        <f t="shared" si="23"/>
        <v>1</v>
      </c>
      <c r="AZ53" s="244">
        <f t="shared" si="24"/>
        <v>1</v>
      </c>
      <c r="BA53" s="244">
        <f t="shared" si="25"/>
        <v>1</v>
      </c>
      <c r="BB53" s="244">
        <f t="shared" si="26"/>
        <v>1</v>
      </c>
      <c r="BC53" s="244">
        <f t="shared" si="27"/>
        <v>1</v>
      </c>
      <c r="BD53" s="244">
        <f t="shared" si="28"/>
        <v>1</v>
      </c>
      <c r="BE53" s="244">
        <f t="shared" si="29"/>
        <v>1</v>
      </c>
      <c r="BF53" s="244">
        <f t="shared" si="30"/>
        <v>1</v>
      </c>
      <c r="BG53" s="244">
        <f t="shared" si="31"/>
        <v>1</v>
      </c>
    </row>
    <row r="54" spans="1:59" ht="45.75" customHeight="1" x14ac:dyDescent="0.25">
      <c r="A54" s="415"/>
      <c r="B54" s="416" t="str">
        <f t="shared" si="1"/>
        <v/>
      </c>
      <c r="C54" s="417" t="str">
        <f>IF('תנאי סף'!AO54&lt;&gt;1,"",'תנאי סף'!F54)</f>
        <v/>
      </c>
      <c r="D54" s="418" t="str">
        <f>'מספר הרצות'!Z54</f>
        <v/>
      </c>
      <c r="E54" s="418" t="str">
        <f>'מספר מבצעים בתשלום'!Z54</f>
        <v/>
      </c>
      <c r="F54" s="418" t="str">
        <f>'מיקום ההרצות'!Z54</f>
        <v/>
      </c>
      <c r="G54" s="418" t="str">
        <f>'רמה מקצועית ואמנותית'!Z54</f>
        <v/>
      </c>
      <c r="H54" s="418" t="str">
        <f>'מיקום גיאוגרפי'!AB54</f>
        <v/>
      </c>
      <c r="I54" s="418" t="str">
        <f>תקציב!Z54</f>
        <v/>
      </c>
      <c r="J54" s="418" t="str">
        <f>'עידוד יצירה ישראלית'!Z54</f>
        <v/>
      </c>
      <c r="K54" s="418" t="str">
        <f>תיעוד!$Z54</f>
        <v/>
      </c>
      <c r="L54" s="418"/>
      <c r="M54" s="418"/>
      <c r="N54" s="418"/>
      <c r="O54" s="418"/>
      <c r="P54" s="418"/>
      <c r="Q54" s="418"/>
      <c r="R54" s="419"/>
      <c r="S54" s="419"/>
      <c r="T54" s="419"/>
      <c r="U54" s="419"/>
      <c r="V54" s="419"/>
      <c r="W54" s="419"/>
      <c r="X54" s="419"/>
      <c r="Y54" s="419"/>
      <c r="Z54" s="419"/>
      <c r="AA54" s="419"/>
      <c r="AB54" s="419"/>
      <c r="AC54" s="419"/>
      <c r="AD54" s="419" t="str">
        <f t="shared" si="2"/>
        <v/>
      </c>
      <c r="AE54" s="419" t="str">
        <f t="shared" si="3"/>
        <v/>
      </c>
      <c r="AF54" s="420" t="str">
        <f t="shared" si="4"/>
        <v/>
      </c>
      <c r="AG54" s="244">
        <f t="shared" si="5"/>
        <v>1</v>
      </c>
      <c r="AH54" s="244">
        <f t="shared" si="6"/>
        <v>1</v>
      </c>
      <c r="AI54" s="244">
        <f t="shared" si="7"/>
        <v>1</v>
      </c>
      <c r="AJ54" s="244">
        <f t="shared" si="8"/>
        <v>1</v>
      </c>
      <c r="AK54" s="244">
        <f t="shared" si="9"/>
        <v>1</v>
      </c>
      <c r="AL54" s="244">
        <f t="shared" si="10"/>
        <v>1</v>
      </c>
      <c r="AM54" s="244">
        <f t="shared" si="11"/>
        <v>1</v>
      </c>
      <c r="AN54" s="244">
        <f t="shared" si="12"/>
        <v>1</v>
      </c>
      <c r="AO54" s="244">
        <f t="shared" si="13"/>
        <v>1</v>
      </c>
      <c r="AP54" s="244">
        <f t="shared" si="14"/>
        <v>1</v>
      </c>
      <c r="AQ54" s="244">
        <f t="shared" si="15"/>
        <v>1</v>
      </c>
      <c r="AR54" s="244">
        <f t="shared" si="16"/>
        <v>1</v>
      </c>
      <c r="AS54" s="244">
        <f t="shared" si="17"/>
        <v>1</v>
      </c>
      <c r="AT54" s="244">
        <f t="shared" si="18"/>
        <v>1</v>
      </c>
      <c r="AU54" s="244">
        <f t="shared" si="19"/>
        <v>1</v>
      </c>
      <c r="AV54" s="244">
        <f t="shared" si="20"/>
        <v>1</v>
      </c>
      <c r="AW54" s="244">
        <f t="shared" si="21"/>
        <v>1</v>
      </c>
      <c r="AX54" s="244">
        <f t="shared" si="22"/>
        <v>1</v>
      </c>
      <c r="AY54" s="244">
        <f t="shared" si="23"/>
        <v>1</v>
      </c>
      <c r="AZ54" s="244">
        <f t="shared" si="24"/>
        <v>1</v>
      </c>
      <c r="BA54" s="244">
        <f t="shared" si="25"/>
        <v>1</v>
      </c>
      <c r="BB54" s="244">
        <f t="shared" si="26"/>
        <v>1</v>
      </c>
      <c r="BC54" s="244">
        <f t="shared" si="27"/>
        <v>1</v>
      </c>
      <c r="BD54" s="244">
        <f t="shared" si="28"/>
        <v>1</v>
      </c>
      <c r="BE54" s="244">
        <f t="shared" si="29"/>
        <v>1</v>
      </c>
      <c r="BF54" s="244">
        <f t="shared" si="30"/>
        <v>1</v>
      </c>
      <c r="BG54" s="244">
        <f t="shared" si="31"/>
        <v>1</v>
      </c>
    </row>
    <row r="55" spans="1:59" ht="45.75" hidden="1" customHeight="1" x14ac:dyDescent="0.25">
      <c r="A55" s="415"/>
      <c r="B55" s="416" t="str">
        <f t="shared" si="1"/>
        <v/>
      </c>
      <c r="C55" s="417" t="str">
        <f>IF('תנאי סף'!AO55&lt;&gt;1,"",'תנאי סף'!F55)</f>
        <v/>
      </c>
      <c r="D55" s="418" t="str">
        <f>'מספר הרצות'!Z55</f>
        <v/>
      </c>
      <c r="E55" s="418" t="str">
        <f>'מספר מבצעים בתשלום'!Z55</f>
        <v/>
      </c>
      <c r="F55" s="418" t="str">
        <f>'מיקום ההרצות'!Z55</f>
        <v/>
      </c>
      <c r="G55" s="418" t="str">
        <f>'רמה מקצועית ואמנותית'!Z55</f>
        <v/>
      </c>
      <c r="H55" s="418" t="str">
        <f>'מיקום גיאוגרפי'!AB55</f>
        <v/>
      </c>
      <c r="I55" s="418" t="str">
        <f>תקציב!Z55</f>
        <v/>
      </c>
      <c r="J55" s="418" t="str">
        <f>'עידוד יצירה ישראלית'!Z55</f>
        <v/>
      </c>
      <c r="K55" s="418" t="str">
        <f>תיעוד!$Z55</f>
        <v/>
      </c>
      <c r="L55" s="418"/>
      <c r="M55" s="418"/>
      <c r="N55" s="418"/>
      <c r="O55" s="418"/>
      <c r="P55" s="418"/>
      <c r="Q55" s="418"/>
      <c r="R55" s="419"/>
      <c r="S55" s="419"/>
      <c r="T55" s="419"/>
      <c r="U55" s="419"/>
      <c r="V55" s="419"/>
      <c r="W55" s="419"/>
      <c r="X55" s="419"/>
      <c r="Y55" s="419"/>
      <c r="Z55" s="419"/>
      <c r="AA55" s="419"/>
      <c r="AB55" s="419"/>
      <c r="AC55" s="419"/>
      <c r="AD55" s="419" t="str">
        <f t="shared" si="2"/>
        <v/>
      </c>
      <c r="AE55" s="419" t="str">
        <f t="shared" si="3"/>
        <v/>
      </c>
      <c r="AF55" s="420" t="str">
        <f t="shared" si="4"/>
        <v/>
      </c>
      <c r="AG55" s="244">
        <f t="shared" si="5"/>
        <v>1</v>
      </c>
      <c r="AH55" s="244">
        <f t="shared" si="6"/>
        <v>1</v>
      </c>
      <c r="AI55" s="244">
        <f t="shared" si="7"/>
        <v>1</v>
      </c>
      <c r="AJ55" s="244">
        <f t="shared" si="8"/>
        <v>1</v>
      </c>
      <c r="AK55" s="244">
        <f t="shared" si="9"/>
        <v>1</v>
      </c>
      <c r="AL55" s="244">
        <f t="shared" si="10"/>
        <v>1</v>
      </c>
      <c r="AM55" s="244">
        <f t="shared" si="11"/>
        <v>1</v>
      </c>
      <c r="AN55" s="244">
        <f t="shared" si="12"/>
        <v>1</v>
      </c>
      <c r="AO55" s="244">
        <f t="shared" si="13"/>
        <v>1</v>
      </c>
      <c r="AP55" s="244">
        <f t="shared" si="14"/>
        <v>1</v>
      </c>
      <c r="AQ55" s="244">
        <f t="shared" si="15"/>
        <v>1</v>
      </c>
      <c r="AR55" s="244">
        <f t="shared" si="16"/>
        <v>1</v>
      </c>
      <c r="AS55" s="244">
        <f t="shared" si="17"/>
        <v>1</v>
      </c>
      <c r="AT55" s="244">
        <f t="shared" si="18"/>
        <v>1</v>
      </c>
      <c r="AU55" s="244">
        <f t="shared" si="19"/>
        <v>1</v>
      </c>
      <c r="AV55" s="244">
        <f t="shared" si="20"/>
        <v>1</v>
      </c>
      <c r="AW55" s="244">
        <f t="shared" si="21"/>
        <v>1</v>
      </c>
      <c r="AX55" s="244">
        <f t="shared" si="22"/>
        <v>1</v>
      </c>
      <c r="AY55" s="244">
        <f t="shared" si="23"/>
        <v>1</v>
      </c>
      <c r="AZ55" s="244">
        <f t="shared" si="24"/>
        <v>1</v>
      </c>
      <c r="BA55" s="244">
        <f t="shared" si="25"/>
        <v>1</v>
      </c>
      <c r="BB55" s="244">
        <f t="shared" si="26"/>
        <v>1</v>
      </c>
      <c r="BC55" s="244">
        <f t="shared" si="27"/>
        <v>1</v>
      </c>
      <c r="BD55" s="244">
        <f t="shared" si="28"/>
        <v>1</v>
      </c>
      <c r="BE55" s="244">
        <f t="shared" si="29"/>
        <v>1</v>
      </c>
      <c r="BF55" s="244">
        <f t="shared" si="30"/>
        <v>1</v>
      </c>
      <c r="BG55" s="244">
        <f t="shared" si="31"/>
        <v>1</v>
      </c>
    </row>
    <row r="56" spans="1:59" ht="45.75" customHeight="1" x14ac:dyDescent="0.25">
      <c r="A56" s="415"/>
      <c r="B56" s="416">
        <f t="shared" si="1"/>
        <v>26</v>
      </c>
      <c r="C56" s="417" t="str">
        <f>IF('תנאי סף'!AO56&lt;&gt;1,"",'תנאי סף'!F56)</f>
        <v>אנסמבל מצו</v>
      </c>
      <c r="D56" s="418">
        <f>'מספר הרצות'!Z56</f>
        <v>6.3268829255506642E-2</v>
      </c>
      <c r="E56" s="418">
        <f>'מספר מבצעים בתשלום'!Z56</f>
        <v>2.4271844660194174E-2</v>
      </c>
      <c r="F56" s="418">
        <f>'מיקום ההרצות'!Z56</f>
        <v>6.4804469273743018E-2</v>
      </c>
      <c r="G56" s="418">
        <f>'רמה מקצועית ואמנותית'!Z56</f>
        <v>3.7071362372567189E-2</v>
      </c>
      <c r="H56" s="418">
        <f>'מיקום גיאוגרפי'!AB56</f>
        <v>0</v>
      </c>
      <c r="I56" s="418">
        <f>תקציב!Z56</f>
        <v>3.6809815950920248E-2</v>
      </c>
      <c r="J56" s="418">
        <f>'עידוד יצירה ישראלית'!Z56</f>
        <v>0</v>
      </c>
      <c r="K56" s="418">
        <f>תיעוד!$Z56</f>
        <v>1.4705882352941176E-2</v>
      </c>
      <c r="L56" s="418"/>
      <c r="M56" s="418"/>
      <c r="N56" s="418"/>
      <c r="O56" s="418"/>
      <c r="P56" s="418"/>
      <c r="Q56" s="418"/>
      <c r="R56" s="419"/>
      <c r="S56" s="419"/>
      <c r="T56" s="419"/>
      <c r="U56" s="419"/>
      <c r="V56" s="419"/>
      <c r="W56" s="419"/>
      <c r="X56" s="419"/>
      <c r="Y56" s="419"/>
      <c r="Z56" s="419"/>
      <c r="AA56" s="419"/>
      <c r="AB56" s="419"/>
      <c r="AC56" s="419"/>
      <c r="AD56" s="419">
        <f t="shared" si="2"/>
        <v>3.3965561779138627E-2</v>
      </c>
      <c r="AE56" s="419">
        <f t="shared" si="3"/>
        <v>3.3965561779138641E-2</v>
      </c>
      <c r="AF56" s="420">
        <f t="shared" si="4"/>
        <v>104490.5333938034</v>
      </c>
      <c r="AG56" s="244">
        <f t="shared" si="5"/>
        <v>1</v>
      </c>
      <c r="AH56" s="244">
        <f t="shared" si="6"/>
        <v>1</v>
      </c>
      <c r="AI56" s="244">
        <f t="shared" si="7"/>
        <v>1</v>
      </c>
      <c r="AJ56" s="244">
        <f t="shared" si="8"/>
        <v>1</v>
      </c>
      <c r="AK56" s="244">
        <f t="shared" si="9"/>
        <v>1</v>
      </c>
      <c r="AL56" s="244">
        <f t="shared" si="10"/>
        <v>1</v>
      </c>
      <c r="AM56" s="244">
        <f t="shared" si="11"/>
        <v>1</v>
      </c>
      <c r="AN56" s="244">
        <f t="shared" si="12"/>
        <v>1</v>
      </c>
      <c r="AO56" s="244">
        <f t="shared" si="13"/>
        <v>1</v>
      </c>
      <c r="AP56" s="244">
        <f t="shared" si="14"/>
        <v>1</v>
      </c>
      <c r="AQ56" s="244">
        <f t="shared" si="15"/>
        <v>1</v>
      </c>
      <c r="AR56" s="244">
        <f t="shared" si="16"/>
        <v>1</v>
      </c>
      <c r="AS56" s="244">
        <f t="shared" si="17"/>
        <v>1</v>
      </c>
      <c r="AT56" s="244">
        <f t="shared" si="18"/>
        <v>1</v>
      </c>
      <c r="AU56" s="244">
        <f t="shared" si="19"/>
        <v>1</v>
      </c>
      <c r="AV56" s="244">
        <f t="shared" si="20"/>
        <v>1</v>
      </c>
      <c r="AW56" s="244">
        <f t="shared" si="21"/>
        <v>1</v>
      </c>
      <c r="AX56" s="244">
        <f t="shared" si="22"/>
        <v>1</v>
      </c>
      <c r="AY56" s="244">
        <f t="shared" si="23"/>
        <v>1</v>
      </c>
      <c r="AZ56" s="244">
        <f t="shared" si="24"/>
        <v>1</v>
      </c>
      <c r="BA56" s="244">
        <f t="shared" si="25"/>
        <v>1</v>
      </c>
      <c r="BB56" s="244">
        <f t="shared" si="26"/>
        <v>1</v>
      </c>
      <c r="BC56" s="244">
        <f t="shared" si="27"/>
        <v>1</v>
      </c>
      <c r="BD56" s="244">
        <f t="shared" si="28"/>
        <v>1</v>
      </c>
      <c r="BE56" s="244">
        <f t="shared" si="29"/>
        <v>1</v>
      </c>
      <c r="BF56" s="244">
        <f t="shared" si="30"/>
        <v>1</v>
      </c>
      <c r="BG56" s="244">
        <f t="shared" si="31"/>
        <v>1</v>
      </c>
    </row>
    <row r="57" spans="1:59" ht="45.75" customHeight="1" x14ac:dyDescent="0.25">
      <c r="A57" s="415"/>
      <c r="B57" s="416" t="str">
        <f t="shared" si="1"/>
        <v/>
      </c>
      <c r="C57" s="417" t="str">
        <f>IF('תנאי סף'!AO57&lt;&gt;1,"",'תנאי סף'!F57)</f>
        <v/>
      </c>
      <c r="D57" s="418" t="str">
        <f>'מספר הרצות'!Z57</f>
        <v/>
      </c>
      <c r="E57" s="418" t="str">
        <f>'מספר מבצעים בתשלום'!Z57</f>
        <v/>
      </c>
      <c r="F57" s="418" t="str">
        <f>'מיקום ההרצות'!Z57</f>
        <v/>
      </c>
      <c r="G57" s="418" t="str">
        <f>'רמה מקצועית ואמנותית'!Z57</f>
        <v/>
      </c>
      <c r="H57" s="418" t="str">
        <f>'מיקום גיאוגרפי'!AB57</f>
        <v/>
      </c>
      <c r="I57" s="418" t="str">
        <f>תקציב!Z57</f>
        <v/>
      </c>
      <c r="J57" s="418" t="str">
        <f>'עידוד יצירה ישראלית'!Z57</f>
        <v/>
      </c>
      <c r="K57" s="418" t="str">
        <f>תיעוד!$Z57</f>
        <v/>
      </c>
      <c r="L57" s="418"/>
      <c r="M57" s="418"/>
      <c r="N57" s="418"/>
      <c r="O57" s="418"/>
      <c r="P57" s="418"/>
      <c r="Q57" s="418"/>
      <c r="R57" s="419"/>
      <c r="S57" s="419"/>
      <c r="T57" s="419"/>
      <c r="U57" s="419"/>
      <c r="V57" s="419"/>
      <c r="W57" s="419"/>
      <c r="X57" s="419"/>
      <c r="Y57" s="419"/>
      <c r="Z57" s="419"/>
      <c r="AA57" s="419"/>
      <c r="AB57" s="419"/>
      <c r="AC57" s="419"/>
      <c r="AD57" s="419" t="str">
        <f t="shared" si="2"/>
        <v/>
      </c>
      <c r="AE57" s="419" t="str">
        <f t="shared" si="3"/>
        <v/>
      </c>
      <c r="AF57" s="420" t="str">
        <f t="shared" si="4"/>
        <v/>
      </c>
      <c r="AG57" s="244">
        <f t="shared" si="5"/>
        <v>1</v>
      </c>
      <c r="AH57" s="244">
        <f t="shared" si="6"/>
        <v>1</v>
      </c>
      <c r="AI57" s="244">
        <f t="shared" si="7"/>
        <v>1</v>
      </c>
      <c r="AJ57" s="244">
        <f t="shared" si="8"/>
        <v>1</v>
      </c>
      <c r="AK57" s="244">
        <f t="shared" si="9"/>
        <v>1</v>
      </c>
      <c r="AL57" s="244">
        <f t="shared" si="10"/>
        <v>1</v>
      </c>
      <c r="AM57" s="244">
        <f t="shared" si="11"/>
        <v>1</v>
      </c>
      <c r="AN57" s="244">
        <f t="shared" si="12"/>
        <v>1</v>
      </c>
      <c r="AO57" s="244">
        <f t="shared" si="13"/>
        <v>1</v>
      </c>
      <c r="AP57" s="244">
        <f t="shared" si="14"/>
        <v>1</v>
      </c>
      <c r="AQ57" s="244">
        <f t="shared" si="15"/>
        <v>1</v>
      </c>
      <c r="AR57" s="244">
        <f t="shared" si="16"/>
        <v>1</v>
      </c>
      <c r="AS57" s="244">
        <f t="shared" si="17"/>
        <v>1</v>
      </c>
      <c r="AT57" s="244">
        <f t="shared" si="18"/>
        <v>1</v>
      </c>
      <c r="AU57" s="244">
        <f t="shared" si="19"/>
        <v>1</v>
      </c>
      <c r="AV57" s="244">
        <f t="shared" si="20"/>
        <v>1</v>
      </c>
      <c r="AW57" s="244">
        <f t="shared" si="21"/>
        <v>1</v>
      </c>
      <c r="AX57" s="244">
        <f t="shared" si="22"/>
        <v>1</v>
      </c>
      <c r="AY57" s="244">
        <f t="shared" si="23"/>
        <v>1</v>
      </c>
      <c r="AZ57" s="244">
        <f t="shared" si="24"/>
        <v>1</v>
      </c>
      <c r="BA57" s="244">
        <f t="shared" si="25"/>
        <v>1</v>
      </c>
      <c r="BB57" s="244">
        <f t="shared" si="26"/>
        <v>1</v>
      </c>
      <c r="BC57" s="244">
        <f t="shared" si="27"/>
        <v>1</v>
      </c>
      <c r="BD57" s="244">
        <f t="shared" si="28"/>
        <v>1</v>
      </c>
      <c r="BE57" s="244">
        <f t="shared" si="29"/>
        <v>1</v>
      </c>
      <c r="BF57" s="244">
        <f t="shared" si="30"/>
        <v>1</v>
      </c>
      <c r="BG57" s="244">
        <f t="shared" si="31"/>
        <v>1</v>
      </c>
    </row>
    <row r="58" spans="1:59" ht="45.75" customHeight="1" x14ac:dyDescent="0.25">
      <c r="A58" s="415"/>
      <c r="B58" s="416">
        <f t="shared" si="1"/>
        <v>28</v>
      </c>
      <c r="C58" s="417" t="str">
        <f>IF('תנאי סף'!AO58&lt;&gt;1,"",'תנאי סף'!F58)</f>
        <v>תמיכה שותפת- קבוצת מוסיקה נובה</v>
      </c>
      <c r="D58" s="418">
        <f>'מספר הרצות'!Z58</f>
        <v>2.8922893373945893E-2</v>
      </c>
      <c r="E58" s="418">
        <f>'מספר מבצעים בתשלום'!Z58</f>
        <v>2.4271844660194174E-2</v>
      </c>
      <c r="F58" s="418">
        <f>'מיקום ההרצות'!Z58</f>
        <v>1.6759776536312849E-2</v>
      </c>
      <c r="G58" s="418">
        <f>'רמה מקצועית ואמנותית'!Z58</f>
        <v>3.7071362372567189E-2</v>
      </c>
      <c r="H58" s="418">
        <f>'מיקום גיאוגרפי'!AB58</f>
        <v>0</v>
      </c>
      <c r="I58" s="418">
        <f>תקציב!Z58</f>
        <v>6.1349693251533744E-3</v>
      </c>
      <c r="J58" s="418">
        <f>'עידוד יצירה ישראלית'!Z58</f>
        <v>2.7210884353741496E-2</v>
      </c>
      <c r="K58" s="418">
        <f>תיעוד!$Z58</f>
        <v>7.3529411764705885E-2</v>
      </c>
      <c r="L58" s="418"/>
      <c r="M58" s="418"/>
      <c r="N58" s="418"/>
      <c r="O58" s="418"/>
      <c r="P58" s="418"/>
      <c r="Q58" s="418"/>
      <c r="R58" s="419"/>
      <c r="S58" s="419"/>
      <c r="T58" s="419"/>
      <c r="U58" s="419"/>
      <c r="V58" s="419"/>
      <c r="W58" s="419"/>
      <c r="X58" s="419"/>
      <c r="Y58" s="419"/>
      <c r="Z58" s="419"/>
      <c r="AA58" s="419"/>
      <c r="AB58" s="419"/>
      <c r="AC58" s="419"/>
      <c r="AD58" s="419">
        <f t="shared" si="2"/>
        <v>2.4886685572469158E-2</v>
      </c>
      <c r="AE58" s="419">
        <f t="shared" si="3"/>
        <v>2.4886685572469164E-2</v>
      </c>
      <c r="AF58" s="420">
        <f t="shared" si="4"/>
        <v>76560.578234520246</v>
      </c>
      <c r="AG58" s="244">
        <f t="shared" si="5"/>
        <v>1</v>
      </c>
      <c r="AH58" s="244">
        <f t="shared" si="6"/>
        <v>1</v>
      </c>
      <c r="AI58" s="244">
        <f t="shared" si="7"/>
        <v>1</v>
      </c>
      <c r="AJ58" s="244">
        <f t="shared" si="8"/>
        <v>1</v>
      </c>
      <c r="AK58" s="244">
        <f t="shared" si="9"/>
        <v>1</v>
      </c>
      <c r="AL58" s="244">
        <f t="shared" si="10"/>
        <v>1</v>
      </c>
      <c r="AM58" s="244">
        <f t="shared" si="11"/>
        <v>1</v>
      </c>
      <c r="AN58" s="244">
        <f t="shared" si="12"/>
        <v>1</v>
      </c>
      <c r="AO58" s="244">
        <f t="shared" si="13"/>
        <v>1</v>
      </c>
      <c r="AP58" s="244">
        <f t="shared" si="14"/>
        <v>1</v>
      </c>
      <c r="AQ58" s="244">
        <f t="shared" si="15"/>
        <v>1</v>
      </c>
      <c r="AR58" s="244">
        <f t="shared" si="16"/>
        <v>1</v>
      </c>
      <c r="AS58" s="244">
        <f t="shared" si="17"/>
        <v>1</v>
      </c>
      <c r="AT58" s="244">
        <f t="shared" si="18"/>
        <v>1</v>
      </c>
      <c r="AU58" s="244">
        <f t="shared" si="19"/>
        <v>1</v>
      </c>
      <c r="AV58" s="244">
        <f t="shared" si="20"/>
        <v>1</v>
      </c>
      <c r="AW58" s="244">
        <f t="shared" si="21"/>
        <v>1</v>
      </c>
      <c r="AX58" s="244">
        <f t="shared" si="22"/>
        <v>1</v>
      </c>
      <c r="AY58" s="244">
        <f t="shared" si="23"/>
        <v>1</v>
      </c>
      <c r="AZ58" s="244">
        <f t="shared" si="24"/>
        <v>1</v>
      </c>
      <c r="BA58" s="244">
        <f t="shared" si="25"/>
        <v>1</v>
      </c>
      <c r="BB58" s="244">
        <f t="shared" si="26"/>
        <v>1</v>
      </c>
      <c r="BC58" s="244">
        <f t="shared" si="27"/>
        <v>1</v>
      </c>
      <c r="BD58" s="244">
        <f t="shared" si="28"/>
        <v>1</v>
      </c>
      <c r="BE58" s="244">
        <f t="shared" si="29"/>
        <v>1</v>
      </c>
      <c r="BF58" s="244">
        <f t="shared" si="30"/>
        <v>1</v>
      </c>
      <c r="BG58" s="244">
        <f t="shared" si="31"/>
        <v>1</v>
      </c>
    </row>
    <row r="59" spans="1:59" ht="45.75" hidden="1" customHeight="1" x14ac:dyDescent="0.25">
      <c r="A59" s="415"/>
      <c r="B59" s="416" t="str">
        <f t="shared" si="1"/>
        <v/>
      </c>
      <c r="C59" s="417" t="str">
        <f>IF('תנאי סף'!AO59&lt;&gt;1,"",'תנאי סף'!F59)</f>
        <v/>
      </c>
      <c r="D59" s="418" t="str">
        <f>'מספר הרצות'!Z59</f>
        <v/>
      </c>
      <c r="E59" s="418" t="str">
        <f>'מספר מבצעים בתשלום'!Z59</f>
        <v/>
      </c>
      <c r="F59" s="418" t="str">
        <f>'מיקום ההרצות'!Z59</f>
        <v/>
      </c>
      <c r="G59" s="418" t="str">
        <f>'רמה מקצועית ואמנותית'!Z59</f>
        <v/>
      </c>
      <c r="H59" s="418" t="str">
        <f>'מיקום גיאוגרפי'!AB59</f>
        <v/>
      </c>
      <c r="I59" s="418" t="str">
        <f>תקציב!Z59</f>
        <v/>
      </c>
      <c r="J59" s="418" t="str">
        <f>'עידוד יצירה ישראלית'!Z59</f>
        <v/>
      </c>
      <c r="K59" s="418" t="str">
        <f>תיעוד!$Z59</f>
        <v/>
      </c>
      <c r="L59" s="418"/>
      <c r="M59" s="418"/>
      <c r="N59" s="418"/>
      <c r="O59" s="418"/>
      <c r="P59" s="418"/>
      <c r="Q59" s="418"/>
      <c r="R59" s="419"/>
      <c r="S59" s="419"/>
      <c r="T59" s="419"/>
      <c r="U59" s="419"/>
      <c r="V59" s="419"/>
      <c r="W59" s="419"/>
      <c r="X59" s="419"/>
      <c r="Y59" s="419"/>
      <c r="Z59" s="419"/>
      <c r="AA59" s="419"/>
      <c r="AB59" s="419"/>
      <c r="AC59" s="419"/>
      <c r="AD59" s="419" t="str">
        <f t="shared" si="2"/>
        <v/>
      </c>
      <c r="AE59" s="419" t="str">
        <f t="shared" si="3"/>
        <v/>
      </c>
      <c r="AF59" s="420" t="str">
        <f t="shared" si="4"/>
        <v/>
      </c>
      <c r="AG59" s="244">
        <f t="shared" si="5"/>
        <v>1</v>
      </c>
      <c r="AH59" s="244">
        <f t="shared" si="6"/>
        <v>1</v>
      </c>
      <c r="AI59" s="244">
        <f t="shared" si="7"/>
        <v>1</v>
      </c>
      <c r="AJ59" s="244">
        <f t="shared" si="8"/>
        <v>1</v>
      </c>
      <c r="AK59" s="244">
        <f t="shared" si="9"/>
        <v>1</v>
      </c>
      <c r="AL59" s="244">
        <f t="shared" si="10"/>
        <v>1</v>
      </c>
      <c r="AM59" s="244">
        <f t="shared" si="11"/>
        <v>1</v>
      </c>
      <c r="AN59" s="244">
        <f t="shared" si="12"/>
        <v>1</v>
      </c>
      <c r="AO59" s="244">
        <f t="shared" si="13"/>
        <v>1</v>
      </c>
      <c r="AP59" s="244">
        <f t="shared" si="14"/>
        <v>1</v>
      </c>
      <c r="AQ59" s="244">
        <f t="shared" si="15"/>
        <v>1</v>
      </c>
      <c r="AR59" s="244">
        <f t="shared" si="16"/>
        <v>1</v>
      </c>
      <c r="AS59" s="244">
        <f t="shared" si="17"/>
        <v>1</v>
      </c>
      <c r="AT59" s="244">
        <f t="shared" si="18"/>
        <v>1</v>
      </c>
      <c r="AU59" s="244">
        <f t="shared" si="19"/>
        <v>1</v>
      </c>
      <c r="AV59" s="244">
        <f t="shared" si="20"/>
        <v>1</v>
      </c>
      <c r="AW59" s="244">
        <f t="shared" si="21"/>
        <v>1</v>
      </c>
      <c r="AX59" s="244">
        <f t="shared" si="22"/>
        <v>1</v>
      </c>
      <c r="AY59" s="244">
        <f t="shared" si="23"/>
        <v>1</v>
      </c>
      <c r="AZ59" s="244">
        <f t="shared" si="24"/>
        <v>1</v>
      </c>
      <c r="BA59" s="244">
        <f t="shared" si="25"/>
        <v>1</v>
      </c>
      <c r="BB59" s="244">
        <f t="shared" si="26"/>
        <v>1</v>
      </c>
      <c r="BC59" s="244">
        <f t="shared" si="27"/>
        <v>1</v>
      </c>
      <c r="BD59" s="244">
        <f t="shared" si="28"/>
        <v>1</v>
      </c>
      <c r="BE59" s="244">
        <f t="shared" si="29"/>
        <v>1</v>
      </c>
      <c r="BF59" s="244">
        <f t="shared" si="30"/>
        <v>1</v>
      </c>
      <c r="BG59" s="244">
        <f t="shared" si="31"/>
        <v>1</v>
      </c>
    </row>
    <row r="60" spans="1:59" ht="45.75" hidden="1" customHeight="1" x14ac:dyDescent="0.25">
      <c r="A60" s="415"/>
      <c r="B60" s="416" t="str">
        <f t="shared" si="1"/>
        <v/>
      </c>
      <c r="C60" s="417" t="str">
        <f>IF('תנאי סף'!AO60&lt;&gt;1,"",'תנאי סף'!F60)</f>
        <v/>
      </c>
      <c r="D60" s="418" t="str">
        <f>'מספר הרצות'!Z60</f>
        <v/>
      </c>
      <c r="E60" s="418" t="str">
        <f>'מספר מבצעים בתשלום'!Z60</f>
        <v/>
      </c>
      <c r="F60" s="418" t="str">
        <f>'מיקום ההרצות'!Z60</f>
        <v/>
      </c>
      <c r="G60" s="418" t="str">
        <f>'רמה מקצועית ואמנותית'!Z60</f>
        <v/>
      </c>
      <c r="H60" s="418" t="str">
        <f>'מיקום גיאוגרפי'!AB60</f>
        <v/>
      </c>
      <c r="I60" s="418" t="str">
        <f>תקציב!Z60</f>
        <v/>
      </c>
      <c r="J60" s="418" t="str">
        <f>'עידוד יצירה ישראלית'!Z60</f>
        <v/>
      </c>
      <c r="K60" s="418" t="str">
        <f>תיעוד!$Z60</f>
        <v/>
      </c>
      <c r="L60" s="418"/>
      <c r="M60" s="418"/>
      <c r="N60" s="418"/>
      <c r="O60" s="418"/>
      <c r="P60" s="418"/>
      <c r="Q60" s="418"/>
      <c r="R60" s="419"/>
      <c r="S60" s="419"/>
      <c r="T60" s="419"/>
      <c r="U60" s="419"/>
      <c r="V60" s="419"/>
      <c r="W60" s="419"/>
      <c r="X60" s="419"/>
      <c r="Y60" s="419"/>
      <c r="Z60" s="419"/>
      <c r="AA60" s="419"/>
      <c r="AB60" s="419"/>
      <c r="AC60" s="419"/>
      <c r="AD60" s="419" t="str">
        <f t="shared" si="2"/>
        <v/>
      </c>
      <c r="AE60" s="419" t="str">
        <f t="shared" si="3"/>
        <v/>
      </c>
      <c r="AF60" s="420" t="str">
        <f t="shared" si="4"/>
        <v/>
      </c>
      <c r="AG60" s="244">
        <f t="shared" si="5"/>
        <v>1</v>
      </c>
      <c r="AH60" s="244">
        <f t="shared" si="6"/>
        <v>1</v>
      </c>
      <c r="AI60" s="244">
        <f t="shared" si="7"/>
        <v>1</v>
      </c>
      <c r="AJ60" s="244">
        <f t="shared" si="8"/>
        <v>1</v>
      </c>
      <c r="AK60" s="244">
        <f t="shared" si="9"/>
        <v>1</v>
      </c>
      <c r="AL60" s="244">
        <f t="shared" si="10"/>
        <v>1</v>
      </c>
      <c r="AM60" s="244">
        <f t="shared" si="11"/>
        <v>1</v>
      </c>
      <c r="AN60" s="244">
        <f t="shared" si="12"/>
        <v>1</v>
      </c>
      <c r="AO60" s="244">
        <f t="shared" si="13"/>
        <v>1</v>
      </c>
      <c r="AP60" s="244">
        <f t="shared" si="14"/>
        <v>1</v>
      </c>
      <c r="AQ60" s="244">
        <f t="shared" si="15"/>
        <v>1</v>
      </c>
      <c r="AR60" s="244">
        <f t="shared" si="16"/>
        <v>1</v>
      </c>
      <c r="AS60" s="244">
        <f t="shared" si="17"/>
        <v>1</v>
      </c>
      <c r="AT60" s="244">
        <f t="shared" si="18"/>
        <v>1</v>
      </c>
      <c r="AU60" s="244">
        <f t="shared" si="19"/>
        <v>1</v>
      </c>
      <c r="AV60" s="244">
        <f t="shared" si="20"/>
        <v>1</v>
      </c>
      <c r="AW60" s="244">
        <f t="shared" si="21"/>
        <v>1</v>
      </c>
      <c r="AX60" s="244">
        <f t="shared" si="22"/>
        <v>1</v>
      </c>
      <c r="AY60" s="244">
        <f t="shared" si="23"/>
        <v>1</v>
      </c>
      <c r="AZ60" s="244">
        <f t="shared" si="24"/>
        <v>1</v>
      </c>
      <c r="BA60" s="244">
        <f t="shared" si="25"/>
        <v>1</v>
      </c>
      <c r="BB60" s="244">
        <f t="shared" si="26"/>
        <v>1</v>
      </c>
      <c r="BC60" s="244">
        <f t="shared" si="27"/>
        <v>1</v>
      </c>
      <c r="BD60" s="244">
        <f t="shared" si="28"/>
        <v>1</v>
      </c>
      <c r="BE60" s="244">
        <f t="shared" si="29"/>
        <v>1</v>
      </c>
      <c r="BF60" s="244">
        <f t="shared" si="30"/>
        <v>1</v>
      </c>
      <c r="BG60" s="244">
        <f t="shared" si="31"/>
        <v>1</v>
      </c>
    </row>
    <row r="61" spans="1:59" ht="45.75" hidden="1" customHeight="1" x14ac:dyDescent="0.25">
      <c r="A61" s="415"/>
      <c r="B61" s="416" t="str">
        <f t="shared" si="1"/>
        <v/>
      </c>
      <c r="C61" s="417" t="str">
        <f>IF('תנאי סף'!AO61&lt;&gt;1,"",'תנאי סף'!F61)</f>
        <v/>
      </c>
      <c r="D61" s="418" t="str">
        <f>'מספר הרצות'!Z61</f>
        <v/>
      </c>
      <c r="E61" s="418" t="str">
        <f>'מספר מבצעים בתשלום'!Z61</f>
        <v/>
      </c>
      <c r="F61" s="418" t="str">
        <f>'מיקום ההרצות'!Z61</f>
        <v/>
      </c>
      <c r="G61" s="418" t="str">
        <f>'רמה מקצועית ואמנותית'!Z61</f>
        <v/>
      </c>
      <c r="H61" s="418" t="str">
        <f>'מיקום גיאוגרפי'!AB61</f>
        <v/>
      </c>
      <c r="I61" s="418" t="str">
        <f>תקציב!Z61</f>
        <v/>
      </c>
      <c r="J61" s="418" t="str">
        <f>'עידוד יצירה ישראלית'!Z61</f>
        <v/>
      </c>
      <c r="K61" s="418" t="str">
        <f>תיעוד!$Z61</f>
        <v/>
      </c>
      <c r="L61" s="418"/>
      <c r="M61" s="418"/>
      <c r="N61" s="418"/>
      <c r="O61" s="418"/>
      <c r="P61" s="418"/>
      <c r="Q61" s="418"/>
      <c r="R61" s="419"/>
      <c r="S61" s="419"/>
      <c r="T61" s="419"/>
      <c r="U61" s="419"/>
      <c r="V61" s="419"/>
      <c r="W61" s="419"/>
      <c r="X61" s="419"/>
      <c r="Y61" s="419"/>
      <c r="Z61" s="419"/>
      <c r="AA61" s="419"/>
      <c r="AB61" s="419"/>
      <c r="AC61" s="419"/>
      <c r="AD61" s="419" t="str">
        <f t="shared" si="2"/>
        <v/>
      </c>
      <c r="AE61" s="419" t="str">
        <f t="shared" si="3"/>
        <v/>
      </c>
      <c r="AF61" s="420" t="str">
        <f t="shared" si="4"/>
        <v/>
      </c>
      <c r="AG61" s="244">
        <f t="shared" si="5"/>
        <v>1</v>
      </c>
      <c r="AH61" s="244">
        <f t="shared" si="6"/>
        <v>1</v>
      </c>
      <c r="AI61" s="244">
        <f t="shared" si="7"/>
        <v>1</v>
      </c>
      <c r="AJ61" s="244">
        <f t="shared" si="8"/>
        <v>1</v>
      </c>
      <c r="AK61" s="244">
        <f t="shared" si="9"/>
        <v>1</v>
      </c>
      <c r="AL61" s="244">
        <f t="shared" si="10"/>
        <v>1</v>
      </c>
      <c r="AM61" s="244">
        <f t="shared" si="11"/>
        <v>1</v>
      </c>
      <c r="AN61" s="244">
        <f t="shared" si="12"/>
        <v>1</v>
      </c>
      <c r="AO61" s="244">
        <f t="shared" si="13"/>
        <v>1</v>
      </c>
      <c r="AP61" s="244">
        <f t="shared" si="14"/>
        <v>1</v>
      </c>
      <c r="AQ61" s="244">
        <f t="shared" si="15"/>
        <v>1</v>
      </c>
      <c r="AR61" s="244">
        <f t="shared" si="16"/>
        <v>1</v>
      </c>
      <c r="AS61" s="244">
        <f t="shared" si="17"/>
        <v>1</v>
      </c>
      <c r="AT61" s="244">
        <f t="shared" si="18"/>
        <v>1</v>
      </c>
      <c r="AU61" s="244">
        <f t="shared" si="19"/>
        <v>1</v>
      </c>
      <c r="AV61" s="244">
        <f t="shared" si="20"/>
        <v>1</v>
      </c>
      <c r="AW61" s="244">
        <f t="shared" si="21"/>
        <v>1</v>
      </c>
      <c r="AX61" s="244">
        <f t="shared" si="22"/>
        <v>1</v>
      </c>
      <c r="AY61" s="244">
        <f t="shared" si="23"/>
        <v>1</v>
      </c>
      <c r="AZ61" s="244">
        <f t="shared" si="24"/>
        <v>1</v>
      </c>
      <c r="BA61" s="244">
        <f t="shared" si="25"/>
        <v>1</v>
      </c>
      <c r="BB61" s="244">
        <f t="shared" si="26"/>
        <v>1</v>
      </c>
      <c r="BC61" s="244">
        <f t="shared" si="27"/>
        <v>1</v>
      </c>
      <c r="BD61" s="244">
        <f t="shared" si="28"/>
        <v>1</v>
      </c>
      <c r="BE61" s="244">
        <f t="shared" si="29"/>
        <v>1</v>
      </c>
      <c r="BF61" s="244">
        <f t="shared" si="30"/>
        <v>1</v>
      </c>
      <c r="BG61" s="244">
        <f t="shared" si="31"/>
        <v>1</v>
      </c>
    </row>
    <row r="62" spans="1:59" ht="45.75" hidden="1" customHeight="1" x14ac:dyDescent="0.25">
      <c r="A62" s="415"/>
      <c r="B62" s="416" t="str">
        <f t="shared" si="1"/>
        <v/>
      </c>
      <c r="C62" s="417" t="str">
        <f>IF('תנאי סף'!AO62&lt;&gt;1,"",'תנאי סף'!F62)</f>
        <v/>
      </c>
      <c r="D62" s="418" t="str">
        <f>'מספר הרצות'!Z62</f>
        <v/>
      </c>
      <c r="E62" s="418" t="str">
        <f>'מספר מבצעים בתשלום'!Z62</f>
        <v/>
      </c>
      <c r="F62" s="418" t="str">
        <f>'מיקום ההרצות'!Z62</f>
        <v/>
      </c>
      <c r="G62" s="418" t="str">
        <f>'רמה מקצועית ואמנותית'!Z62</f>
        <v/>
      </c>
      <c r="H62" s="418" t="str">
        <f>'מיקום גיאוגרפי'!AB62</f>
        <v/>
      </c>
      <c r="I62" s="418" t="str">
        <f>תקציב!Z62</f>
        <v/>
      </c>
      <c r="J62" s="418" t="str">
        <f>'עידוד יצירה ישראלית'!Z62</f>
        <v/>
      </c>
      <c r="K62" s="418" t="str">
        <f>תיעוד!$Z62</f>
        <v/>
      </c>
      <c r="L62" s="418"/>
      <c r="M62" s="418"/>
      <c r="N62" s="418"/>
      <c r="O62" s="418"/>
      <c r="P62" s="418"/>
      <c r="Q62" s="418"/>
      <c r="R62" s="419"/>
      <c r="S62" s="419"/>
      <c r="T62" s="419"/>
      <c r="U62" s="419"/>
      <c r="V62" s="419"/>
      <c r="W62" s="419"/>
      <c r="X62" s="419"/>
      <c r="Y62" s="419"/>
      <c r="Z62" s="419"/>
      <c r="AA62" s="419"/>
      <c r="AB62" s="419"/>
      <c r="AC62" s="419"/>
      <c r="AD62" s="419" t="str">
        <f t="shared" si="2"/>
        <v/>
      </c>
      <c r="AE62" s="419" t="str">
        <f t="shared" si="3"/>
        <v/>
      </c>
      <c r="AF62" s="420" t="str">
        <f t="shared" si="4"/>
        <v/>
      </c>
      <c r="AG62" s="244">
        <f t="shared" si="5"/>
        <v>1</v>
      </c>
      <c r="AH62" s="244">
        <f t="shared" si="6"/>
        <v>1</v>
      </c>
      <c r="AI62" s="244">
        <f t="shared" si="7"/>
        <v>1</v>
      </c>
      <c r="AJ62" s="244">
        <f t="shared" si="8"/>
        <v>1</v>
      </c>
      <c r="AK62" s="244">
        <f t="shared" si="9"/>
        <v>1</v>
      </c>
      <c r="AL62" s="244">
        <f t="shared" si="10"/>
        <v>1</v>
      </c>
      <c r="AM62" s="244">
        <f t="shared" si="11"/>
        <v>1</v>
      </c>
      <c r="AN62" s="244">
        <f t="shared" si="12"/>
        <v>1</v>
      </c>
      <c r="AO62" s="244">
        <f t="shared" si="13"/>
        <v>1</v>
      </c>
      <c r="AP62" s="244">
        <f t="shared" si="14"/>
        <v>1</v>
      </c>
      <c r="AQ62" s="244">
        <f t="shared" si="15"/>
        <v>1</v>
      </c>
      <c r="AR62" s="244">
        <f t="shared" si="16"/>
        <v>1</v>
      </c>
      <c r="AS62" s="244">
        <f t="shared" si="17"/>
        <v>1</v>
      </c>
      <c r="AT62" s="244">
        <f t="shared" si="18"/>
        <v>1</v>
      </c>
      <c r="AU62" s="244">
        <f t="shared" si="19"/>
        <v>1</v>
      </c>
      <c r="AV62" s="244">
        <f t="shared" si="20"/>
        <v>1</v>
      </c>
      <c r="AW62" s="244">
        <f t="shared" si="21"/>
        <v>1</v>
      </c>
      <c r="AX62" s="244">
        <f t="shared" si="22"/>
        <v>1</v>
      </c>
      <c r="AY62" s="244">
        <f t="shared" si="23"/>
        <v>1</v>
      </c>
      <c r="AZ62" s="244">
        <f t="shared" si="24"/>
        <v>1</v>
      </c>
      <c r="BA62" s="244">
        <f t="shared" si="25"/>
        <v>1</v>
      </c>
      <c r="BB62" s="244">
        <f t="shared" si="26"/>
        <v>1</v>
      </c>
      <c r="BC62" s="244">
        <f t="shared" si="27"/>
        <v>1</v>
      </c>
      <c r="BD62" s="244">
        <f t="shared" si="28"/>
        <v>1</v>
      </c>
      <c r="BE62" s="244">
        <f t="shared" si="29"/>
        <v>1</v>
      </c>
      <c r="BF62" s="244">
        <f t="shared" si="30"/>
        <v>1</v>
      </c>
      <c r="BG62" s="244">
        <f t="shared" si="31"/>
        <v>1</v>
      </c>
    </row>
    <row r="63" spans="1:59" ht="45.75" hidden="1" customHeight="1" x14ac:dyDescent="0.25">
      <c r="A63" s="415"/>
      <c r="B63" s="416" t="str">
        <f t="shared" si="1"/>
        <v/>
      </c>
      <c r="C63" s="417" t="str">
        <f>IF('תנאי סף'!AO63&lt;&gt;1,"",'תנאי סף'!F63)</f>
        <v/>
      </c>
      <c r="D63" s="418" t="str">
        <f>'מספר הרצות'!Z63</f>
        <v/>
      </c>
      <c r="E63" s="418" t="str">
        <f>'מספר מבצעים בתשלום'!Z63</f>
        <v/>
      </c>
      <c r="F63" s="418" t="str">
        <f>'מיקום ההרצות'!Z63</f>
        <v/>
      </c>
      <c r="G63" s="418" t="str">
        <f>'רמה מקצועית ואמנותית'!Z63</f>
        <v/>
      </c>
      <c r="H63" s="418" t="str">
        <f>'מיקום גיאוגרפי'!AB63</f>
        <v/>
      </c>
      <c r="I63" s="418" t="str">
        <f>תקציב!Z63</f>
        <v/>
      </c>
      <c r="J63" s="418" t="str">
        <f>'עידוד יצירה ישראלית'!Z63</f>
        <v/>
      </c>
      <c r="K63" s="418" t="str">
        <f>תיעוד!$Z63</f>
        <v/>
      </c>
      <c r="L63" s="418"/>
      <c r="M63" s="418"/>
      <c r="N63" s="418"/>
      <c r="O63" s="418"/>
      <c r="P63" s="418"/>
      <c r="Q63" s="418"/>
      <c r="R63" s="419"/>
      <c r="S63" s="419"/>
      <c r="T63" s="419"/>
      <c r="U63" s="419"/>
      <c r="V63" s="419"/>
      <c r="W63" s="419"/>
      <c r="X63" s="419"/>
      <c r="Y63" s="419"/>
      <c r="Z63" s="419"/>
      <c r="AA63" s="419"/>
      <c r="AB63" s="419"/>
      <c r="AC63" s="419"/>
      <c r="AD63" s="419" t="str">
        <f t="shared" si="2"/>
        <v/>
      </c>
      <c r="AE63" s="419" t="str">
        <f t="shared" si="3"/>
        <v/>
      </c>
      <c r="AF63" s="420" t="str">
        <f t="shared" si="4"/>
        <v/>
      </c>
      <c r="AG63" s="244">
        <f t="shared" si="5"/>
        <v>1</v>
      </c>
      <c r="AH63" s="244">
        <f t="shared" si="6"/>
        <v>1</v>
      </c>
      <c r="AI63" s="244">
        <f t="shared" si="7"/>
        <v>1</v>
      </c>
      <c r="AJ63" s="244">
        <f t="shared" si="8"/>
        <v>1</v>
      </c>
      <c r="AK63" s="244">
        <f t="shared" si="9"/>
        <v>1</v>
      </c>
      <c r="AL63" s="244">
        <f t="shared" si="10"/>
        <v>1</v>
      </c>
      <c r="AM63" s="244">
        <f t="shared" si="11"/>
        <v>1</v>
      </c>
      <c r="AN63" s="244">
        <f t="shared" si="12"/>
        <v>1</v>
      </c>
      <c r="AO63" s="244">
        <f t="shared" si="13"/>
        <v>1</v>
      </c>
      <c r="AP63" s="244">
        <f t="shared" si="14"/>
        <v>1</v>
      </c>
      <c r="AQ63" s="244">
        <f t="shared" si="15"/>
        <v>1</v>
      </c>
      <c r="AR63" s="244">
        <f t="shared" si="16"/>
        <v>1</v>
      </c>
      <c r="AS63" s="244">
        <f t="shared" si="17"/>
        <v>1</v>
      </c>
      <c r="AT63" s="244">
        <f t="shared" si="18"/>
        <v>1</v>
      </c>
      <c r="AU63" s="244">
        <f t="shared" si="19"/>
        <v>1</v>
      </c>
      <c r="AV63" s="244">
        <f t="shared" si="20"/>
        <v>1</v>
      </c>
      <c r="AW63" s="244">
        <f t="shared" si="21"/>
        <v>1</v>
      </c>
      <c r="AX63" s="244">
        <f t="shared" si="22"/>
        <v>1</v>
      </c>
      <c r="AY63" s="244">
        <f t="shared" si="23"/>
        <v>1</v>
      </c>
      <c r="AZ63" s="244">
        <f t="shared" si="24"/>
        <v>1</v>
      </c>
      <c r="BA63" s="244">
        <f t="shared" si="25"/>
        <v>1</v>
      </c>
      <c r="BB63" s="244">
        <f t="shared" si="26"/>
        <v>1</v>
      </c>
      <c r="BC63" s="244">
        <f t="shared" si="27"/>
        <v>1</v>
      </c>
      <c r="BD63" s="244">
        <f t="shared" si="28"/>
        <v>1</v>
      </c>
      <c r="BE63" s="244">
        <f t="shared" si="29"/>
        <v>1</v>
      </c>
      <c r="BF63" s="244">
        <f t="shared" si="30"/>
        <v>1</v>
      </c>
      <c r="BG63" s="244">
        <f t="shared" si="31"/>
        <v>1</v>
      </c>
    </row>
    <row r="64" spans="1:59" ht="45.75" hidden="1" customHeight="1" x14ac:dyDescent="0.25">
      <c r="A64" s="415"/>
      <c r="B64" s="416" t="str">
        <f t="shared" si="1"/>
        <v/>
      </c>
      <c r="C64" s="417" t="str">
        <f>IF('תנאי סף'!AO64&lt;&gt;1,"",'תנאי סף'!F64)</f>
        <v/>
      </c>
      <c r="D64" s="418" t="str">
        <f>'מספר הרצות'!Z64</f>
        <v/>
      </c>
      <c r="E64" s="418" t="str">
        <f>'מספר מבצעים בתשלום'!Z64</f>
        <v/>
      </c>
      <c r="F64" s="418" t="str">
        <f>'מיקום ההרצות'!Z64</f>
        <v/>
      </c>
      <c r="G64" s="418" t="str">
        <f>'רמה מקצועית ואמנותית'!Z64</f>
        <v/>
      </c>
      <c r="H64" s="418" t="str">
        <f>'מיקום גיאוגרפי'!AB64</f>
        <v/>
      </c>
      <c r="I64" s="418" t="str">
        <f>תקציב!Z64</f>
        <v/>
      </c>
      <c r="J64" s="418" t="str">
        <f>'עידוד יצירה ישראלית'!Z64</f>
        <v/>
      </c>
      <c r="K64" s="418" t="str">
        <f>תיעוד!$Z64</f>
        <v/>
      </c>
      <c r="L64" s="418"/>
      <c r="M64" s="418"/>
      <c r="N64" s="418"/>
      <c r="O64" s="418"/>
      <c r="P64" s="418"/>
      <c r="Q64" s="418"/>
      <c r="R64" s="419"/>
      <c r="S64" s="419"/>
      <c r="T64" s="419"/>
      <c r="U64" s="419"/>
      <c r="V64" s="419"/>
      <c r="W64" s="419"/>
      <c r="X64" s="419"/>
      <c r="Y64" s="419"/>
      <c r="Z64" s="419"/>
      <c r="AA64" s="419"/>
      <c r="AB64" s="419"/>
      <c r="AC64" s="419"/>
      <c r="AD64" s="419" t="str">
        <f t="shared" si="2"/>
        <v/>
      </c>
      <c r="AE64" s="419" t="str">
        <f t="shared" si="3"/>
        <v/>
      </c>
      <c r="AF64" s="420" t="str">
        <f t="shared" si="4"/>
        <v/>
      </c>
      <c r="AG64" s="244">
        <f t="shared" si="5"/>
        <v>1</v>
      </c>
      <c r="AH64" s="244">
        <f t="shared" si="6"/>
        <v>1</v>
      </c>
      <c r="AI64" s="244">
        <f t="shared" si="7"/>
        <v>1</v>
      </c>
      <c r="AJ64" s="244">
        <f t="shared" si="8"/>
        <v>1</v>
      </c>
      <c r="AK64" s="244">
        <f t="shared" si="9"/>
        <v>1</v>
      </c>
      <c r="AL64" s="244">
        <f t="shared" si="10"/>
        <v>1</v>
      </c>
      <c r="AM64" s="244">
        <f t="shared" si="11"/>
        <v>1</v>
      </c>
      <c r="AN64" s="244">
        <f t="shared" si="12"/>
        <v>1</v>
      </c>
      <c r="AO64" s="244">
        <f t="shared" si="13"/>
        <v>1</v>
      </c>
      <c r="AP64" s="244">
        <f t="shared" si="14"/>
        <v>1</v>
      </c>
      <c r="AQ64" s="244">
        <f t="shared" si="15"/>
        <v>1</v>
      </c>
      <c r="AR64" s="244">
        <f t="shared" si="16"/>
        <v>1</v>
      </c>
      <c r="AS64" s="244">
        <f t="shared" si="17"/>
        <v>1</v>
      </c>
      <c r="AT64" s="244">
        <f t="shared" si="18"/>
        <v>1</v>
      </c>
      <c r="AU64" s="244">
        <f t="shared" si="19"/>
        <v>1</v>
      </c>
      <c r="AV64" s="244">
        <f t="shared" si="20"/>
        <v>1</v>
      </c>
      <c r="AW64" s="244">
        <f t="shared" si="21"/>
        <v>1</v>
      </c>
      <c r="AX64" s="244">
        <f t="shared" si="22"/>
        <v>1</v>
      </c>
      <c r="AY64" s="244">
        <f t="shared" si="23"/>
        <v>1</v>
      </c>
      <c r="AZ64" s="244">
        <f t="shared" si="24"/>
        <v>1</v>
      </c>
      <c r="BA64" s="244">
        <f t="shared" si="25"/>
        <v>1</v>
      </c>
      <c r="BB64" s="244">
        <f t="shared" si="26"/>
        <v>1</v>
      </c>
      <c r="BC64" s="244">
        <f t="shared" si="27"/>
        <v>1</v>
      </c>
      <c r="BD64" s="244">
        <f t="shared" si="28"/>
        <v>1</v>
      </c>
      <c r="BE64" s="244">
        <f t="shared" si="29"/>
        <v>1</v>
      </c>
      <c r="BF64" s="244">
        <f t="shared" si="30"/>
        <v>1</v>
      </c>
      <c r="BG64" s="244">
        <f t="shared" si="31"/>
        <v>1</v>
      </c>
    </row>
    <row r="65" spans="1:59" ht="45.75" customHeight="1" x14ac:dyDescent="0.25">
      <c r="A65" s="415"/>
      <c r="B65" s="416">
        <f t="shared" si="1"/>
        <v>35</v>
      </c>
      <c r="C65" s="417" t="str">
        <f>IF('תנאי סף'!AO65&lt;&gt;1,"",'תנאי סף'!F65)</f>
        <v>אנסמבל מיתר</v>
      </c>
      <c r="D65" s="418">
        <f>'מספר הרצות'!Z65</f>
        <v>5.4049656992561389E-2</v>
      </c>
      <c r="E65" s="418">
        <f>'מספר מבצעים בתשלום'!Z65</f>
        <v>4.8543689320388349E-2</v>
      </c>
      <c r="F65" s="418">
        <f>'מיקום ההרצות'!Z65</f>
        <v>1.7877094972067038E-2</v>
      </c>
      <c r="G65" s="418">
        <f>'רמה מקצועית ואמנותית'!Z65</f>
        <v>3.7071362372567189E-2</v>
      </c>
      <c r="H65" s="418">
        <f>'מיקום גיאוגרפי'!AB65</f>
        <v>0</v>
      </c>
      <c r="I65" s="418">
        <f>תקציב!Z65</f>
        <v>3.6809815950920248E-2</v>
      </c>
      <c r="J65" s="418">
        <f>'עידוד יצירה ישראלית'!Z65</f>
        <v>0.30612244897959184</v>
      </c>
      <c r="K65" s="418">
        <f>תיעוד!$Z65</f>
        <v>0.20588235294117646</v>
      </c>
      <c r="L65" s="418"/>
      <c r="M65" s="418"/>
      <c r="N65" s="418"/>
      <c r="O65" s="418"/>
      <c r="P65" s="418"/>
      <c r="Q65" s="418"/>
      <c r="R65" s="419"/>
      <c r="S65" s="419"/>
      <c r="T65" s="419"/>
      <c r="U65" s="419"/>
      <c r="V65" s="419"/>
      <c r="W65" s="419"/>
      <c r="X65" s="419"/>
      <c r="Y65" s="419"/>
      <c r="Z65" s="419"/>
      <c r="AA65" s="419"/>
      <c r="AB65" s="419"/>
      <c r="AC65" s="419"/>
      <c r="AD65" s="419">
        <f t="shared" si="2"/>
        <v>7.2454427255791778E-2</v>
      </c>
      <c r="AE65" s="419">
        <f t="shared" si="3"/>
        <v>7.2454427255791806E-2</v>
      </c>
      <c r="AF65" s="420">
        <f t="shared" si="4"/>
        <v>222896.40901361848</v>
      </c>
      <c r="AG65" s="244">
        <f t="shared" si="5"/>
        <v>1</v>
      </c>
      <c r="AH65" s="244">
        <f t="shared" si="6"/>
        <v>1</v>
      </c>
      <c r="AI65" s="244">
        <f t="shared" si="7"/>
        <v>1</v>
      </c>
      <c r="AJ65" s="244">
        <f t="shared" si="8"/>
        <v>1</v>
      </c>
      <c r="AK65" s="244">
        <f t="shared" si="9"/>
        <v>1</v>
      </c>
      <c r="AL65" s="244">
        <f t="shared" si="10"/>
        <v>1</v>
      </c>
      <c r="AM65" s="244">
        <f t="shared" si="11"/>
        <v>1</v>
      </c>
      <c r="AN65" s="244">
        <f t="shared" si="12"/>
        <v>1</v>
      </c>
      <c r="AO65" s="244">
        <f t="shared" si="13"/>
        <v>1</v>
      </c>
      <c r="AP65" s="244">
        <f t="shared" si="14"/>
        <v>1</v>
      </c>
      <c r="AQ65" s="244">
        <f t="shared" si="15"/>
        <v>1</v>
      </c>
      <c r="AR65" s="244">
        <f t="shared" si="16"/>
        <v>1</v>
      </c>
      <c r="AS65" s="244">
        <f t="shared" si="17"/>
        <v>1</v>
      </c>
      <c r="AT65" s="244">
        <f t="shared" si="18"/>
        <v>1</v>
      </c>
      <c r="AU65" s="244">
        <f t="shared" si="19"/>
        <v>1</v>
      </c>
      <c r="AV65" s="244">
        <f t="shared" si="20"/>
        <v>1</v>
      </c>
      <c r="AW65" s="244">
        <f t="shared" si="21"/>
        <v>1</v>
      </c>
      <c r="AX65" s="244">
        <f t="shared" si="22"/>
        <v>1</v>
      </c>
      <c r="AY65" s="244">
        <f t="shared" si="23"/>
        <v>1</v>
      </c>
      <c r="AZ65" s="244">
        <f t="shared" si="24"/>
        <v>1</v>
      </c>
      <c r="BA65" s="244">
        <f t="shared" si="25"/>
        <v>1</v>
      </c>
      <c r="BB65" s="244">
        <f t="shared" si="26"/>
        <v>1</v>
      </c>
      <c r="BC65" s="244">
        <f t="shared" si="27"/>
        <v>1</v>
      </c>
      <c r="BD65" s="244">
        <f t="shared" si="28"/>
        <v>1</v>
      </c>
      <c r="BE65" s="244">
        <f t="shared" si="29"/>
        <v>1</v>
      </c>
      <c r="BF65" s="244">
        <f t="shared" si="30"/>
        <v>1</v>
      </c>
      <c r="BG65" s="244">
        <f t="shared" si="31"/>
        <v>1</v>
      </c>
    </row>
    <row r="66" spans="1:59" ht="45.75" hidden="1" customHeight="1" x14ac:dyDescent="0.25">
      <c r="A66" s="415"/>
      <c r="B66" s="416" t="str">
        <f t="shared" si="1"/>
        <v/>
      </c>
      <c r="C66" s="417" t="str">
        <f>IF('תנאי סף'!AO66&lt;&gt;1,"",'תנאי סף'!F66)</f>
        <v/>
      </c>
      <c r="D66" s="418" t="str">
        <f>'מספר הרצות'!Z66</f>
        <v/>
      </c>
      <c r="E66" s="418" t="str">
        <f>'מספר מבצעים בתשלום'!Z66</f>
        <v/>
      </c>
      <c r="F66" s="418" t="str">
        <f>'מיקום ההרצות'!Z66</f>
        <v/>
      </c>
      <c r="G66" s="418" t="str">
        <f>'רמה מקצועית ואמנותית'!Z66</f>
        <v/>
      </c>
      <c r="H66" s="418" t="str">
        <f>'מיקום גיאוגרפי'!AB66</f>
        <v/>
      </c>
      <c r="I66" s="418" t="str">
        <f>תקציב!Z66</f>
        <v/>
      </c>
      <c r="J66" s="418" t="str">
        <f>'עידוד יצירה ישראלית'!Z66</f>
        <v/>
      </c>
      <c r="K66" s="418" t="str">
        <f>תיעוד!$Z66</f>
        <v/>
      </c>
      <c r="L66" s="418"/>
      <c r="M66" s="418"/>
      <c r="N66" s="418"/>
      <c r="O66" s="418"/>
      <c r="P66" s="418"/>
      <c r="Q66" s="418"/>
      <c r="R66" s="419"/>
      <c r="S66" s="419"/>
      <c r="T66" s="419"/>
      <c r="U66" s="419"/>
      <c r="V66" s="419"/>
      <c r="W66" s="419"/>
      <c r="X66" s="419"/>
      <c r="Y66" s="419"/>
      <c r="Z66" s="419"/>
      <c r="AA66" s="419"/>
      <c r="AB66" s="419"/>
      <c r="AC66" s="419"/>
      <c r="AD66" s="419" t="str">
        <f t="shared" si="2"/>
        <v/>
      </c>
      <c r="AE66" s="419" t="str">
        <f t="shared" si="3"/>
        <v/>
      </c>
      <c r="AF66" s="420" t="str">
        <f t="shared" si="4"/>
        <v/>
      </c>
      <c r="AG66" s="244">
        <f t="shared" si="5"/>
        <v>1</v>
      </c>
      <c r="AH66" s="244">
        <f t="shared" si="6"/>
        <v>1</v>
      </c>
      <c r="AI66" s="244">
        <f t="shared" si="7"/>
        <v>1</v>
      </c>
      <c r="AJ66" s="244">
        <f t="shared" si="8"/>
        <v>1</v>
      </c>
      <c r="AK66" s="244">
        <f t="shared" si="9"/>
        <v>1</v>
      </c>
      <c r="AL66" s="244">
        <f t="shared" si="10"/>
        <v>1</v>
      </c>
      <c r="AM66" s="244">
        <f t="shared" si="11"/>
        <v>1</v>
      </c>
      <c r="AN66" s="244">
        <f t="shared" si="12"/>
        <v>1</v>
      </c>
      <c r="AO66" s="244">
        <f t="shared" si="13"/>
        <v>1</v>
      </c>
      <c r="AP66" s="244">
        <f t="shared" si="14"/>
        <v>1</v>
      </c>
      <c r="AQ66" s="244">
        <f t="shared" si="15"/>
        <v>1</v>
      </c>
      <c r="AR66" s="244">
        <f t="shared" si="16"/>
        <v>1</v>
      </c>
      <c r="AS66" s="244">
        <f t="shared" si="17"/>
        <v>1</v>
      </c>
      <c r="AT66" s="244">
        <f t="shared" si="18"/>
        <v>1</v>
      </c>
      <c r="AU66" s="244">
        <f t="shared" si="19"/>
        <v>1</v>
      </c>
      <c r="AV66" s="244">
        <f t="shared" si="20"/>
        <v>1</v>
      </c>
      <c r="AW66" s="244">
        <f t="shared" si="21"/>
        <v>1</v>
      </c>
      <c r="AX66" s="244">
        <f t="shared" si="22"/>
        <v>1</v>
      </c>
      <c r="AY66" s="244">
        <f t="shared" si="23"/>
        <v>1</v>
      </c>
      <c r="AZ66" s="244">
        <f t="shared" si="24"/>
        <v>1</v>
      </c>
      <c r="BA66" s="244">
        <f t="shared" si="25"/>
        <v>1</v>
      </c>
      <c r="BB66" s="244">
        <f t="shared" si="26"/>
        <v>1</v>
      </c>
      <c r="BC66" s="244">
        <f t="shared" si="27"/>
        <v>1</v>
      </c>
      <c r="BD66" s="244">
        <f t="shared" si="28"/>
        <v>1</v>
      </c>
      <c r="BE66" s="244">
        <f t="shared" si="29"/>
        <v>1</v>
      </c>
      <c r="BF66" s="244">
        <f t="shared" si="30"/>
        <v>1</v>
      </c>
      <c r="BG66" s="244">
        <f t="shared" si="31"/>
        <v>1</v>
      </c>
    </row>
    <row r="67" spans="1:59" ht="45.75" customHeight="1" x14ac:dyDescent="0.25">
      <c r="A67" s="415"/>
      <c r="B67" s="416">
        <f t="shared" si="1"/>
        <v>37</v>
      </c>
      <c r="C67" s="417" t="str">
        <f>IF('תנאי סף'!AO67&lt;&gt;1,"",'תנאי סף'!F67)</f>
        <v>אנסמבל ארז נטף</v>
      </c>
      <c r="D67" s="418">
        <f>'מספר הרצות'!Z67</f>
        <v>3.9768978389175605E-2</v>
      </c>
      <c r="E67" s="418">
        <f>'מספר מבצעים בתשלום'!Z67</f>
        <v>4.0453074433656963E-2</v>
      </c>
      <c r="F67" s="418">
        <f>'מיקום ההרצות'!Z67</f>
        <v>4.357541899441341E-2</v>
      </c>
      <c r="G67" s="418">
        <f>'רמה מקצועית ואמנותית'!Z67</f>
        <v>1.8535681186283594E-2</v>
      </c>
      <c r="H67" s="418">
        <f>'מיקום גיאוגרפי'!AB67</f>
        <v>6.8965517241379309E-2</v>
      </c>
      <c r="I67" s="418">
        <f>תקציב!Z67</f>
        <v>3.6809815950920248E-2</v>
      </c>
      <c r="J67" s="418">
        <f>'עידוד יצירה ישראלית'!Z67</f>
        <v>0</v>
      </c>
      <c r="K67" s="418">
        <f>תיעוד!$Z67</f>
        <v>2.2058823529411766E-2</v>
      </c>
      <c r="L67" s="418"/>
      <c r="M67" s="418"/>
      <c r="N67" s="418"/>
      <c r="O67" s="418"/>
      <c r="P67" s="418"/>
      <c r="Q67" s="418"/>
      <c r="R67" s="419"/>
      <c r="S67" s="419"/>
      <c r="T67" s="419"/>
      <c r="U67" s="419"/>
      <c r="V67" s="419"/>
      <c r="W67" s="419"/>
      <c r="X67" s="419"/>
      <c r="Y67" s="419"/>
      <c r="Z67" s="419"/>
      <c r="AA67" s="419"/>
      <c r="AB67" s="419"/>
      <c r="AC67" s="419"/>
      <c r="AD67" s="419">
        <f t="shared" si="2"/>
        <v>3.4862779137650943E-2</v>
      </c>
      <c r="AE67" s="419">
        <f t="shared" si="3"/>
        <v>3.4862779137650957E-2</v>
      </c>
      <c r="AF67" s="420">
        <f t="shared" si="4"/>
        <v>107250.70326735787</v>
      </c>
      <c r="AG67" s="244">
        <f t="shared" si="5"/>
        <v>1</v>
      </c>
      <c r="AH67" s="244">
        <f t="shared" si="6"/>
        <v>1</v>
      </c>
      <c r="AI67" s="244">
        <f t="shared" si="7"/>
        <v>1</v>
      </c>
      <c r="AJ67" s="244">
        <f t="shared" si="8"/>
        <v>1</v>
      </c>
      <c r="AK67" s="244">
        <f t="shared" si="9"/>
        <v>1</v>
      </c>
      <c r="AL67" s="244">
        <f t="shared" si="10"/>
        <v>1</v>
      </c>
      <c r="AM67" s="244">
        <f t="shared" si="11"/>
        <v>1</v>
      </c>
      <c r="AN67" s="244">
        <f t="shared" si="12"/>
        <v>1</v>
      </c>
      <c r="AO67" s="244">
        <f t="shared" si="13"/>
        <v>1</v>
      </c>
      <c r="AP67" s="244">
        <f t="shared" si="14"/>
        <v>1</v>
      </c>
      <c r="AQ67" s="244">
        <f t="shared" si="15"/>
        <v>1</v>
      </c>
      <c r="AR67" s="244">
        <f t="shared" si="16"/>
        <v>1</v>
      </c>
      <c r="AS67" s="244">
        <f t="shared" si="17"/>
        <v>1</v>
      </c>
      <c r="AT67" s="244">
        <f t="shared" si="18"/>
        <v>1</v>
      </c>
      <c r="AU67" s="244">
        <f t="shared" si="19"/>
        <v>1</v>
      </c>
      <c r="AV67" s="244">
        <f t="shared" si="20"/>
        <v>1</v>
      </c>
      <c r="AW67" s="244">
        <f t="shared" si="21"/>
        <v>1</v>
      </c>
      <c r="AX67" s="244">
        <f t="shared" si="22"/>
        <v>1</v>
      </c>
      <c r="AY67" s="244">
        <f t="shared" si="23"/>
        <v>1</v>
      </c>
      <c r="AZ67" s="244">
        <f t="shared" si="24"/>
        <v>1</v>
      </c>
      <c r="BA67" s="244">
        <f t="shared" si="25"/>
        <v>1</v>
      </c>
      <c r="BB67" s="244">
        <f t="shared" si="26"/>
        <v>1</v>
      </c>
      <c r="BC67" s="244">
        <f t="shared" si="27"/>
        <v>1</v>
      </c>
      <c r="BD67" s="244">
        <f t="shared" si="28"/>
        <v>1</v>
      </c>
      <c r="BE67" s="244">
        <f t="shared" si="29"/>
        <v>1</v>
      </c>
      <c r="BF67" s="244">
        <f t="shared" si="30"/>
        <v>1</v>
      </c>
      <c r="BG67" s="244">
        <f t="shared" si="31"/>
        <v>1</v>
      </c>
    </row>
    <row r="68" spans="1:59" ht="45.75" hidden="1" customHeight="1" x14ac:dyDescent="0.25">
      <c r="A68" s="415"/>
      <c r="B68" s="416" t="str">
        <f t="shared" si="1"/>
        <v/>
      </c>
      <c r="C68" s="417" t="str">
        <f>IF('תנאי סף'!AO68&lt;&gt;1,"",'תנאי סף'!F68)</f>
        <v/>
      </c>
      <c r="D68" s="418" t="str">
        <f>'מספר הרצות'!Z68</f>
        <v/>
      </c>
      <c r="E68" s="418" t="str">
        <f>'מספר מבצעים בתשלום'!Z68</f>
        <v/>
      </c>
      <c r="F68" s="418" t="str">
        <f>'מיקום ההרצות'!Z68</f>
        <v/>
      </c>
      <c r="G68" s="418" t="str">
        <f>'רמה מקצועית ואמנותית'!Z68</f>
        <v/>
      </c>
      <c r="H68" s="418" t="str">
        <f>'מיקום גיאוגרפי'!AB68</f>
        <v/>
      </c>
      <c r="I68" s="418" t="str">
        <f>תקציב!Z68</f>
        <v/>
      </c>
      <c r="J68" s="418" t="str">
        <f>'עידוד יצירה ישראלית'!Z68</f>
        <v/>
      </c>
      <c r="K68" s="418" t="str">
        <f>תיעוד!$Z68</f>
        <v/>
      </c>
      <c r="L68" s="418"/>
      <c r="M68" s="418"/>
      <c r="N68" s="418"/>
      <c r="O68" s="418"/>
      <c r="P68" s="418"/>
      <c r="Q68" s="418"/>
      <c r="R68" s="419"/>
      <c r="S68" s="419"/>
      <c r="T68" s="419"/>
      <c r="U68" s="419"/>
      <c r="V68" s="419"/>
      <c r="W68" s="419"/>
      <c r="X68" s="419"/>
      <c r="Y68" s="419"/>
      <c r="Z68" s="419"/>
      <c r="AA68" s="419"/>
      <c r="AB68" s="419"/>
      <c r="AC68" s="419"/>
      <c r="AD68" s="419" t="str">
        <f t="shared" si="2"/>
        <v/>
      </c>
      <c r="AE68" s="419" t="str">
        <f t="shared" si="3"/>
        <v/>
      </c>
      <c r="AF68" s="420" t="str">
        <f t="shared" si="4"/>
        <v/>
      </c>
      <c r="AG68" s="244">
        <f t="shared" si="5"/>
        <v>1</v>
      </c>
      <c r="AH68" s="244">
        <f t="shared" si="6"/>
        <v>1</v>
      </c>
      <c r="AI68" s="244">
        <f t="shared" si="7"/>
        <v>1</v>
      </c>
      <c r="AJ68" s="244">
        <f t="shared" si="8"/>
        <v>1</v>
      </c>
      <c r="AK68" s="244">
        <f t="shared" si="9"/>
        <v>1</v>
      </c>
      <c r="AL68" s="244">
        <f t="shared" si="10"/>
        <v>1</v>
      </c>
      <c r="AM68" s="244">
        <f t="shared" si="11"/>
        <v>1</v>
      </c>
      <c r="AN68" s="244">
        <f t="shared" si="12"/>
        <v>1</v>
      </c>
      <c r="AO68" s="244">
        <f t="shared" si="13"/>
        <v>1</v>
      </c>
      <c r="AP68" s="244">
        <f t="shared" si="14"/>
        <v>1</v>
      </c>
      <c r="AQ68" s="244">
        <f t="shared" si="15"/>
        <v>1</v>
      </c>
      <c r="AR68" s="244">
        <f t="shared" si="16"/>
        <v>1</v>
      </c>
      <c r="AS68" s="244">
        <f t="shared" si="17"/>
        <v>1</v>
      </c>
      <c r="AT68" s="244">
        <f t="shared" si="18"/>
        <v>1</v>
      </c>
      <c r="AU68" s="244">
        <f t="shared" si="19"/>
        <v>1</v>
      </c>
      <c r="AV68" s="244">
        <f t="shared" si="20"/>
        <v>1</v>
      </c>
      <c r="AW68" s="244">
        <f t="shared" si="21"/>
        <v>1</v>
      </c>
      <c r="AX68" s="244">
        <f t="shared" si="22"/>
        <v>1</v>
      </c>
      <c r="AY68" s="244">
        <f t="shared" si="23"/>
        <v>1</v>
      </c>
      <c r="AZ68" s="244">
        <f t="shared" si="24"/>
        <v>1</v>
      </c>
      <c r="BA68" s="244">
        <f t="shared" si="25"/>
        <v>1</v>
      </c>
      <c r="BB68" s="244">
        <f t="shared" si="26"/>
        <v>1</v>
      </c>
      <c r="BC68" s="244">
        <f t="shared" si="27"/>
        <v>1</v>
      </c>
      <c r="BD68" s="244">
        <f t="shared" si="28"/>
        <v>1</v>
      </c>
      <c r="BE68" s="244">
        <f t="shared" si="29"/>
        <v>1</v>
      </c>
      <c r="BF68" s="244">
        <f t="shared" si="30"/>
        <v>1</v>
      </c>
      <c r="BG68" s="244">
        <f t="shared" si="31"/>
        <v>1</v>
      </c>
    </row>
    <row r="69" spans="1:59" ht="45.75" hidden="1" customHeight="1" x14ac:dyDescent="0.25">
      <c r="A69" s="415"/>
      <c r="B69" s="416" t="str">
        <f t="shared" si="1"/>
        <v/>
      </c>
      <c r="C69" s="417" t="str">
        <f>IF('תנאי סף'!AO69&lt;&gt;1,"",'תנאי סף'!F69)</f>
        <v/>
      </c>
      <c r="D69" s="418" t="str">
        <f>'מספר הרצות'!Z69</f>
        <v/>
      </c>
      <c r="E69" s="418" t="str">
        <f>'מספר מבצעים בתשלום'!Z69</f>
        <v/>
      </c>
      <c r="F69" s="418" t="str">
        <f>'מיקום ההרצות'!Z69</f>
        <v/>
      </c>
      <c r="G69" s="418" t="str">
        <f>'רמה מקצועית ואמנותית'!Z69</f>
        <v/>
      </c>
      <c r="H69" s="418" t="str">
        <f>'מיקום גיאוגרפי'!AB69</f>
        <v/>
      </c>
      <c r="I69" s="418" t="str">
        <f>תקציב!Z69</f>
        <v/>
      </c>
      <c r="J69" s="418" t="str">
        <f>'עידוד יצירה ישראלית'!Z69</f>
        <v/>
      </c>
      <c r="K69" s="418" t="str">
        <f>תיעוד!$Z69</f>
        <v/>
      </c>
      <c r="L69" s="418"/>
      <c r="M69" s="418"/>
      <c r="N69" s="418"/>
      <c r="O69" s="418"/>
      <c r="P69" s="418"/>
      <c r="Q69" s="418"/>
      <c r="R69" s="419"/>
      <c r="S69" s="419"/>
      <c r="T69" s="419"/>
      <c r="U69" s="419"/>
      <c r="V69" s="419"/>
      <c r="W69" s="419"/>
      <c r="X69" s="419"/>
      <c r="Y69" s="419"/>
      <c r="Z69" s="419"/>
      <c r="AA69" s="419"/>
      <c r="AB69" s="419"/>
      <c r="AC69" s="419"/>
      <c r="AD69" s="419" t="str">
        <f t="shared" si="2"/>
        <v/>
      </c>
      <c r="AE69" s="419" t="str">
        <f t="shared" si="3"/>
        <v/>
      </c>
      <c r="AF69" s="420" t="str">
        <f t="shared" si="4"/>
        <v/>
      </c>
      <c r="AG69" s="244">
        <f t="shared" si="5"/>
        <v>1</v>
      </c>
      <c r="AH69" s="244">
        <f t="shared" si="6"/>
        <v>1</v>
      </c>
      <c r="AI69" s="244">
        <f t="shared" si="7"/>
        <v>1</v>
      </c>
      <c r="AJ69" s="244">
        <f t="shared" si="8"/>
        <v>1</v>
      </c>
      <c r="AK69" s="244">
        <f t="shared" si="9"/>
        <v>1</v>
      </c>
      <c r="AL69" s="244">
        <f t="shared" si="10"/>
        <v>1</v>
      </c>
      <c r="AM69" s="244">
        <f t="shared" si="11"/>
        <v>1</v>
      </c>
      <c r="AN69" s="244">
        <f t="shared" si="12"/>
        <v>1</v>
      </c>
      <c r="AO69" s="244">
        <f t="shared" si="13"/>
        <v>1</v>
      </c>
      <c r="AP69" s="244">
        <f t="shared" si="14"/>
        <v>1</v>
      </c>
      <c r="AQ69" s="244">
        <f t="shared" si="15"/>
        <v>1</v>
      </c>
      <c r="AR69" s="244">
        <f t="shared" si="16"/>
        <v>1</v>
      </c>
      <c r="AS69" s="244">
        <f t="shared" si="17"/>
        <v>1</v>
      </c>
      <c r="AT69" s="244">
        <f t="shared" si="18"/>
        <v>1</v>
      </c>
      <c r="AU69" s="244">
        <f t="shared" si="19"/>
        <v>1</v>
      </c>
      <c r="AV69" s="244">
        <f t="shared" si="20"/>
        <v>1</v>
      </c>
      <c r="AW69" s="244">
        <f t="shared" si="21"/>
        <v>1</v>
      </c>
      <c r="AX69" s="244">
        <f t="shared" si="22"/>
        <v>1</v>
      </c>
      <c r="AY69" s="244">
        <f t="shared" si="23"/>
        <v>1</v>
      </c>
      <c r="AZ69" s="244">
        <f t="shared" si="24"/>
        <v>1</v>
      </c>
      <c r="BA69" s="244">
        <f t="shared" si="25"/>
        <v>1</v>
      </c>
      <c r="BB69" s="244">
        <f t="shared" si="26"/>
        <v>1</v>
      </c>
      <c r="BC69" s="244">
        <f t="shared" si="27"/>
        <v>1</v>
      </c>
      <c r="BD69" s="244">
        <f t="shared" si="28"/>
        <v>1</v>
      </c>
      <c r="BE69" s="244">
        <f t="shared" si="29"/>
        <v>1</v>
      </c>
      <c r="BF69" s="244">
        <f t="shared" si="30"/>
        <v>1</v>
      </c>
      <c r="BG69" s="244">
        <f t="shared" si="31"/>
        <v>1</v>
      </c>
    </row>
    <row r="70" spans="1:59" ht="45.75" customHeight="1" x14ac:dyDescent="0.25">
      <c r="A70" s="415"/>
      <c r="B70" s="416">
        <f t="shared" si="1"/>
        <v>40</v>
      </c>
      <c r="C70" s="417" t="str">
        <f>IF('תנאי סף'!AO70&lt;&gt;1,"",'תנאי סף'!F70)</f>
        <v>תו המשווה (ע"ר)</v>
      </c>
      <c r="D70" s="418">
        <f>'מספר הרצות'!Z70</f>
        <v>4.1576659225047219E-2</v>
      </c>
      <c r="E70" s="418">
        <f>'מספר מבצעים בתשלום'!Z70</f>
        <v>8.0906148867313926E-3</v>
      </c>
      <c r="F70" s="418">
        <f>'מיקום ההרצות'!Z70</f>
        <v>4.0223463687150837E-2</v>
      </c>
      <c r="G70" s="418">
        <f>'רמה מקצועית ואמנותית'!Z70</f>
        <v>3.7071362372567189E-2</v>
      </c>
      <c r="H70" s="418">
        <f>'מיקום גיאוגרפי'!AB70</f>
        <v>0</v>
      </c>
      <c r="I70" s="418">
        <f>תקציב!Z70</f>
        <v>3.6809815950920248E-2</v>
      </c>
      <c r="J70" s="418">
        <f>'עידוד יצירה ישראלית'!Z70</f>
        <v>8.8435374149659865E-2</v>
      </c>
      <c r="K70" s="418">
        <f>תיעוד!$Z70</f>
        <v>7.3529411764705885E-2</v>
      </c>
      <c r="L70" s="418"/>
      <c r="M70" s="418"/>
      <c r="N70" s="418"/>
      <c r="O70" s="418"/>
      <c r="P70" s="418"/>
      <c r="Q70" s="418"/>
      <c r="R70" s="419"/>
      <c r="S70" s="419"/>
      <c r="T70" s="419"/>
      <c r="U70" s="419"/>
      <c r="V70" s="419"/>
      <c r="W70" s="419"/>
      <c r="X70" s="419"/>
      <c r="Y70" s="419"/>
      <c r="Z70" s="419"/>
      <c r="AA70" s="419"/>
      <c r="AB70" s="419"/>
      <c r="AC70" s="419"/>
      <c r="AD70" s="419">
        <f t="shared" si="2"/>
        <v>3.571749514524919E-2</v>
      </c>
      <c r="AE70" s="419">
        <f t="shared" si="3"/>
        <v>3.5717495145249203E-2</v>
      </c>
      <c r="AF70" s="420">
        <f t="shared" si="4"/>
        <v>109880.12338750485</v>
      </c>
      <c r="AG70" s="244">
        <f t="shared" si="5"/>
        <v>1</v>
      </c>
      <c r="AH70" s="244">
        <f t="shared" si="6"/>
        <v>1</v>
      </c>
      <c r="AI70" s="244">
        <f t="shared" si="7"/>
        <v>1</v>
      </c>
      <c r="AJ70" s="244">
        <f t="shared" si="8"/>
        <v>1</v>
      </c>
      <c r="AK70" s="244">
        <f t="shared" si="9"/>
        <v>1</v>
      </c>
      <c r="AL70" s="244">
        <f t="shared" si="10"/>
        <v>1</v>
      </c>
      <c r="AM70" s="244">
        <f t="shared" si="11"/>
        <v>1</v>
      </c>
      <c r="AN70" s="244">
        <f t="shared" si="12"/>
        <v>1</v>
      </c>
      <c r="AO70" s="244">
        <f t="shared" si="13"/>
        <v>1</v>
      </c>
      <c r="AP70" s="244">
        <f t="shared" si="14"/>
        <v>1</v>
      </c>
      <c r="AQ70" s="244">
        <f t="shared" si="15"/>
        <v>1</v>
      </c>
      <c r="AR70" s="244">
        <f t="shared" si="16"/>
        <v>1</v>
      </c>
      <c r="AS70" s="244">
        <f t="shared" si="17"/>
        <v>1</v>
      </c>
      <c r="AT70" s="244">
        <f t="shared" si="18"/>
        <v>1</v>
      </c>
      <c r="AU70" s="244">
        <f t="shared" si="19"/>
        <v>1</v>
      </c>
      <c r="AV70" s="244">
        <f t="shared" si="20"/>
        <v>1</v>
      </c>
      <c r="AW70" s="244">
        <f t="shared" si="21"/>
        <v>1</v>
      </c>
      <c r="AX70" s="244">
        <f t="shared" si="22"/>
        <v>1</v>
      </c>
      <c r="AY70" s="244">
        <f t="shared" si="23"/>
        <v>1</v>
      </c>
      <c r="AZ70" s="244">
        <f t="shared" si="24"/>
        <v>1</v>
      </c>
      <c r="BA70" s="244">
        <f t="shared" si="25"/>
        <v>1</v>
      </c>
      <c r="BB70" s="244">
        <f t="shared" si="26"/>
        <v>1</v>
      </c>
      <c r="BC70" s="244">
        <f t="shared" si="27"/>
        <v>1</v>
      </c>
      <c r="BD70" s="244">
        <f t="shared" si="28"/>
        <v>1</v>
      </c>
      <c r="BE70" s="244">
        <f t="shared" si="29"/>
        <v>1</v>
      </c>
      <c r="BF70" s="244">
        <f t="shared" si="30"/>
        <v>1</v>
      </c>
      <c r="BG70" s="244">
        <f t="shared" si="31"/>
        <v>1</v>
      </c>
    </row>
    <row r="71" spans="1:59" ht="45.75" hidden="1" customHeight="1" x14ac:dyDescent="0.25">
      <c r="A71" s="415"/>
      <c r="B71" s="416" t="str">
        <f t="shared" si="1"/>
        <v/>
      </c>
      <c r="C71" s="421" t="str">
        <f>IF('תנאי סף'!AO71&lt;&gt;1,"",'תנאי סף'!F71)</f>
        <v/>
      </c>
      <c r="D71" s="418" t="str">
        <f>'מספר הרצות'!Z71</f>
        <v/>
      </c>
      <c r="E71" s="418" t="str">
        <f>'מספר מבצעים בתשלום'!Z71</f>
        <v/>
      </c>
      <c r="F71" s="418" t="str">
        <f>'מיקום ההרצות'!Z71</f>
        <v/>
      </c>
      <c r="G71" s="418" t="str">
        <f>'רמה מקצועית ואמנותית'!Z71</f>
        <v/>
      </c>
      <c r="H71" s="418" t="str">
        <f>'מיקום גיאוגרפי'!AB71</f>
        <v/>
      </c>
      <c r="I71" s="418" t="str">
        <f>תקציב!Z71</f>
        <v/>
      </c>
      <c r="J71" s="418" t="str">
        <f>'עידוד יצירה ישראלית'!Z71</f>
        <v/>
      </c>
      <c r="K71" s="418" t="str">
        <f>תיעוד!$Z71</f>
        <v/>
      </c>
      <c r="L71" s="418"/>
      <c r="M71" s="418"/>
      <c r="N71" s="418"/>
      <c r="O71" s="418"/>
      <c r="P71" s="418"/>
      <c r="Q71" s="418"/>
      <c r="R71" s="419"/>
      <c r="S71" s="419"/>
      <c r="T71" s="419"/>
      <c r="U71" s="419"/>
      <c r="V71" s="419"/>
      <c r="W71" s="419"/>
      <c r="X71" s="419"/>
      <c r="Y71" s="419"/>
      <c r="Z71" s="419"/>
      <c r="AA71" s="419"/>
      <c r="AB71" s="419"/>
      <c r="AC71" s="419"/>
      <c r="AD71" s="419" t="str">
        <f t="shared" si="2"/>
        <v/>
      </c>
      <c r="AE71" s="419" t="str">
        <f t="shared" si="3"/>
        <v/>
      </c>
      <c r="AF71" s="420" t="str">
        <f t="shared" si="4"/>
        <v/>
      </c>
      <c r="AG71" s="244">
        <f t="shared" si="5"/>
        <v>1</v>
      </c>
      <c r="AH71" s="244">
        <f t="shared" si="6"/>
        <v>1</v>
      </c>
      <c r="AI71" s="244">
        <f t="shared" si="7"/>
        <v>1</v>
      </c>
      <c r="AJ71" s="244">
        <f t="shared" si="8"/>
        <v>1</v>
      </c>
      <c r="AK71" s="244">
        <f t="shared" si="9"/>
        <v>1</v>
      </c>
      <c r="AL71" s="244">
        <f t="shared" si="10"/>
        <v>1</v>
      </c>
      <c r="AM71" s="244">
        <f t="shared" si="11"/>
        <v>1</v>
      </c>
      <c r="AN71" s="244">
        <f t="shared" si="12"/>
        <v>1</v>
      </c>
      <c r="AO71" s="244">
        <f t="shared" si="13"/>
        <v>1</v>
      </c>
      <c r="AP71" s="244">
        <f t="shared" si="14"/>
        <v>1</v>
      </c>
      <c r="AQ71" s="244">
        <f t="shared" si="15"/>
        <v>1</v>
      </c>
      <c r="AR71" s="244">
        <f t="shared" si="16"/>
        <v>1</v>
      </c>
      <c r="AS71" s="244">
        <f t="shared" si="17"/>
        <v>1</v>
      </c>
      <c r="AT71" s="244">
        <f t="shared" si="18"/>
        <v>1</v>
      </c>
      <c r="AU71" s="244">
        <f t="shared" si="19"/>
        <v>1</v>
      </c>
      <c r="AV71" s="244">
        <f t="shared" si="20"/>
        <v>1</v>
      </c>
      <c r="AW71" s="244">
        <f t="shared" si="21"/>
        <v>1</v>
      </c>
      <c r="AX71" s="244">
        <f t="shared" si="22"/>
        <v>1</v>
      </c>
      <c r="AY71" s="244">
        <f t="shared" si="23"/>
        <v>1</v>
      </c>
      <c r="AZ71" s="244">
        <f t="shared" si="24"/>
        <v>1</v>
      </c>
      <c r="BA71" s="244">
        <f t="shared" si="25"/>
        <v>1</v>
      </c>
      <c r="BB71" s="244">
        <f t="shared" si="26"/>
        <v>1</v>
      </c>
      <c r="BC71" s="244">
        <f t="shared" si="27"/>
        <v>1</v>
      </c>
      <c r="BD71" s="244">
        <f t="shared" si="28"/>
        <v>1</v>
      </c>
      <c r="BE71" s="244">
        <f t="shared" si="29"/>
        <v>1</v>
      </c>
      <c r="BF71" s="244">
        <f t="shared" si="30"/>
        <v>1</v>
      </c>
      <c r="BG71" s="244">
        <f t="shared" si="31"/>
        <v>1</v>
      </c>
    </row>
    <row r="72" spans="1:59" ht="45.75" hidden="1" customHeight="1" x14ac:dyDescent="0.25">
      <c r="A72" s="415"/>
      <c r="B72" s="416" t="str">
        <f t="shared" si="1"/>
        <v/>
      </c>
      <c r="C72" s="421" t="str">
        <f>IF('תנאי סף'!AO72&lt;&gt;1,"",'תנאי סף'!F72)</f>
        <v/>
      </c>
      <c r="D72" s="418" t="str">
        <f>'מספר הרצות'!Z72</f>
        <v/>
      </c>
      <c r="E72" s="418" t="str">
        <f>'מספר מבצעים בתשלום'!Z72</f>
        <v/>
      </c>
      <c r="F72" s="418" t="str">
        <f>'מיקום ההרצות'!Z72</f>
        <v/>
      </c>
      <c r="G72" s="418" t="str">
        <f>'רמה מקצועית ואמנותית'!Z72</f>
        <v/>
      </c>
      <c r="H72" s="418" t="str">
        <f>'מיקום גיאוגרפי'!AB72</f>
        <v/>
      </c>
      <c r="I72" s="418" t="str">
        <f>תקציב!Z72</f>
        <v/>
      </c>
      <c r="J72" s="418" t="str">
        <f>'עידוד יצירה ישראלית'!Z72</f>
        <v/>
      </c>
      <c r="K72" s="418" t="str">
        <f>תיעוד!$Z72</f>
        <v/>
      </c>
      <c r="L72" s="418"/>
      <c r="M72" s="418"/>
      <c r="N72" s="418"/>
      <c r="O72" s="418"/>
      <c r="P72" s="418"/>
      <c r="Q72" s="418"/>
      <c r="R72" s="419"/>
      <c r="S72" s="419"/>
      <c r="T72" s="419"/>
      <c r="U72" s="419"/>
      <c r="V72" s="419"/>
      <c r="W72" s="419"/>
      <c r="X72" s="419"/>
      <c r="Y72" s="419"/>
      <c r="Z72" s="419"/>
      <c r="AA72" s="419"/>
      <c r="AB72" s="419"/>
      <c r="AC72" s="419"/>
      <c r="AD72" s="419" t="str">
        <f t="shared" si="2"/>
        <v/>
      </c>
      <c r="AE72" s="419" t="str">
        <f t="shared" si="3"/>
        <v/>
      </c>
      <c r="AF72" s="420" t="str">
        <f t="shared" si="4"/>
        <v/>
      </c>
      <c r="AG72" s="244">
        <f t="shared" si="5"/>
        <v>1</v>
      </c>
      <c r="AH72" s="244">
        <f t="shared" si="6"/>
        <v>1</v>
      </c>
      <c r="AI72" s="244">
        <f t="shared" si="7"/>
        <v>1</v>
      </c>
      <c r="AJ72" s="244">
        <f t="shared" si="8"/>
        <v>1</v>
      </c>
      <c r="AK72" s="244">
        <f t="shared" si="9"/>
        <v>1</v>
      </c>
      <c r="AL72" s="244">
        <f t="shared" si="10"/>
        <v>1</v>
      </c>
      <c r="AM72" s="244">
        <f t="shared" si="11"/>
        <v>1</v>
      </c>
      <c r="AN72" s="244">
        <f t="shared" si="12"/>
        <v>1</v>
      </c>
      <c r="AO72" s="244">
        <f t="shared" si="13"/>
        <v>1</v>
      </c>
      <c r="AP72" s="244">
        <f t="shared" si="14"/>
        <v>1</v>
      </c>
      <c r="AQ72" s="244">
        <f t="shared" si="15"/>
        <v>1</v>
      </c>
      <c r="AR72" s="244">
        <f t="shared" si="16"/>
        <v>1</v>
      </c>
      <c r="AS72" s="244">
        <f t="shared" si="17"/>
        <v>1</v>
      </c>
      <c r="AT72" s="244">
        <f t="shared" si="18"/>
        <v>1</v>
      </c>
      <c r="AU72" s="244">
        <f t="shared" si="19"/>
        <v>1</v>
      </c>
      <c r="AV72" s="244">
        <f t="shared" si="20"/>
        <v>1</v>
      </c>
      <c r="AW72" s="244">
        <f t="shared" si="21"/>
        <v>1</v>
      </c>
      <c r="AX72" s="244">
        <f t="shared" si="22"/>
        <v>1</v>
      </c>
      <c r="AY72" s="244">
        <f t="shared" si="23"/>
        <v>1</v>
      </c>
      <c r="AZ72" s="244">
        <f t="shared" si="24"/>
        <v>1</v>
      </c>
      <c r="BA72" s="244">
        <f t="shared" si="25"/>
        <v>1</v>
      </c>
      <c r="BB72" s="244">
        <f t="shared" si="26"/>
        <v>1</v>
      </c>
      <c r="BC72" s="244">
        <f t="shared" si="27"/>
        <v>1</v>
      </c>
      <c r="BD72" s="244">
        <f t="shared" si="28"/>
        <v>1</v>
      </c>
      <c r="BE72" s="244">
        <f t="shared" si="29"/>
        <v>1</v>
      </c>
      <c r="BF72" s="244">
        <f t="shared" si="30"/>
        <v>1</v>
      </c>
      <c r="BG72" s="244">
        <f t="shared" si="31"/>
        <v>1</v>
      </c>
    </row>
    <row r="73" spans="1:59" ht="45.75" customHeight="1" x14ac:dyDescent="0.25">
      <c r="A73" s="415"/>
      <c r="B73" s="416">
        <f t="shared" si="1"/>
        <v>43</v>
      </c>
      <c r="C73" s="421" t="str">
        <f>IF('תנאי סף'!AO73&lt;&gt;1,"",'תנאי סף'!F73)</f>
        <v>בר קיימא ואקלקוטנטקט</v>
      </c>
      <c r="D73" s="418">
        <f>'מספר הרצות'!Z73</f>
        <v>2.6609061904030219E-2</v>
      </c>
      <c r="E73" s="418">
        <f>'מספר מבצעים בתשלום'!Z73</f>
        <v>5.1779935275080909E-2</v>
      </c>
      <c r="F73" s="418">
        <f>'מיקום ההרצות'!Z73</f>
        <v>1.7877094972067038E-2</v>
      </c>
      <c r="G73" s="418">
        <f>'רמה מקצועית ואמנותית'!Z73</f>
        <v>2.2242817423540319E-2</v>
      </c>
      <c r="H73" s="418">
        <f>'מיקום גיאוגרפי'!AB73</f>
        <v>6.8965517241379309E-2</v>
      </c>
      <c r="I73" s="418">
        <f>תקציב!Z73</f>
        <v>1.2269938650306749E-2</v>
      </c>
      <c r="J73" s="418">
        <f>'עידוד יצירה ישראלית'!Z73</f>
        <v>8.8435374149659865E-2</v>
      </c>
      <c r="K73" s="418">
        <f>תיעוד!$Z73</f>
        <v>7.3529411764705885E-2</v>
      </c>
      <c r="L73" s="418"/>
      <c r="M73" s="418"/>
      <c r="N73" s="418"/>
      <c r="O73" s="418"/>
      <c r="P73" s="418"/>
      <c r="Q73" s="418"/>
      <c r="R73" s="419"/>
      <c r="S73" s="419"/>
      <c r="T73" s="419"/>
      <c r="U73" s="419"/>
      <c r="V73" s="419"/>
      <c r="W73" s="419"/>
      <c r="X73" s="419"/>
      <c r="Y73" s="419"/>
      <c r="Z73" s="419"/>
      <c r="AA73" s="419"/>
      <c r="AB73" s="419"/>
      <c r="AC73" s="419"/>
      <c r="AD73" s="419">
        <f t="shared" si="2"/>
        <v>4.1445485138929872E-2</v>
      </c>
      <c r="AE73" s="419">
        <f t="shared" si="3"/>
        <v>4.1445485138929886E-2</v>
      </c>
      <c r="AF73" s="420">
        <f t="shared" si="4"/>
        <v>127501.52278039431</v>
      </c>
      <c r="AG73" s="244">
        <f t="shared" si="5"/>
        <v>1</v>
      </c>
      <c r="AH73" s="244">
        <f t="shared" si="6"/>
        <v>1</v>
      </c>
      <c r="AI73" s="244">
        <f t="shared" si="7"/>
        <v>1</v>
      </c>
      <c r="AJ73" s="244">
        <f t="shared" si="8"/>
        <v>1</v>
      </c>
      <c r="AK73" s="244">
        <f t="shared" si="9"/>
        <v>1</v>
      </c>
      <c r="AL73" s="244">
        <f t="shared" si="10"/>
        <v>1</v>
      </c>
      <c r="AM73" s="244">
        <f t="shared" si="11"/>
        <v>1</v>
      </c>
      <c r="AN73" s="244">
        <f t="shared" si="12"/>
        <v>1</v>
      </c>
      <c r="AO73" s="244">
        <f t="shared" si="13"/>
        <v>1</v>
      </c>
      <c r="AP73" s="244">
        <f t="shared" si="14"/>
        <v>1</v>
      </c>
      <c r="AQ73" s="244">
        <f t="shared" si="15"/>
        <v>1</v>
      </c>
      <c r="AR73" s="244">
        <f t="shared" si="16"/>
        <v>1</v>
      </c>
      <c r="AS73" s="244">
        <f t="shared" si="17"/>
        <v>1</v>
      </c>
      <c r="AT73" s="244">
        <f t="shared" si="18"/>
        <v>1</v>
      </c>
      <c r="AU73" s="244">
        <f t="shared" si="19"/>
        <v>1</v>
      </c>
      <c r="AV73" s="244">
        <f t="shared" si="20"/>
        <v>1</v>
      </c>
      <c r="AW73" s="244">
        <f t="shared" si="21"/>
        <v>1</v>
      </c>
      <c r="AX73" s="244">
        <f t="shared" si="22"/>
        <v>1</v>
      </c>
      <c r="AY73" s="244">
        <f t="shared" si="23"/>
        <v>1</v>
      </c>
      <c r="AZ73" s="244">
        <f t="shared" si="24"/>
        <v>1</v>
      </c>
      <c r="BA73" s="244">
        <f t="shared" si="25"/>
        <v>1</v>
      </c>
      <c r="BB73" s="244">
        <f t="shared" si="26"/>
        <v>1</v>
      </c>
      <c r="BC73" s="244">
        <f t="shared" si="27"/>
        <v>1</v>
      </c>
      <c r="BD73" s="244">
        <f t="shared" si="28"/>
        <v>1</v>
      </c>
      <c r="BE73" s="244">
        <f t="shared" si="29"/>
        <v>1</v>
      </c>
      <c r="BF73" s="244">
        <f t="shared" si="30"/>
        <v>1</v>
      </c>
      <c r="BG73" s="244">
        <f t="shared" si="31"/>
        <v>1</v>
      </c>
    </row>
    <row r="74" spans="1:59" ht="45.75" hidden="1" customHeight="1" x14ac:dyDescent="0.25">
      <c r="A74" s="415"/>
      <c r="B74" s="416" t="str">
        <f t="shared" si="1"/>
        <v/>
      </c>
      <c r="C74" s="421" t="str">
        <f>IF('תנאי סף'!AO74&lt;&gt;1,"",'תנאי סף'!F74)</f>
        <v/>
      </c>
      <c r="D74" s="418" t="str">
        <f>'מספר הרצות'!Z74</f>
        <v/>
      </c>
      <c r="E74" s="418" t="str">
        <f>'מספר מבצעים בתשלום'!Z74</f>
        <v/>
      </c>
      <c r="F74" s="418" t="str">
        <f>'מיקום ההרצות'!Z74</f>
        <v/>
      </c>
      <c r="G74" s="418" t="str">
        <f>'רמה מקצועית ואמנותית'!Z74</f>
        <v/>
      </c>
      <c r="H74" s="418" t="str">
        <f>'מיקום גיאוגרפי'!AB74</f>
        <v/>
      </c>
      <c r="I74" s="418" t="str">
        <f>תקציב!Z74</f>
        <v/>
      </c>
      <c r="J74" s="418" t="str">
        <f>'עידוד יצירה ישראלית'!Z74</f>
        <v/>
      </c>
      <c r="K74" s="418" t="str">
        <f>תיעוד!$Z74</f>
        <v/>
      </c>
      <c r="L74" s="418"/>
      <c r="M74" s="418"/>
      <c r="N74" s="418"/>
      <c r="O74" s="418"/>
      <c r="P74" s="418"/>
      <c r="Q74" s="418"/>
      <c r="R74" s="419"/>
      <c r="S74" s="419"/>
      <c r="T74" s="419"/>
      <c r="U74" s="419"/>
      <c r="V74" s="419"/>
      <c r="W74" s="419"/>
      <c r="X74" s="419"/>
      <c r="Y74" s="419"/>
      <c r="Z74" s="419"/>
      <c r="AA74" s="419"/>
      <c r="AB74" s="419"/>
      <c r="AC74" s="419"/>
      <c r="AD74" s="419" t="str">
        <f t="shared" si="2"/>
        <v/>
      </c>
      <c r="AE74" s="419" t="str">
        <f t="shared" si="3"/>
        <v/>
      </c>
      <c r="AF74" s="420" t="str">
        <f t="shared" si="4"/>
        <v/>
      </c>
      <c r="AG74" s="244">
        <f t="shared" si="5"/>
        <v>1</v>
      </c>
      <c r="AH74" s="244">
        <f t="shared" si="6"/>
        <v>1</v>
      </c>
      <c r="AI74" s="244">
        <f t="shared" si="7"/>
        <v>1</v>
      </c>
      <c r="AJ74" s="244">
        <f t="shared" si="8"/>
        <v>1</v>
      </c>
      <c r="AK74" s="244">
        <f t="shared" si="9"/>
        <v>1</v>
      </c>
      <c r="AL74" s="244">
        <f t="shared" si="10"/>
        <v>1</v>
      </c>
      <c r="AM74" s="244">
        <f t="shared" si="11"/>
        <v>1</v>
      </c>
      <c r="AN74" s="244">
        <f t="shared" si="12"/>
        <v>1</v>
      </c>
      <c r="AO74" s="244">
        <f t="shared" si="13"/>
        <v>1</v>
      </c>
      <c r="AP74" s="244">
        <f t="shared" si="14"/>
        <v>1</v>
      </c>
      <c r="AQ74" s="244">
        <f t="shared" si="15"/>
        <v>1</v>
      </c>
      <c r="AR74" s="244">
        <f t="shared" si="16"/>
        <v>1</v>
      </c>
      <c r="AS74" s="244">
        <f t="shared" si="17"/>
        <v>1</v>
      </c>
      <c r="AT74" s="244">
        <f t="shared" si="18"/>
        <v>1</v>
      </c>
      <c r="AU74" s="244">
        <f t="shared" si="19"/>
        <v>1</v>
      </c>
      <c r="AV74" s="244">
        <f t="shared" si="20"/>
        <v>1</v>
      </c>
      <c r="AW74" s="244">
        <f t="shared" si="21"/>
        <v>1</v>
      </c>
      <c r="AX74" s="244">
        <f t="shared" si="22"/>
        <v>1</v>
      </c>
      <c r="AY74" s="244">
        <f t="shared" si="23"/>
        <v>1</v>
      </c>
      <c r="AZ74" s="244">
        <f t="shared" si="24"/>
        <v>1</v>
      </c>
      <c r="BA74" s="244">
        <f t="shared" si="25"/>
        <v>1</v>
      </c>
      <c r="BB74" s="244">
        <f t="shared" si="26"/>
        <v>1</v>
      </c>
      <c r="BC74" s="244">
        <f t="shared" si="27"/>
        <v>1</v>
      </c>
      <c r="BD74" s="244">
        <f t="shared" si="28"/>
        <v>1</v>
      </c>
      <c r="BE74" s="244">
        <f t="shared" si="29"/>
        <v>1</v>
      </c>
      <c r="BF74" s="244">
        <f t="shared" si="30"/>
        <v>1</v>
      </c>
      <c r="BG74" s="244">
        <f t="shared" si="31"/>
        <v>1</v>
      </c>
    </row>
    <row r="75" spans="1:59" ht="45.75" customHeight="1" x14ac:dyDescent="0.25">
      <c r="A75" s="415"/>
      <c r="B75" s="416">
        <f t="shared" si="1"/>
        <v>45</v>
      </c>
      <c r="C75" s="421" t="str">
        <f>IF('תנאי סף'!AO75&lt;&gt;1,"",'תנאי סף'!F75)</f>
        <v>אלקאת התזמורת התימנית</v>
      </c>
      <c r="D75" s="418">
        <f>'מספר הרצות'!Z75</f>
        <v>2.4945995535028333E-2</v>
      </c>
      <c r="E75" s="418">
        <f>'מספר מבצעים בתשלום'!Z75</f>
        <v>1.6181229773462785E-2</v>
      </c>
      <c r="F75" s="418">
        <f>'מיקום ההרצות'!Z75</f>
        <v>1.899441340782123E-2</v>
      </c>
      <c r="G75" s="418">
        <f>'רמה מקצועית ואמנותית'!Z75</f>
        <v>3.7071362372567189E-2</v>
      </c>
      <c r="H75" s="418">
        <f>'מיקום גיאוגרפי'!AB75</f>
        <v>3.4482758620689655E-2</v>
      </c>
      <c r="I75" s="418">
        <f>תקציב!Z75</f>
        <v>3.6809815950920248E-2</v>
      </c>
      <c r="J75" s="418">
        <f>'עידוד יצירה ישראלית'!Z75</f>
        <v>6.8027210884353739E-3</v>
      </c>
      <c r="K75" s="418">
        <f>תיעוד!$Z75</f>
        <v>3.6764705882352942E-2</v>
      </c>
      <c r="L75" s="418"/>
      <c r="M75" s="418"/>
      <c r="N75" s="418"/>
      <c r="O75" s="418"/>
      <c r="P75" s="418"/>
      <c r="Q75" s="418"/>
      <c r="R75" s="419"/>
      <c r="S75" s="419"/>
      <c r="T75" s="419"/>
      <c r="U75" s="419"/>
      <c r="V75" s="419"/>
      <c r="W75" s="419"/>
      <c r="X75" s="419"/>
      <c r="Y75" s="419"/>
      <c r="Z75" s="419"/>
      <c r="AA75" s="419"/>
      <c r="AB75" s="419"/>
      <c r="AC75" s="419"/>
      <c r="AD75" s="419">
        <f t="shared" si="2"/>
        <v>2.53333556184876E-2</v>
      </c>
      <c r="AE75" s="419">
        <f t="shared" si="3"/>
        <v>2.5333355618487607E-2</v>
      </c>
      <c r="AF75" s="420">
        <f t="shared" si="4"/>
        <v>77934.699223979856</v>
      </c>
      <c r="AG75" s="244">
        <f t="shared" si="5"/>
        <v>1</v>
      </c>
      <c r="AH75" s="244">
        <f t="shared" si="6"/>
        <v>1</v>
      </c>
      <c r="AI75" s="244">
        <f t="shared" si="7"/>
        <v>1</v>
      </c>
      <c r="AJ75" s="244">
        <f t="shared" si="8"/>
        <v>1</v>
      </c>
      <c r="AK75" s="244">
        <f t="shared" si="9"/>
        <v>1</v>
      </c>
      <c r="AL75" s="244">
        <f t="shared" si="10"/>
        <v>1</v>
      </c>
      <c r="AM75" s="244">
        <f t="shared" si="11"/>
        <v>1</v>
      </c>
      <c r="AN75" s="244">
        <f t="shared" si="12"/>
        <v>1</v>
      </c>
      <c r="AO75" s="244">
        <f t="shared" si="13"/>
        <v>1</v>
      </c>
      <c r="AP75" s="244">
        <f t="shared" si="14"/>
        <v>1</v>
      </c>
      <c r="AQ75" s="244">
        <f t="shared" si="15"/>
        <v>1</v>
      </c>
      <c r="AR75" s="244">
        <f t="shared" si="16"/>
        <v>1</v>
      </c>
      <c r="AS75" s="244">
        <f t="shared" si="17"/>
        <v>1</v>
      </c>
      <c r="AT75" s="244">
        <f t="shared" si="18"/>
        <v>1</v>
      </c>
      <c r="AU75" s="244">
        <f t="shared" si="19"/>
        <v>1</v>
      </c>
      <c r="AV75" s="244">
        <f t="shared" si="20"/>
        <v>1</v>
      </c>
      <c r="AW75" s="244">
        <f t="shared" si="21"/>
        <v>1</v>
      </c>
      <c r="AX75" s="244">
        <f t="shared" si="22"/>
        <v>1</v>
      </c>
      <c r="AY75" s="244">
        <f t="shared" si="23"/>
        <v>1</v>
      </c>
      <c r="AZ75" s="244">
        <f t="shared" si="24"/>
        <v>1</v>
      </c>
      <c r="BA75" s="244">
        <f t="shared" si="25"/>
        <v>1</v>
      </c>
      <c r="BB75" s="244">
        <f t="shared" si="26"/>
        <v>1</v>
      </c>
      <c r="BC75" s="244">
        <f t="shared" si="27"/>
        <v>1</v>
      </c>
      <c r="BD75" s="244">
        <f t="shared" si="28"/>
        <v>1</v>
      </c>
      <c r="BE75" s="244">
        <f t="shared" si="29"/>
        <v>1</v>
      </c>
      <c r="BF75" s="244">
        <f t="shared" si="30"/>
        <v>1</v>
      </c>
      <c r="BG75" s="244">
        <f t="shared" si="31"/>
        <v>1</v>
      </c>
    </row>
    <row r="76" spans="1:59" ht="45.75" hidden="1" customHeight="1" x14ac:dyDescent="0.25">
      <c r="A76" s="415"/>
      <c r="B76" s="416" t="str">
        <f t="shared" si="1"/>
        <v/>
      </c>
      <c r="C76" s="421" t="str">
        <f>IF('תנאי סף'!AO76&lt;&gt;1,"",'תנאי סף'!F76)</f>
        <v/>
      </c>
      <c r="D76" s="418" t="str">
        <f>'מספר הרצות'!Z76</f>
        <v/>
      </c>
      <c r="E76" s="418" t="str">
        <f>'מספר מבצעים בתשלום'!Z76</f>
        <v/>
      </c>
      <c r="F76" s="418" t="str">
        <f>'מיקום ההרצות'!Z76</f>
        <v/>
      </c>
      <c r="G76" s="418" t="str">
        <f>'רמה מקצועית ואמנותית'!Z76</f>
        <v/>
      </c>
      <c r="H76" s="418" t="str">
        <f>'מיקום גיאוגרפי'!AB76</f>
        <v/>
      </c>
      <c r="I76" s="418" t="str">
        <f>תקציב!Z76</f>
        <v/>
      </c>
      <c r="J76" s="418" t="str">
        <f>'עידוד יצירה ישראלית'!Z76</f>
        <v/>
      </c>
      <c r="K76" s="418" t="str">
        <f>תיעוד!$Z76</f>
        <v/>
      </c>
      <c r="L76" s="418"/>
      <c r="M76" s="418"/>
      <c r="N76" s="418"/>
      <c r="O76" s="418"/>
      <c r="P76" s="418"/>
      <c r="Q76" s="418"/>
      <c r="R76" s="419"/>
      <c r="S76" s="419"/>
      <c r="T76" s="419"/>
      <c r="U76" s="419"/>
      <c r="V76" s="419"/>
      <c r="W76" s="419"/>
      <c r="X76" s="419"/>
      <c r="Y76" s="419"/>
      <c r="Z76" s="419"/>
      <c r="AA76" s="419"/>
      <c r="AB76" s="419"/>
      <c r="AC76" s="419"/>
      <c r="AD76" s="419" t="str">
        <f t="shared" si="2"/>
        <v/>
      </c>
      <c r="AE76" s="419" t="str">
        <f t="shared" si="3"/>
        <v/>
      </c>
      <c r="AF76" s="420" t="str">
        <f t="shared" si="4"/>
        <v/>
      </c>
      <c r="AG76" s="244">
        <f t="shared" si="5"/>
        <v>1</v>
      </c>
      <c r="AH76" s="244">
        <f t="shared" si="6"/>
        <v>1</v>
      </c>
      <c r="AI76" s="244">
        <f t="shared" si="7"/>
        <v>1</v>
      </c>
      <c r="AJ76" s="244">
        <f t="shared" si="8"/>
        <v>1</v>
      </c>
      <c r="AK76" s="244">
        <f t="shared" si="9"/>
        <v>1</v>
      </c>
      <c r="AL76" s="244">
        <f t="shared" si="10"/>
        <v>1</v>
      </c>
      <c r="AM76" s="244">
        <f t="shared" si="11"/>
        <v>1</v>
      </c>
      <c r="AN76" s="244">
        <f t="shared" si="12"/>
        <v>1</v>
      </c>
      <c r="AO76" s="244">
        <f t="shared" si="13"/>
        <v>1</v>
      </c>
      <c r="AP76" s="244">
        <f t="shared" si="14"/>
        <v>1</v>
      </c>
      <c r="AQ76" s="244">
        <f t="shared" si="15"/>
        <v>1</v>
      </c>
      <c r="AR76" s="244">
        <f t="shared" si="16"/>
        <v>1</v>
      </c>
      <c r="AS76" s="244">
        <f t="shared" si="17"/>
        <v>1</v>
      </c>
      <c r="AT76" s="244">
        <f t="shared" si="18"/>
        <v>1</v>
      </c>
      <c r="AU76" s="244">
        <f t="shared" si="19"/>
        <v>1</v>
      </c>
      <c r="AV76" s="244">
        <f t="shared" si="20"/>
        <v>1</v>
      </c>
      <c r="AW76" s="244">
        <f t="shared" si="21"/>
        <v>1</v>
      </c>
      <c r="AX76" s="244">
        <f t="shared" si="22"/>
        <v>1</v>
      </c>
      <c r="AY76" s="244">
        <f t="shared" si="23"/>
        <v>1</v>
      </c>
      <c r="AZ76" s="244">
        <f t="shared" si="24"/>
        <v>1</v>
      </c>
      <c r="BA76" s="244">
        <f t="shared" si="25"/>
        <v>1</v>
      </c>
      <c r="BB76" s="244">
        <f t="shared" si="26"/>
        <v>1</v>
      </c>
      <c r="BC76" s="244">
        <f t="shared" si="27"/>
        <v>1</v>
      </c>
      <c r="BD76" s="244">
        <f t="shared" si="28"/>
        <v>1</v>
      </c>
      <c r="BE76" s="244">
        <f t="shared" si="29"/>
        <v>1</v>
      </c>
      <c r="BF76" s="244">
        <f t="shared" si="30"/>
        <v>1</v>
      </c>
      <c r="BG76" s="244">
        <f t="shared" si="31"/>
        <v>1</v>
      </c>
    </row>
    <row r="77" spans="1:59" ht="45.75" hidden="1" customHeight="1" x14ac:dyDescent="0.25">
      <c r="A77" s="415"/>
      <c r="B77" s="416" t="str">
        <f t="shared" si="1"/>
        <v/>
      </c>
      <c r="C77" s="421" t="str">
        <f>IF('תנאי סף'!AO77&lt;&gt;1,"",'תנאי סף'!F77)</f>
        <v/>
      </c>
      <c r="D77" s="418" t="str">
        <f>'מספר הרצות'!Z77</f>
        <v/>
      </c>
      <c r="E77" s="418" t="str">
        <f>'מספר מבצעים בתשלום'!Z77</f>
        <v/>
      </c>
      <c r="F77" s="418" t="str">
        <f>'מיקום ההרצות'!Z77</f>
        <v/>
      </c>
      <c r="G77" s="418" t="str">
        <f>'רמה מקצועית ואמנותית'!Z77</f>
        <v/>
      </c>
      <c r="H77" s="418" t="str">
        <f>'מיקום גיאוגרפי'!AB77</f>
        <v/>
      </c>
      <c r="I77" s="418" t="str">
        <f>תקציב!Z77</f>
        <v/>
      </c>
      <c r="J77" s="418" t="str">
        <f>'עידוד יצירה ישראלית'!Z77</f>
        <v/>
      </c>
      <c r="K77" s="418" t="str">
        <f>תיעוד!$Z77</f>
        <v/>
      </c>
      <c r="L77" s="418"/>
      <c r="M77" s="418"/>
      <c r="N77" s="418"/>
      <c r="O77" s="418"/>
      <c r="P77" s="418"/>
      <c r="Q77" s="418"/>
      <c r="R77" s="419"/>
      <c r="S77" s="419"/>
      <c r="T77" s="419"/>
      <c r="U77" s="419"/>
      <c r="V77" s="419"/>
      <c r="W77" s="419"/>
      <c r="X77" s="419"/>
      <c r="Y77" s="419"/>
      <c r="Z77" s="419"/>
      <c r="AA77" s="419"/>
      <c r="AB77" s="419"/>
      <c r="AC77" s="419"/>
      <c r="AD77" s="419" t="str">
        <f t="shared" si="2"/>
        <v/>
      </c>
      <c r="AE77" s="419" t="str">
        <f t="shared" si="3"/>
        <v/>
      </c>
      <c r="AF77" s="420" t="str">
        <f t="shared" si="4"/>
        <v/>
      </c>
      <c r="AG77" s="244">
        <f t="shared" si="5"/>
        <v>1</v>
      </c>
      <c r="AH77" s="244">
        <f t="shared" si="6"/>
        <v>1</v>
      </c>
      <c r="AI77" s="244">
        <f t="shared" si="7"/>
        <v>1</v>
      </c>
      <c r="AJ77" s="244">
        <f t="shared" si="8"/>
        <v>1</v>
      </c>
      <c r="AK77" s="244">
        <f t="shared" si="9"/>
        <v>1</v>
      </c>
      <c r="AL77" s="244">
        <f t="shared" si="10"/>
        <v>1</v>
      </c>
      <c r="AM77" s="244">
        <f t="shared" si="11"/>
        <v>1</v>
      </c>
      <c r="AN77" s="244">
        <f t="shared" si="12"/>
        <v>1</v>
      </c>
      <c r="AO77" s="244">
        <f t="shared" si="13"/>
        <v>1</v>
      </c>
      <c r="AP77" s="244">
        <f t="shared" si="14"/>
        <v>1</v>
      </c>
      <c r="AQ77" s="244">
        <f t="shared" si="15"/>
        <v>1</v>
      </c>
      <c r="AR77" s="244">
        <f t="shared" si="16"/>
        <v>1</v>
      </c>
      <c r="AS77" s="244">
        <f t="shared" si="17"/>
        <v>1</v>
      </c>
      <c r="AT77" s="244">
        <f t="shared" si="18"/>
        <v>1</v>
      </c>
      <c r="AU77" s="244">
        <f t="shared" si="19"/>
        <v>1</v>
      </c>
      <c r="AV77" s="244">
        <f t="shared" si="20"/>
        <v>1</v>
      </c>
      <c r="AW77" s="244">
        <f t="shared" si="21"/>
        <v>1</v>
      </c>
      <c r="AX77" s="244">
        <f t="shared" si="22"/>
        <v>1</v>
      </c>
      <c r="AY77" s="244">
        <f t="shared" si="23"/>
        <v>1</v>
      </c>
      <c r="AZ77" s="244">
        <f t="shared" si="24"/>
        <v>1</v>
      </c>
      <c r="BA77" s="244">
        <f t="shared" si="25"/>
        <v>1</v>
      </c>
      <c r="BB77" s="244">
        <f t="shared" si="26"/>
        <v>1</v>
      </c>
      <c r="BC77" s="244">
        <f t="shared" si="27"/>
        <v>1</v>
      </c>
      <c r="BD77" s="244">
        <f t="shared" si="28"/>
        <v>1</v>
      </c>
      <c r="BE77" s="244">
        <f t="shared" si="29"/>
        <v>1</v>
      </c>
      <c r="BF77" s="244">
        <f t="shared" si="30"/>
        <v>1</v>
      </c>
      <c r="BG77" s="244">
        <f t="shared" si="31"/>
        <v>1</v>
      </c>
    </row>
    <row r="78" spans="1:59" ht="45.75" customHeight="1" x14ac:dyDescent="0.25">
      <c r="A78" s="415"/>
      <c r="B78" s="416">
        <f t="shared" si="1"/>
        <v>48</v>
      </c>
      <c r="C78" s="421" t="str">
        <f>IF('תנאי סף'!AO78&lt;&gt;1,"",'תנאי סף'!F78)</f>
        <v>גיא מינטוס- טריו</v>
      </c>
      <c r="D78" s="418">
        <f>'מספר הרצות'!Z78</f>
        <v>4.7813158108804307E-2</v>
      </c>
      <c r="E78" s="418">
        <f>'מספר מבצעים בתשלום'!Z78</f>
        <v>2.4271844660194174E-2</v>
      </c>
      <c r="F78" s="418">
        <f>'מיקום ההרצות'!Z78</f>
        <v>1.6759776536312849E-2</v>
      </c>
      <c r="G78" s="418">
        <f>'רמה מקצועית ואמנותית'!Z78</f>
        <v>4.6339202965708988E-2</v>
      </c>
      <c r="H78" s="418">
        <f>'מיקום גיאוגרפי'!AB78</f>
        <v>0</v>
      </c>
      <c r="I78" s="418">
        <f>תקציב!Z78</f>
        <v>2.4539877300613498E-2</v>
      </c>
      <c r="J78" s="418">
        <f>'עידוד יצירה ישראלית'!Z78</f>
        <v>5.4421768707482991E-2</v>
      </c>
      <c r="K78" s="418">
        <f>תיעוד!$Z78</f>
        <v>1.4705882352941176E-2</v>
      </c>
      <c r="L78" s="418"/>
      <c r="M78" s="418"/>
      <c r="N78" s="418"/>
      <c r="O78" s="418"/>
      <c r="P78" s="418"/>
      <c r="Q78" s="418"/>
      <c r="R78" s="419"/>
      <c r="S78" s="419"/>
      <c r="T78" s="419"/>
      <c r="U78" s="419"/>
      <c r="V78" s="419"/>
      <c r="W78" s="419"/>
      <c r="X78" s="419"/>
      <c r="Y78" s="419"/>
      <c r="Z78" s="419"/>
      <c r="AA78" s="419"/>
      <c r="AB78" s="419"/>
      <c r="AC78" s="419"/>
      <c r="AD78" s="419">
        <f t="shared" si="2"/>
        <v>3.1675317370744041E-2</v>
      </c>
      <c r="AE78" s="419">
        <f t="shared" si="3"/>
        <v>3.1675317370744055E-2</v>
      </c>
      <c r="AF78" s="420">
        <f t="shared" si="4"/>
        <v>97444.901073883782</v>
      </c>
      <c r="AG78" s="244">
        <f t="shared" si="5"/>
        <v>1</v>
      </c>
      <c r="AH78" s="244">
        <f t="shared" si="6"/>
        <v>1</v>
      </c>
      <c r="AI78" s="244">
        <f t="shared" si="7"/>
        <v>1</v>
      </c>
      <c r="AJ78" s="244">
        <f t="shared" si="8"/>
        <v>1</v>
      </c>
      <c r="AK78" s="244">
        <f t="shared" si="9"/>
        <v>1</v>
      </c>
      <c r="AL78" s="244">
        <f t="shared" si="10"/>
        <v>1</v>
      </c>
      <c r="AM78" s="244">
        <f t="shared" si="11"/>
        <v>1</v>
      </c>
      <c r="AN78" s="244">
        <f t="shared" si="12"/>
        <v>1</v>
      </c>
      <c r="AO78" s="244">
        <f t="shared" si="13"/>
        <v>1</v>
      </c>
      <c r="AP78" s="244">
        <f t="shared" si="14"/>
        <v>1</v>
      </c>
      <c r="AQ78" s="244">
        <f t="shared" si="15"/>
        <v>1</v>
      </c>
      <c r="AR78" s="244">
        <f t="shared" si="16"/>
        <v>1</v>
      </c>
      <c r="AS78" s="244">
        <f t="shared" si="17"/>
        <v>1</v>
      </c>
      <c r="AT78" s="244">
        <f t="shared" si="18"/>
        <v>1</v>
      </c>
      <c r="AU78" s="244">
        <f t="shared" si="19"/>
        <v>1</v>
      </c>
      <c r="AV78" s="244">
        <f t="shared" si="20"/>
        <v>1</v>
      </c>
      <c r="AW78" s="244">
        <f t="shared" si="21"/>
        <v>1</v>
      </c>
      <c r="AX78" s="244">
        <f t="shared" si="22"/>
        <v>1</v>
      </c>
      <c r="AY78" s="244">
        <f t="shared" si="23"/>
        <v>1</v>
      </c>
      <c r="AZ78" s="244">
        <f t="shared" si="24"/>
        <v>1</v>
      </c>
      <c r="BA78" s="244">
        <f t="shared" si="25"/>
        <v>1</v>
      </c>
      <c r="BB78" s="244">
        <f t="shared" si="26"/>
        <v>1</v>
      </c>
      <c r="BC78" s="244">
        <f t="shared" si="27"/>
        <v>1</v>
      </c>
      <c r="BD78" s="244">
        <f t="shared" si="28"/>
        <v>1</v>
      </c>
      <c r="BE78" s="244">
        <f t="shared" si="29"/>
        <v>1</v>
      </c>
      <c r="BF78" s="244">
        <f t="shared" si="30"/>
        <v>1</v>
      </c>
      <c r="BG78" s="244">
        <f t="shared" si="31"/>
        <v>1</v>
      </c>
    </row>
    <row r="79" spans="1:59" ht="45.75" hidden="1" customHeight="1" x14ac:dyDescent="0.25">
      <c r="A79" s="415"/>
      <c r="B79" s="416" t="str">
        <f t="shared" si="1"/>
        <v/>
      </c>
      <c r="C79" s="421" t="str">
        <f>IF('תנאי סף'!AO79&lt;&gt;1,"",'תנאי סף'!F79)</f>
        <v/>
      </c>
      <c r="D79" s="418" t="str">
        <f>'מספר הרצות'!Z79</f>
        <v/>
      </c>
      <c r="E79" s="418" t="str">
        <f>'מספר מבצעים בתשלום'!Z79</f>
        <v/>
      </c>
      <c r="F79" s="418" t="str">
        <f>'מיקום ההרצות'!Z79</f>
        <v/>
      </c>
      <c r="G79" s="418" t="str">
        <f>'רמה מקצועית ואמנותית'!Z79</f>
        <v/>
      </c>
      <c r="H79" s="418" t="str">
        <f>'מיקום גיאוגרפי'!AB79</f>
        <v/>
      </c>
      <c r="I79" s="418" t="str">
        <f>תקציב!Z79</f>
        <v/>
      </c>
      <c r="J79" s="418" t="str">
        <f>'עידוד יצירה ישראלית'!Z79</f>
        <v/>
      </c>
      <c r="K79" s="418" t="str">
        <f>תיעוד!$Z79</f>
        <v/>
      </c>
      <c r="L79" s="418"/>
      <c r="M79" s="418"/>
      <c r="N79" s="418"/>
      <c r="O79" s="418"/>
      <c r="P79" s="418"/>
      <c r="Q79" s="418"/>
      <c r="R79" s="419"/>
      <c r="S79" s="419"/>
      <c r="T79" s="419"/>
      <c r="U79" s="419"/>
      <c r="V79" s="419"/>
      <c r="W79" s="419"/>
      <c r="X79" s="419"/>
      <c r="Y79" s="419"/>
      <c r="Z79" s="419"/>
      <c r="AA79" s="419"/>
      <c r="AB79" s="419"/>
      <c r="AC79" s="419"/>
      <c r="AD79" s="419" t="str">
        <f t="shared" si="2"/>
        <v/>
      </c>
      <c r="AE79" s="419" t="str">
        <f t="shared" si="3"/>
        <v/>
      </c>
      <c r="AF79" s="420" t="str">
        <f t="shared" si="4"/>
        <v/>
      </c>
      <c r="AG79" s="244">
        <f t="shared" si="5"/>
        <v>1</v>
      </c>
      <c r="AH79" s="244">
        <f t="shared" si="6"/>
        <v>1</v>
      </c>
      <c r="AI79" s="244">
        <f t="shared" si="7"/>
        <v>1</v>
      </c>
      <c r="AJ79" s="244">
        <f t="shared" si="8"/>
        <v>1</v>
      </c>
      <c r="AK79" s="244">
        <f t="shared" si="9"/>
        <v>1</v>
      </c>
      <c r="AL79" s="244">
        <f t="shared" si="10"/>
        <v>1</v>
      </c>
      <c r="AM79" s="244">
        <f t="shared" si="11"/>
        <v>1</v>
      </c>
      <c r="AN79" s="244">
        <f t="shared" si="12"/>
        <v>1</v>
      </c>
      <c r="AO79" s="244">
        <f t="shared" si="13"/>
        <v>1</v>
      </c>
      <c r="AP79" s="244">
        <f t="shared" si="14"/>
        <v>1</v>
      </c>
      <c r="AQ79" s="244">
        <f t="shared" si="15"/>
        <v>1</v>
      </c>
      <c r="AR79" s="244">
        <f t="shared" si="16"/>
        <v>1</v>
      </c>
      <c r="AS79" s="244">
        <f t="shared" si="17"/>
        <v>1</v>
      </c>
      <c r="AT79" s="244">
        <f t="shared" si="18"/>
        <v>1</v>
      </c>
      <c r="AU79" s="244">
        <f t="shared" si="19"/>
        <v>1</v>
      </c>
      <c r="AV79" s="244">
        <f t="shared" si="20"/>
        <v>1</v>
      </c>
      <c r="AW79" s="244">
        <f t="shared" si="21"/>
        <v>1</v>
      </c>
      <c r="AX79" s="244">
        <f t="shared" si="22"/>
        <v>1</v>
      </c>
      <c r="AY79" s="244">
        <f t="shared" si="23"/>
        <v>1</v>
      </c>
      <c r="AZ79" s="244">
        <f t="shared" si="24"/>
        <v>1</v>
      </c>
      <c r="BA79" s="244">
        <f t="shared" si="25"/>
        <v>1</v>
      </c>
      <c r="BB79" s="244">
        <f t="shared" si="26"/>
        <v>1</v>
      </c>
      <c r="BC79" s="244">
        <f t="shared" si="27"/>
        <v>1</v>
      </c>
      <c r="BD79" s="244">
        <f t="shared" si="28"/>
        <v>1</v>
      </c>
      <c r="BE79" s="244">
        <f t="shared" si="29"/>
        <v>1</v>
      </c>
      <c r="BF79" s="244">
        <f t="shared" si="30"/>
        <v>1</v>
      </c>
      <c r="BG79" s="244">
        <f t="shared" si="31"/>
        <v>1</v>
      </c>
    </row>
    <row r="80" spans="1:59" ht="45.75" hidden="1" customHeight="1" x14ac:dyDescent="0.25">
      <c r="A80" s="415"/>
      <c r="B80" s="416" t="str">
        <f t="shared" si="1"/>
        <v/>
      </c>
      <c r="C80" s="421" t="str">
        <f>IF('תנאי סף'!AO80&lt;&gt;1,"",'תנאי סף'!F80)</f>
        <v/>
      </c>
      <c r="D80" s="418" t="str">
        <f>'מספר הרצות'!Z80</f>
        <v/>
      </c>
      <c r="E80" s="418" t="str">
        <f>'מספר מבצעים בתשלום'!Z80</f>
        <v/>
      </c>
      <c r="F80" s="418" t="str">
        <f>'מיקום ההרצות'!Z80</f>
        <v/>
      </c>
      <c r="G80" s="418" t="str">
        <f>'רמה מקצועית ואמנותית'!Z80</f>
        <v/>
      </c>
      <c r="H80" s="418" t="str">
        <f>'מיקום גיאוגרפי'!AB80</f>
        <v/>
      </c>
      <c r="I80" s="418" t="str">
        <f>תקציב!Z80</f>
        <v/>
      </c>
      <c r="J80" s="418" t="str">
        <f>'עידוד יצירה ישראלית'!Z80</f>
        <v/>
      </c>
      <c r="K80" s="418" t="str">
        <f>תיעוד!$Z80</f>
        <v/>
      </c>
      <c r="L80" s="418"/>
      <c r="M80" s="418"/>
      <c r="N80" s="418"/>
      <c r="O80" s="418"/>
      <c r="P80" s="418"/>
      <c r="Q80" s="418"/>
      <c r="R80" s="419"/>
      <c r="S80" s="419"/>
      <c r="T80" s="419"/>
      <c r="U80" s="419"/>
      <c r="V80" s="419"/>
      <c r="W80" s="419"/>
      <c r="X80" s="419"/>
      <c r="Y80" s="419"/>
      <c r="Z80" s="419"/>
      <c r="AA80" s="419"/>
      <c r="AB80" s="419"/>
      <c r="AC80" s="419"/>
      <c r="AD80" s="419" t="str">
        <f t="shared" si="2"/>
        <v/>
      </c>
      <c r="AE80" s="419" t="str">
        <f t="shared" si="3"/>
        <v/>
      </c>
      <c r="AF80" s="420" t="str">
        <f t="shared" si="4"/>
        <v/>
      </c>
      <c r="AG80" s="244">
        <f t="shared" si="5"/>
        <v>1</v>
      </c>
      <c r="AH80" s="244">
        <f t="shared" si="6"/>
        <v>1</v>
      </c>
      <c r="AI80" s="244">
        <f t="shared" si="7"/>
        <v>1</v>
      </c>
      <c r="AJ80" s="244">
        <f t="shared" si="8"/>
        <v>1</v>
      </c>
      <c r="AK80" s="244">
        <f t="shared" si="9"/>
        <v>1</v>
      </c>
      <c r="AL80" s="244">
        <f t="shared" si="10"/>
        <v>1</v>
      </c>
      <c r="AM80" s="244">
        <f t="shared" si="11"/>
        <v>1</v>
      </c>
      <c r="AN80" s="244">
        <f t="shared" si="12"/>
        <v>1</v>
      </c>
      <c r="AO80" s="244">
        <f t="shared" si="13"/>
        <v>1</v>
      </c>
      <c r="AP80" s="244">
        <f t="shared" si="14"/>
        <v>1</v>
      </c>
      <c r="AQ80" s="244">
        <f t="shared" si="15"/>
        <v>1</v>
      </c>
      <c r="AR80" s="244">
        <f t="shared" si="16"/>
        <v>1</v>
      </c>
      <c r="AS80" s="244">
        <f t="shared" si="17"/>
        <v>1</v>
      </c>
      <c r="AT80" s="244">
        <f t="shared" si="18"/>
        <v>1</v>
      </c>
      <c r="AU80" s="244">
        <f t="shared" si="19"/>
        <v>1</v>
      </c>
      <c r="AV80" s="244">
        <f t="shared" si="20"/>
        <v>1</v>
      </c>
      <c r="AW80" s="244">
        <f t="shared" si="21"/>
        <v>1</v>
      </c>
      <c r="AX80" s="244">
        <f t="shared" si="22"/>
        <v>1</v>
      </c>
      <c r="AY80" s="244">
        <f t="shared" si="23"/>
        <v>1</v>
      </c>
      <c r="AZ80" s="244">
        <f t="shared" si="24"/>
        <v>1</v>
      </c>
      <c r="BA80" s="244">
        <f t="shared" si="25"/>
        <v>1</v>
      </c>
      <c r="BB80" s="244">
        <f t="shared" si="26"/>
        <v>1</v>
      </c>
      <c r="BC80" s="244">
        <f t="shared" si="27"/>
        <v>1</v>
      </c>
      <c r="BD80" s="244">
        <f t="shared" si="28"/>
        <v>1</v>
      </c>
      <c r="BE80" s="244">
        <f t="shared" si="29"/>
        <v>1</v>
      </c>
      <c r="BF80" s="244">
        <f t="shared" si="30"/>
        <v>1</v>
      </c>
      <c r="BG80" s="244">
        <f t="shared" si="31"/>
        <v>1</v>
      </c>
    </row>
    <row r="81" spans="1:59" ht="45.75" hidden="1" customHeight="1" x14ac:dyDescent="0.25">
      <c r="A81" s="415"/>
      <c r="B81" s="416" t="str">
        <f t="shared" si="1"/>
        <v/>
      </c>
      <c r="C81" s="421" t="str">
        <f>IF('תנאי סף'!AO81&lt;&gt;1,"",'תנאי סף'!F81)</f>
        <v/>
      </c>
      <c r="D81" s="418" t="str">
        <f>'מספר הרצות'!Z81</f>
        <v/>
      </c>
      <c r="E81" s="418" t="str">
        <f>'מספר מבצעים בתשלום'!Z81</f>
        <v/>
      </c>
      <c r="F81" s="418" t="str">
        <f>'מיקום ההרצות'!Z81</f>
        <v/>
      </c>
      <c r="G81" s="418" t="str">
        <f>'רמה מקצועית ואמנותית'!Z81</f>
        <v/>
      </c>
      <c r="H81" s="418" t="str">
        <f>'מיקום גיאוגרפי'!AB81</f>
        <v/>
      </c>
      <c r="I81" s="418" t="str">
        <f>תקציב!Z81</f>
        <v/>
      </c>
      <c r="J81" s="418" t="str">
        <f>'עידוד יצירה ישראלית'!Z81</f>
        <v/>
      </c>
      <c r="K81" s="418" t="str">
        <f>תיעוד!$Z81</f>
        <v/>
      </c>
      <c r="L81" s="418"/>
      <c r="M81" s="418"/>
      <c r="N81" s="418"/>
      <c r="O81" s="418"/>
      <c r="P81" s="418"/>
      <c r="Q81" s="418"/>
      <c r="R81" s="419"/>
      <c r="S81" s="419"/>
      <c r="T81" s="419"/>
      <c r="U81" s="419"/>
      <c r="V81" s="419"/>
      <c r="W81" s="419"/>
      <c r="X81" s="419"/>
      <c r="Y81" s="419"/>
      <c r="Z81" s="419"/>
      <c r="AA81" s="419"/>
      <c r="AB81" s="419"/>
      <c r="AC81" s="419"/>
      <c r="AD81" s="419" t="str">
        <f t="shared" si="2"/>
        <v/>
      </c>
      <c r="AE81" s="419" t="str">
        <f t="shared" si="3"/>
        <v/>
      </c>
      <c r="AF81" s="420" t="str">
        <f t="shared" si="4"/>
        <v/>
      </c>
      <c r="AG81" s="244">
        <f t="shared" si="5"/>
        <v>1</v>
      </c>
      <c r="AH81" s="244">
        <f t="shared" si="6"/>
        <v>1</v>
      </c>
      <c r="AI81" s="244">
        <f t="shared" si="7"/>
        <v>1</v>
      </c>
      <c r="AJ81" s="244">
        <f t="shared" si="8"/>
        <v>1</v>
      </c>
      <c r="AK81" s="244">
        <f t="shared" si="9"/>
        <v>1</v>
      </c>
      <c r="AL81" s="244">
        <f t="shared" si="10"/>
        <v>1</v>
      </c>
      <c r="AM81" s="244">
        <f t="shared" si="11"/>
        <v>1</v>
      </c>
      <c r="AN81" s="244">
        <f t="shared" si="12"/>
        <v>1</v>
      </c>
      <c r="AO81" s="244">
        <f t="shared" si="13"/>
        <v>1</v>
      </c>
      <c r="AP81" s="244">
        <f t="shared" si="14"/>
        <v>1</v>
      </c>
      <c r="AQ81" s="244">
        <f t="shared" si="15"/>
        <v>1</v>
      </c>
      <c r="AR81" s="244">
        <f t="shared" si="16"/>
        <v>1</v>
      </c>
      <c r="AS81" s="244">
        <f t="shared" si="17"/>
        <v>1</v>
      </c>
      <c r="AT81" s="244">
        <f t="shared" si="18"/>
        <v>1</v>
      </c>
      <c r="AU81" s="244">
        <f t="shared" si="19"/>
        <v>1</v>
      </c>
      <c r="AV81" s="244">
        <f t="shared" si="20"/>
        <v>1</v>
      </c>
      <c r="AW81" s="244">
        <f t="shared" si="21"/>
        <v>1</v>
      </c>
      <c r="AX81" s="244">
        <f t="shared" si="22"/>
        <v>1</v>
      </c>
      <c r="AY81" s="244">
        <f t="shared" si="23"/>
        <v>1</v>
      </c>
      <c r="AZ81" s="244">
        <f t="shared" si="24"/>
        <v>1</v>
      </c>
      <c r="BA81" s="244">
        <f t="shared" si="25"/>
        <v>1</v>
      </c>
      <c r="BB81" s="244">
        <f t="shared" si="26"/>
        <v>1</v>
      </c>
      <c r="BC81" s="244">
        <f t="shared" si="27"/>
        <v>1</v>
      </c>
      <c r="BD81" s="244">
        <f t="shared" si="28"/>
        <v>1</v>
      </c>
      <c r="BE81" s="244">
        <f t="shared" si="29"/>
        <v>1</v>
      </c>
      <c r="BF81" s="244">
        <f t="shared" si="30"/>
        <v>1</v>
      </c>
      <c r="BG81" s="244">
        <f t="shared" si="31"/>
        <v>1</v>
      </c>
    </row>
    <row r="82" spans="1:59" ht="45.75" customHeight="1" x14ac:dyDescent="0.25">
      <c r="A82" s="415"/>
      <c r="B82" s="416">
        <f t="shared" si="1"/>
        <v>52</v>
      </c>
      <c r="C82" s="421" t="str">
        <f>IF('תנאי סף'!AO82&lt;&gt;1,"",'תנאי סף'!F82)</f>
        <v xml:space="preserve">פולקעס - בר-קיימא לתרבות </v>
      </c>
      <c r="D82" s="418">
        <f>'מספר הרצות'!Z82</f>
        <v>4.4902791963051004E-2</v>
      </c>
      <c r="E82" s="418">
        <f>'מספר מבצעים בתשלום'!Z82</f>
        <v>4.5307443365695796E-2</v>
      </c>
      <c r="F82" s="418">
        <f>'מיקום ההרצות'!Z82</f>
        <v>7.3743016759776542E-2</v>
      </c>
      <c r="G82" s="418">
        <f>'רמה מקצועית ואמנותית'!Z82</f>
        <v>2.9657089898053754E-2</v>
      </c>
      <c r="H82" s="418">
        <f>'מיקום גיאוגרפי'!AB82</f>
        <v>6.8965517241379309E-2</v>
      </c>
      <c r="I82" s="418">
        <f>תקציב!Z82</f>
        <v>3.6809815950920248E-2</v>
      </c>
      <c r="J82" s="418">
        <f>'עידוד יצירה ישראלית'!Z82</f>
        <v>0</v>
      </c>
      <c r="K82" s="418">
        <f>תיעוד!$Z82</f>
        <v>1.4705882352941176E-2</v>
      </c>
      <c r="L82" s="418"/>
      <c r="M82" s="418"/>
      <c r="N82" s="418"/>
      <c r="O82" s="418"/>
      <c r="P82" s="418"/>
      <c r="Q82" s="418"/>
      <c r="R82" s="419"/>
      <c r="S82" s="419"/>
      <c r="T82" s="419"/>
      <c r="U82" s="419"/>
      <c r="V82" s="419"/>
      <c r="W82" s="419"/>
      <c r="X82" s="419"/>
      <c r="Y82" s="419"/>
      <c r="Z82" s="419"/>
      <c r="AA82" s="419"/>
      <c r="AB82" s="419"/>
      <c r="AC82" s="419"/>
      <c r="AD82" s="419">
        <f t="shared" si="2"/>
        <v>4.1177739663312091E-2</v>
      </c>
      <c r="AE82" s="419">
        <f t="shared" si="3"/>
        <v>4.1177739663312105E-2</v>
      </c>
      <c r="AF82" s="420">
        <f t="shared" si="4"/>
        <v>126677.83943480447</v>
      </c>
      <c r="AG82" s="244">
        <f t="shared" si="5"/>
        <v>1</v>
      </c>
      <c r="AH82" s="244">
        <f t="shared" si="6"/>
        <v>1</v>
      </c>
      <c r="AI82" s="244">
        <f t="shared" si="7"/>
        <v>1</v>
      </c>
      <c r="AJ82" s="244">
        <f t="shared" si="8"/>
        <v>1</v>
      </c>
      <c r="AK82" s="244">
        <f t="shared" si="9"/>
        <v>1</v>
      </c>
      <c r="AL82" s="244">
        <f t="shared" si="10"/>
        <v>1</v>
      </c>
      <c r="AM82" s="244">
        <f t="shared" si="11"/>
        <v>1</v>
      </c>
      <c r="AN82" s="244">
        <f t="shared" si="12"/>
        <v>1</v>
      </c>
      <c r="AO82" s="244">
        <f t="shared" si="13"/>
        <v>1</v>
      </c>
      <c r="AP82" s="244">
        <f t="shared" si="14"/>
        <v>1</v>
      </c>
      <c r="AQ82" s="244">
        <f t="shared" si="15"/>
        <v>1</v>
      </c>
      <c r="AR82" s="244">
        <f t="shared" si="16"/>
        <v>1</v>
      </c>
      <c r="AS82" s="244">
        <f t="shared" si="17"/>
        <v>1</v>
      </c>
      <c r="AT82" s="244">
        <f t="shared" si="18"/>
        <v>1</v>
      </c>
      <c r="AU82" s="244">
        <f t="shared" si="19"/>
        <v>1</v>
      </c>
      <c r="AV82" s="244">
        <f t="shared" si="20"/>
        <v>1</v>
      </c>
      <c r="AW82" s="244">
        <f t="shared" si="21"/>
        <v>1</v>
      </c>
      <c r="AX82" s="244">
        <f t="shared" si="22"/>
        <v>1</v>
      </c>
      <c r="AY82" s="244">
        <f t="shared" si="23"/>
        <v>1</v>
      </c>
      <c r="AZ82" s="244">
        <f t="shared" si="24"/>
        <v>1</v>
      </c>
      <c r="BA82" s="244">
        <f t="shared" si="25"/>
        <v>1</v>
      </c>
      <c r="BB82" s="244">
        <f t="shared" si="26"/>
        <v>1</v>
      </c>
      <c r="BC82" s="244">
        <f t="shared" si="27"/>
        <v>1</v>
      </c>
      <c r="BD82" s="244">
        <f t="shared" si="28"/>
        <v>1</v>
      </c>
      <c r="BE82" s="244">
        <f t="shared" si="29"/>
        <v>1</v>
      </c>
      <c r="BF82" s="244">
        <f t="shared" si="30"/>
        <v>1</v>
      </c>
      <c r="BG82" s="244">
        <f t="shared" si="31"/>
        <v>1</v>
      </c>
    </row>
    <row r="83" spans="1:59" ht="45.75" hidden="1" customHeight="1" x14ac:dyDescent="0.25">
      <c r="A83" s="415"/>
      <c r="B83" s="416" t="str">
        <f t="shared" si="1"/>
        <v/>
      </c>
      <c r="C83" s="421" t="str">
        <f>IF('תנאי סף'!AO83&lt;&gt;1,"",'תנאי סף'!F83)</f>
        <v/>
      </c>
      <c r="D83" s="418" t="str">
        <f>'מספר הרצות'!Z83</f>
        <v/>
      </c>
      <c r="E83" s="418" t="str">
        <f>'מספר מבצעים בתשלום'!Z83</f>
        <v/>
      </c>
      <c r="F83" s="418" t="str">
        <f>'מיקום ההרצות'!Z83</f>
        <v/>
      </c>
      <c r="G83" s="418" t="str">
        <f>'רמה מקצועית ואמנותית'!Z83</f>
        <v/>
      </c>
      <c r="H83" s="418" t="str">
        <f>'מיקום גיאוגרפי'!AB83</f>
        <v/>
      </c>
      <c r="I83" s="418" t="str">
        <f>תקציב!Z83</f>
        <v/>
      </c>
      <c r="J83" s="418" t="str">
        <f>'עידוד יצירה ישראלית'!Z83</f>
        <v/>
      </c>
      <c r="K83" s="418" t="str">
        <f>תיעוד!$Z83</f>
        <v/>
      </c>
      <c r="L83" s="418"/>
      <c r="M83" s="418"/>
      <c r="N83" s="418"/>
      <c r="O83" s="418"/>
      <c r="P83" s="418"/>
      <c r="Q83" s="418"/>
      <c r="R83" s="419"/>
      <c r="S83" s="419"/>
      <c r="T83" s="419"/>
      <c r="U83" s="419"/>
      <c r="V83" s="419"/>
      <c r="W83" s="419"/>
      <c r="X83" s="419"/>
      <c r="Y83" s="419"/>
      <c r="Z83" s="419"/>
      <c r="AA83" s="419"/>
      <c r="AB83" s="419"/>
      <c r="AC83" s="419"/>
      <c r="AD83" s="419" t="str">
        <f t="shared" si="2"/>
        <v/>
      </c>
      <c r="AE83" s="419" t="str">
        <f t="shared" si="3"/>
        <v/>
      </c>
      <c r="AF83" s="420" t="str">
        <f t="shared" si="4"/>
        <v/>
      </c>
      <c r="AG83" s="244">
        <f t="shared" si="5"/>
        <v>1</v>
      </c>
      <c r="AH83" s="244">
        <f t="shared" si="6"/>
        <v>1</v>
      </c>
      <c r="AI83" s="244">
        <f t="shared" si="7"/>
        <v>1</v>
      </c>
      <c r="AJ83" s="244">
        <f t="shared" si="8"/>
        <v>1</v>
      </c>
      <c r="AK83" s="244">
        <f t="shared" si="9"/>
        <v>1</v>
      </c>
      <c r="AL83" s="244">
        <f t="shared" si="10"/>
        <v>1</v>
      </c>
      <c r="AM83" s="244">
        <f t="shared" si="11"/>
        <v>1</v>
      </c>
      <c r="AN83" s="244">
        <f t="shared" si="12"/>
        <v>1</v>
      </c>
      <c r="AO83" s="244">
        <f t="shared" si="13"/>
        <v>1</v>
      </c>
      <c r="AP83" s="244">
        <f t="shared" si="14"/>
        <v>1</v>
      </c>
      <c r="AQ83" s="244">
        <f t="shared" si="15"/>
        <v>1</v>
      </c>
      <c r="AR83" s="244">
        <f t="shared" si="16"/>
        <v>1</v>
      </c>
      <c r="AS83" s="244">
        <f t="shared" si="17"/>
        <v>1</v>
      </c>
      <c r="AT83" s="244">
        <f t="shared" si="18"/>
        <v>1</v>
      </c>
      <c r="AU83" s="244">
        <f t="shared" si="19"/>
        <v>1</v>
      </c>
      <c r="AV83" s="244">
        <f t="shared" si="20"/>
        <v>1</v>
      </c>
      <c r="AW83" s="244">
        <f t="shared" si="21"/>
        <v>1</v>
      </c>
      <c r="AX83" s="244">
        <f t="shared" si="22"/>
        <v>1</v>
      </c>
      <c r="AY83" s="244">
        <f t="shared" si="23"/>
        <v>1</v>
      </c>
      <c r="AZ83" s="244">
        <f t="shared" si="24"/>
        <v>1</v>
      </c>
      <c r="BA83" s="244">
        <f t="shared" si="25"/>
        <v>1</v>
      </c>
      <c r="BB83" s="244">
        <f t="shared" si="26"/>
        <v>1</v>
      </c>
      <c r="BC83" s="244">
        <f t="shared" si="27"/>
        <v>1</v>
      </c>
      <c r="BD83" s="244">
        <f t="shared" si="28"/>
        <v>1</v>
      </c>
      <c r="BE83" s="244">
        <f t="shared" si="29"/>
        <v>1</v>
      </c>
      <c r="BF83" s="244">
        <f t="shared" si="30"/>
        <v>1</v>
      </c>
      <c r="BG83" s="244">
        <f t="shared" si="31"/>
        <v>1</v>
      </c>
    </row>
    <row r="84" spans="1:59" ht="45.75" hidden="1" customHeight="1" x14ac:dyDescent="0.25">
      <c r="A84" s="415"/>
      <c r="B84" s="416" t="str">
        <f t="shared" si="1"/>
        <v/>
      </c>
      <c r="C84" s="421" t="str">
        <f>IF('תנאי סף'!AO84&lt;&gt;1,"",'תנאי סף'!F84)</f>
        <v/>
      </c>
      <c r="D84" s="418" t="str">
        <f>'מספר הרצות'!Z84</f>
        <v/>
      </c>
      <c r="E84" s="418" t="str">
        <f>'מספר מבצעים בתשלום'!Z84</f>
        <v/>
      </c>
      <c r="F84" s="418" t="str">
        <f>'מיקום ההרצות'!Z84</f>
        <v/>
      </c>
      <c r="G84" s="418" t="str">
        <f>'רמה מקצועית ואמנותית'!Z84</f>
        <v/>
      </c>
      <c r="H84" s="418" t="str">
        <f>'מיקום גיאוגרפי'!AB84</f>
        <v/>
      </c>
      <c r="I84" s="418" t="str">
        <f>תקציב!Z84</f>
        <v/>
      </c>
      <c r="J84" s="418" t="str">
        <f>'עידוד יצירה ישראלית'!Z84</f>
        <v/>
      </c>
      <c r="K84" s="418" t="str">
        <f>תיעוד!$Z84</f>
        <v/>
      </c>
      <c r="L84" s="418"/>
      <c r="M84" s="418"/>
      <c r="N84" s="418"/>
      <c r="O84" s="418"/>
      <c r="P84" s="418"/>
      <c r="Q84" s="418"/>
      <c r="R84" s="419"/>
      <c r="S84" s="419"/>
      <c r="T84" s="419"/>
      <c r="U84" s="419"/>
      <c r="V84" s="419"/>
      <c r="W84" s="419"/>
      <c r="X84" s="419"/>
      <c r="Y84" s="419"/>
      <c r="Z84" s="419"/>
      <c r="AA84" s="419"/>
      <c r="AB84" s="419"/>
      <c r="AC84" s="419"/>
      <c r="AD84" s="419" t="str">
        <f t="shared" si="2"/>
        <v/>
      </c>
      <c r="AE84" s="419" t="str">
        <f t="shared" si="3"/>
        <v/>
      </c>
      <c r="AF84" s="420" t="str">
        <f t="shared" si="4"/>
        <v/>
      </c>
      <c r="AG84" s="244">
        <f t="shared" si="5"/>
        <v>1</v>
      </c>
      <c r="AH84" s="244">
        <f t="shared" si="6"/>
        <v>1</v>
      </c>
      <c r="AI84" s="244">
        <f t="shared" si="7"/>
        <v>1</v>
      </c>
      <c r="AJ84" s="244">
        <f t="shared" si="8"/>
        <v>1</v>
      </c>
      <c r="AK84" s="244">
        <f t="shared" si="9"/>
        <v>1</v>
      </c>
      <c r="AL84" s="244">
        <f t="shared" si="10"/>
        <v>1</v>
      </c>
      <c r="AM84" s="244">
        <f t="shared" si="11"/>
        <v>1</v>
      </c>
      <c r="AN84" s="244">
        <f t="shared" si="12"/>
        <v>1</v>
      </c>
      <c r="AO84" s="244">
        <f t="shared" si="13"/>
        <v>1</v>
      </c>
      <c r="AP84" s="244">
        <f t="shared" si="14"/>
        <v>1</v>
      </c>
      <c r="AQ84" s="244">
        <f t="shared" si="15"/>
        <v>1</v>
      </c>
      <c r="AR84" s="244">
        <f t="shared" si="16"/>
        <v>1</v>
      </c>
      <c r="AS84" s="244">
        <f t="shared" si="17"/>
        <v>1</v>
      </c>
      <c r="AT84" s="244">
        <f t="shared" si="18"/>
        <v>1</v>
      </c>
      <c r="AU84" s="244">
        <f t="shared" si="19"/>
        <v>1</v>
      </c>
      <c r="AV84" s="244">
        <f t="shared" si="20"/>
        <v>1</v>
      </c>
      <c r="AW84" s="244">
        <f t="shared" si="21"/>
        <v>1</v>
      </c>
      <c r="AX84" s="244">
        <f t="shared" si="22"/>
        <v>1</v>
      </c>
      <c r="AY84" s="244">
        <f t="shared" si="23"/>
        <v>1</v>
      </c>
      <c r="AZ84" s="244">
        <f t="shared" si="24"/>
        <v>1</v>
      </c>
      <c r="BA84" s="244">
        <f t="shared" si="25"/>
        <v>1</v>
      </c>
      <c r="BB84" s="244">
        <f t="shared" si="26"/>
        <v>1</v>
      </c>
      <c r="BC84" s="244">
        <f t="shared" si="27"/>
        <v>1</v>
      </c>
      <c r="BD84" s="244">
        <f t="shared" si="28"/>
        <v>1</v>
      </c>
      <c r="BE84" s="244">
        <f t="shared" si="29"/>
        <v>1</v>
      </c>
      <c r="BF84" s="244">
        <f t="shared" si="30"/>
        <v>1</v>
      </c>
      <c r="BG84" s="244">
        <f t="shared" si="31"/>
        <v>1</v>
      </c>
    </row>
    <row r="85" spans="1:59" ht="45.75" customHeight="1" x14ac:dyDescent="0.25">
      <c r="A85" s="415"/>
      <c r="B85" s="416">
        <f t="shared" si="1"/>
        <v>55</v>
      </c>
      <c r="C85" s="421" t="str">
        <f>IF('תנאי סף'!AO85&lt;&gt;1,"",'תנאי סף'!F85)</f>
        <v>מכון רננות</v>
      </c>
      <c r="D85" s="418">
        <f>'מספר הרצות'!Z85</f>
        <v>1.7353736024367537E-2</v>
      </c>
      <c r="E85" s="418">
        <f>'מספר מבצעים בתשלום'!Z85</f>
        <v>5.8252427184466021E-2</v>
      </c>
      <c r="F85" s="418">
        <f>'מיקום ההרצות'!Z85</f>
        <v>2.0111731843575419E-2</v>
      </c>
      <c r="G85" s="418">
        <f>'רמה מקצועית ואמנותית'!Z85</f>
        <v>2.2242817423540319E-2</v>
      </c>
      <c r="H85" s="418">
        <f>'מיקום גיאוגרפי'!AB85</f>
        <v>6.8965517241379309E-2</v>
      </c>
      <c r="I85" s="418">
        <f>תקציב!Z85</f>
        <v>1.2269938650306749E-2</v>
      </c>
      <c r="J85" s="418">
        <f>'עידוד יצירה ישראלית'!Z85</f>
        <v>3.4013605442176869E-3</v>
      </c>
      <c r="K85" s="418">
        <f>תיעוד!$Z85</f>
        <v>1.4705882352941176E-2</v>
      </c>
      <c r="L85" s="418"/>
      <c r="M85" s="418"/>
      <c r="N85" s="418"/>
      <c r="O85" s="418"/>
      <c r="P85" s="418"/>
      <c r="Q85" s="418"/>
      <c r="R85" s="419"/>
      <c r="S85" s="419"/>
      <c r="T85" s="419"/>
      <c r="U85" s="419"/>
      <c r="V85" s="419"/>
      <c r="W85" s="419"/>
      <c r="X85" s="419"/>
      <c r="Y85" s="419"/>
      <c r="Z85" s="419"/>
      <c r="AA85" s="419"/>
      <c r="AB85" s="419"/>
      <c r="AC85" s="419"/>
      <c r="AD85" s="419">
        <f t="shared" si="2"/>
        <v>2.9667804200892735E-2</v>
      </c>
      <c r="AE85" s="419">
        <f t="shared" si="3"/>
        <v>2.9667804200892746E-2</v>
      </c>
      <c r="AF85" s="420">
        <f t="shared" si="4"/>
        <v>91269.053806087817</v>
      </c>
      <c r="AG85" s="244">
        <f t="shared" si="5"/>
        <v>1</v>
      </c>
      <c r="AH85" s="244">
        <f t="shared" si="6"/>
        <v>1</v>
      </c>
      <c r="AI85" s="244">
        <f t="shared" si="7"/>
        <v>1</v>
      </c>
      <c r="AJ85" s="244">
        <f t="shared" si="8"/>
        <v>1</v>
      </c>
      <c r="AK85" s="244">
        <f t="shared" si="9"/>
        <v>1</v>
      </c>
      <c r="AL85" s="244">
        <f t="shared" si="10"/>
        <v>1</v>
      </c>
      <c r="AM85" s="244">
        <f t="shared" si="11"/>
        <v>1</v>
      </c>
      <c r="AN85" s="244">
        <f t="shared" si="12"/>
        <v>1</v>
      </c>
      <c r="AO85" s="244">
        <f t="shared" si="13"/>
        <v>1</v>
      </c>
      <c r="AP85" s="244">
        <f t="shared" si="14"/>
        <v>1</v>
      </c>
      <c r="AQ85" s="244">
        <f t="shared" si="15"/>
        <v>1</v>
      </c>
      <c r="AR85" s="244">
        <f t="shared" si="16"/>
        <v>1</v>
      </c>
      <c r="AS85" s="244">
        <f t="shared" si="17"/>
        <v>1</v>
      </c>
      <c r="AT85" s="244">
        <f t="shared" si="18"/>
        <v>1</v>
      </c>
      <c r="AU85" s="244">
        <f t="shared" si="19"/>
        <v>1</v>
      </c>
      <c r="AV85" s="244">
        <f t="shared" si="20"/>
        <v>1</v>
      </c>
      <c r="AW85" s="244">
        <f t="shared" si="21"/>
        <v>1</v>
      </c>
      <c r="AX85" s="244">
        <f t="shared" si="22"/>
        <v>1</v>
      </c>
      <c r="AY85" s="244">
        <f t="shared" si="23"/>
        <v>1</v>
      </c>
      <c r="AZ85" s="244">
        <f t="shared" si="24"/>
        <v>1</v>
      </c>
      <c r="BA85" s="244">
        <f t="shared" si="25"/>
        <v>1</v>
      </c>
      <c r="BB85" s="244">
        <f t="shared" si="26"/>
        <v>1</v>
      </c>
      <c r="BC85" s="244">
        <f t="shared" si="27"/>
        <v>1</v>
      </c>
      <c r="BD85" s="244">
        <f t="shared" si="28"/>
        <v>1</v>
      </c>
      <c r="BE85" s="244">
        <f t="shared" si="29"/>
        <v>1</v>
      </c>
      <c r="BF85" s="244">
        <f t="shared" si="30"/>
        <v>1</v>
      </c>
      <c r="BG85" s="244">
        <f t="shared" si="31"/>
        <v>1</v>
      </c>
    </row>
    <row r="86" spans="1:59" ht="45.75" hidden="1" customHeight="1" x14ac:dyDescent="0.25">
      <c r="A86" s="415"/>
      <c r="B86" s="416" t="str">
        <f t="shared" si="1"/>
        <v/>
      </c>
      <c r="C86" s="421" t="str">
        <f>IF('תנאי סף'!AO86&lt;&gt;1,"",'תנאי סף'!F86)</f>
        <v/>
      </c>
      <c r="D86" s="418" t="str">
        <f>'מספר הרצות'!Z86</f>
        <v/>
      </c>
      <c r="E86" s="418" t="str">
        <f>'מספר מבצעים בתשלום'!Z86</f>
        <v/>
      </c>
      <c r="F86" s="418" t="str">
        <f>'מיקום ההרצות'!Z86</f>
        <v/>
      </c>
      <c r="G86" s="418" t="str">
        <f>'רמה מקצועית ואמנותית'!Z86</f>
        <v/>
      </c>
      <c r="H86" s="418" t="str">
        <f>'מיקום גיאוגרפי'!AB86</f>
        <v/>
      </c>
      <c r="I86" s="418" t="str">
        <f>תקציב!Z86</f>
        <v/>
      </c>
      <c r="J86" s="418" t="str">
        <f>'עידוד יצירה ישראלית'!Z86</f>
        <v/>
      </c>
      <c r="K86" s="418" t="str">
        <f>תיעוד!$Z86</f>
        <v/>
      </c>
      <c r="L86" s="418"/>
      <c r="M86" s="418"/>
      <c r="N86" s="418"/>
      <c r="O86" s="418"/>
      <c r="P86" s="418"/>
      <c r="Q86" s="418"/>
      <c r="R86" s="419"/>
      <c r="S86" s="419"/>
      <c r="T86" s="419"/>
      <c r="U86" s="419"/>
      <c r="V86" s="419"/>
      <c r="W86" s="419"/>
      <c r="X86" s="419"/>
      <c r="Y86" s="419"/>
      <c r="Z86" s="419"/>
      <c r="AA86" s="419"/>
      <c r="AB86" s="419"/>
      <c r="AC86" s="419"/>
      <c r="AD86" s="419" t="str">
        <f t="shared" si="2"/>
        <v/>
      </c>
      <c r="AE86" s="419" t="str">
        <f t="shared" si="3"/>
        <v/>
      </c>
      <c r="AF86" s="420" t="str">
        <f t="shared" si="4"/>
        <v/>
      </c>
      <c r="AG86" s="244">
        <f t="shared" si="5"/>
        <v>1</v>
      </c>
      <c r="AH86" s="244">
        <f t="shared" si="6"/>
        <v>1</v>
      </c>
      <c r="AI86" s="244">
        <f t="shared" si="7"/>
        <v>1</v>
      </c>
      <c r="AJ86" s="244">
        <f t="shared" si="8"/>
        <v>1</v>
      </c>
      <c r="AK86" s="244">
        <f t="shared" si="9"/>
        <v>1</v>
      </c>
      <c r="AL86" s="244">
        <f t="shared" si="10"/>
        <v>1</v>
      </c>
      <c r="AM86" s="244">
        <f t="shared" si="11"/>
        <v>1</v>
      </c>
      <c r="AN86" s="244">
        <f t="shared" si="12"/>
        <v>1</v>
      </c>
      <c r="AO86" s="244">
        <f t="shared" si="13"/>
        <v>1</v>
      </c>
      <c r="AP86" s="244">
        <f t="shared" si="14"/>
        <v>1</v>
      </c>
      <c r="AQ86" s="244">
        <f t="shared" si="15"/>
        <v>1</v>
      </c>
      <c r="AR86" s="244">
        <f t="shared" si="16"/>
        <v>1</v>
      </c>
      <c r="AS86" s="244">
        <f t="shared" si="17"/>
        <v>1</v>
      </c>
      <c r="AT86" s="244">
        <f t="shared" si="18"/>
        <v>1</v>
      </c>
      <c r="AU86" s="244">
        <f t="shared" si="19"/>
        <v>1</v>
      </c>
      <c r="AV86" s="244">
        <f t="shared" si="20"/>
        <v>1</v>
      </c>
      <c r="AW86" s="244">
        <f t="shared" si="21"/>
        <v>1</v>
      </c>
      <c r="AX86" s="244">
        <f t="shared" si="22"/>
        <v>1</v>
      </c>
      <c r="AY86" s="244">
        <f t="shared" si="23"/>
        <v>1</v>
      </c>
      <c r="AZ86" s="244">
        <f t="shared" si="24"/>
        <v>1</v>
      </c>
      <c r="BA86" s="244">
        <f t="shared" si="25"/>
        <v>1</v>
      </c>
      <c r="BB86" s="244">
        <f t="shared" si="26"/>
        <v>1</v>
      </c>
      <c r="BC86" s="244">
        <f t="shared" si="27"/>
        <v>1</v>
      </c>
      <c r="BD86" s="244">
        <f t="shared" si="28"/>
        <v>1</v>
      </c>
      <c r="BE86" s="244">
        <f t="shared" si="29"/>
        <v>1</v>
      </c>
      <c r="BF86" s="244">
        <f t="shared" si="30"/>
        <v>1</v>
      </c>
      <c r="BG86" s="244">
        <f t="shared" si="31"/>
        <v>1</v>
      </c>
    </row>
    <row r="87" spans="1:59" ht="45.75" customHeight="1" x14ac:dyDescent="0.25">
      <c r="A87" s="415"/>
      <c r="B87" s="416">
        <f t="shared" si="1"/>
        <v>57</v>
      </c>
      <c r="C87" s="421" t="str">
        <f>IF('תנאי סף'!AO87&lt;&gt;1,"",'תנאי סף'!F87)</f>
        <v>עמותת מפעל המוזיקה צימבליסטה</v>
      </c>
      <c r="D87" s="418">
        <f>'מספר הרצות'!Z87</f>
        <v>1.8076808358716185E-2</v>
      </c>
      <c r="E87" s="418">
        <f>'מספר מבצעים בתשלום'!Z87</f>
        <v>5.6634304207119741E-2</v>
      </c>
      <c r="F87" s="418">
        <f>'מיקום ההרצות'!Z87</f>
        <v>6.7039106145251395E-3</v>
      </c>
      <c r="G87" s="418">
        <f>'רמה מקצועית ואמנותית'!Z87</f>
        <v>3.7071362372567189E-2</v>
      </c>
      <c r="H87" s="418">
        <f>'מיקום גיאוגרפי'!AB87</f>
        <v>0</v>
      </c>
      <c r="I87" s="418">
        <f>תקציב!Z87</f>
        <v>3.6809815950920248E-2</v>
      </c>
      <c r="J87" s="418">
        <f>'עידוד יצירה ישראלית'!Z87</f>
        <v>1.7006802721088437E-2</v>
      </c>
      <c r="K87" s="418">
        <f>תיעוד!$Z87</f>
        <v>2.9411764705882353E-2</v>
      </c>
      <c r="L87" s="418"/>
      <c r="M87" s="418"/>
      <c r="N87" s="418"/>
      <c r="O87" s="418"/>
      <c r="P87" s="418"/>
      <c r="Q87" s="418"/>
      <c r="R87" s="419"/>
      <c r="S87" s="419"/>
      <c r="T87" s="419"/>
      <c r="U87" s="419"/>
      <c r="V87" s="419"/>
      <c r="W87" s="419"/>
      <c r="X87" s="419"/>
      <c r="Y87" s="419"/>
      <c r="Z87" s="419"/>
      <c r="AA87" s="419"/>
      <c r="AB87" s="419"/>
      <c r="AC87" s="419"/>
      <c r="AD87" s="419">
        <f t="shared" si="2"/>
        <v>2.8025568032999763E-2</v>
      </c>
      <c r="AE87" s="419">
        <f t="shared" si="3"/>
        <v>2.8025568032999774E-2</v>
      </c>
      <c r="AF87" s="420">
        <f t="shared" si="4"/>
        <v>86216.932652975418</v>
      </c>
      <c r="AG87" s="244">
        <f t="shared" si="5"/>
        <v>1</v>
      </c>
      <c r="AH87" s="244">
        <f t="shared" si="6"/>
        <v>1</v>
      </c>
      <c r="AI87" s="244">
        <f t="shared" si="7"/>
        <v>1</v>
      </c>
      <c r="AJ87" s="244">
        <f t="shared" si="8"/>
        <v>1</v>
      </c>
      <c r="AK87" s="244">
        <f t="shared" si="9"/>
        <v>1</v>
      </c>
      <c r="AL87" s="244">
        <f t="shared" si="10"/>
        <v>1</v>
      </c>
      <c r="AM87" s="244">
        <f t="shared" si="11"/>
        <v>1</v>
      </c>
      <c r="AN87" s="244">
        <f t="shared" si="12"/>
        <v>1</v>
      </c>
      <c r="AO87" s="244">
        <f t="shared" si="13"/>
        <v>1</v>
      </c>
      <c r="AP87" s="244">
        <f t="shared" si="14"/>
        <v>1</v>
      </c>
      <c r="AQ87" s="244">
        <f t="shared" si="15"/>
        <v>1</v>
      </c>
      <c r="AR87" s="244">
        <f t="shared" si="16"/>
        <v>1</v>
      </c>
      <c r="AS87" s="244">
        <f t="shared" si="17"/>
        <v>1</v>
      </c>
      <c r="AT87" s="244">
        <f t="shared" si="18"/>
        <v>1</v>
      </c>
      <c r="AU87" s="244">
        <f t="shared" si="19"/>
        <v>1</v>
      </c>
      <c r="AV87" s="244">
        <f t="shared" si="20"/>
        <v>1</v>
      </c>
      <c r="AW87" s="244">
        <f t="shared" si="21"/>
        <v>1</v>
      </c>
      <c r="AX87" s="244">
        <f t="shared" si="22"/>
        <v>1</v>
      </c>
      <c r="AY87" s="244">
        <f t="shared" si="23"/>
        <v>1</v>
      </c>
      <c r="AZ87" s="244">
        <f t="shared" si="24"/>
        <v>1</v>
      </c>
      <c r="BA87" s="244">
        <f t="shared" si="25"/>
        <v>1</v>
      </c>
      <c r="BB87" s="244">
        <f t="shared" si="26"/>
        <v>1</v>
      </c>
      <c r="BC87" s="244">
        <f t="shared" si="27"/>
        <v>1</v>
      </c>
      <c r="BD87" s="244">
        <f t="shared" si="28"/>
        <v>1</v>
      </c>
      <c r="BE87" s="244">
        <f t="shared" si="29"/>
        <v>1</v>
      </c>
      <c r="BF87" s="244">
        <f t="shared" si="30"/>
        <v>1</v>
      </c>
      <c r="BG87" s="244">
        <f t="shared" si="31"/>
        <v>1</v>
      </c>
    </row>
    <row r="88" spans="1:59" ht="45.75" hidden="1" customHeight="1" x14ac:dyDescent="0.25">
      <c r="A88" s="415"/>
      <c r="B88" s="416" t="str">
        <f t="shared" si="1"/>
        <v/>
      </c>
      <c r="C88" s="421" t="str">
        <f>IF('תנאי סף'!AO88&lt;&gt;1,"",'תנאי סף'!F88)</f>
        <v/>
      </c>
      <c r="D88" s="418" t="str">
        <f>'מספר הרצות'!Z88</f>
        <v/>
      </c>
      <c r="E88" s="418" t="str">
        <f>'מספר מבצעים בתשלום'!Z88</f>
        <v/>
      </c>
      <c r="F88" s="418" t="str">
        <f>'מיקום ההרצות'!Z88</f>
        <v/>
      </c>
      <c r="G88" s="418" t="str">
        <f>'רמה מקצועית ואמנותית'!Z88</f>
        <v/>
      </c>
      <c r="H88" s="418" t="str">
        <f>'מיקום גיאוגרפי'!AB88</f>
        <v/>
      </c>
      <c r="I88" s="418" t="str">
        <f>תקציב!Z88</f>
        <v/>
      </c>
      <c r="J88" s="418" t="str">
        <f>'עידוד יצירה ישראלית'!Z88</f>
        <v/>
      </c>
      <c r="K88" s="418" t="str">
        <f>תיעוד!$Z88</f>
        <v/>
      </c>
      <c r="L88" s="418"/>
      <c r="M88" s="418"/>
      <c r="N88" s="418"/>
      <c r="O88" s="418"/>
      <c r="P88" s="418"/>
      <c r="Q88" s="418"/>
      <c r="R88" s="419"/>
      <c r="S88" s="419"/>
      <c r="T88" s="419"/>
      <c r="U88" s="419"/>
      <c r="V88" s="419"/>
      <c r="W88" s="419"/>
      <c r="X88" s="419"/>
      <c r="Y88" s="419"/>
      <c r="Z88" s="419"/>
      <c r="AA88" s="419"/>
      <c r="AB88" s="419"/>
      <c r="AC88" s="419"/>
      <c r="AD88" s="419" t="str">
        <f t="shared" si="2"/>
        <v/>
      </c>
      <c r="AE88" s="419" t="str">
        <f t="shared" si="3"/>
        <v/>
      </c>
      <c r="AF88" s="420" t="str">
        <f t="shared" si="4"/>
        <v/>
      </c>
      <c r="AG88" s="244">
        <f t="shared" si="5"/>
        <v>1</v>
      </c>
      <c r="AH88" s="244">
        <f t="shared" si="6"/>
        <v>1</v>
      </c>
      <c r="AI88" s="244">
        <f t="shared" si="7"/>
        <v>1</v>
      </c>
      <c r="AJ88" s="244">
        <f t="shared" si="8"/>
        <v>1</v>
      </c>
      <c r="AK88" s="244">
        <f t="shared" si="9"/>
        <v>1</v>
      </c>
      <c r="AL88" s="244">
        <f t="shared" si="10"/>
        <v>1</v>
      </c>
      <c r="AM88" s="244">
        <f t="shared" si="11"/>
        <v>1</v>
      </c>
      <c r="AN88" s="244">
        <f t="shared" si="12"/>
        <v>1</v>
      </c>
      <c r="AO88" s="244">
        <f t="shared" si="13"/>
        <v>1</v>
      </c>
      <c r="AP88" s="244">
        <f t="shared" si="14"/>
        <v>1</v>
      </c>
      <c r="AQ88" s="244">
        <f t="shared" si="15"/>
        <v>1</v>
      </c>
      <c r="AR88" s="244">
        <f t="shared" si="16"/>
        <v>1</v>
      </c>
      <c r="AS88" s="244">
        <f t="shared" si="17"/>
        <v>1</v>
      </c>
      <c r="AT88" s="244">
        <f t="shared" si="18"/>
        <v>1</v>
      </c>
      <c r="AU88" s="244">
        <f t="shared" si="19"/>
        <v>1</v>
      </c>
      <c r="AV88" s="244">
        <f t="shared" si="20"/>
        <v>1</v>
      </c>
      <c r="AW88" s="244">
        <f t="shared" si="21"/>
        <v>1</v>
      </c>
      <c r="AX88" s="244">
        <f t="shared" si="22"/>
        <v>1</v>
      </c>
      <c r="AY88" s="244">
        <f t="shared" si="23"/>
        <v>1</v>
      </c>
      <c r="AZ88" s="244">
        <f t="shared" si="24"/>
        <v>1</v>
      </c>
      <c r="BA88" s="244">
        <f t="shared" si="25"/>
        <v>1</v>
      </c>
      <c r="BB88" s="244">
        <f t="shared" si="26"/>
        <v>1</v>
      </c>
      <c r="BC88" s="244">
        <f t="shared" si="27"/>
        <v>1</v>
      </c>
      <c r="BD88" s="244">
        <f t="shared" si="28"/>
        <v>1</v>
      </c>
      <c r="BE88" s="244">
        <f t="shared" si="29"/>
        <v>1</v>
      </c>
      <c r="BF88" s="244">
        <f t="shared" si="30"/>
        <v>1</v>
      </c>
      <c r="BG88" s="244">
        <f t="shared" si="31"/>
        <v>1</v>
      </c>
    </row>
    <row r="89" spans="1:59" ht="45.75" customHeight="1" x14ac:dyDescent="0.25">
      <c r="A89" s="415"/>
      <c r="B89" s="416">
        <f t="shared" si="1"/>
        <v>59</v>
      </c>
      <c r="C89" s="421" t="str">
        <f>IF('תנאי סף'!AO89&lt;&gt;1,"",'תנאי סף'!F89)</f>
        <v>העמותה לקידום המוסיקה הערבית</v>
      </c>
      <c r="D89" s="418">
        <f>'מספר הרצות'!Z89</f>
        <v>3.2538255045689128E-2</v>
      </c>
      <c r="E89" s="418">
        <f>'מספר מבצעים בתשלום'!Z89</f>
        <v>2.4271844660194174E-2</v>
      </c>
      <c r="F89" s="418">
        <f>'מיקום ההרצות'!Z89</f>
        <v>3.9106145251396648E-2</v>
      </c>
      <c r="G89" s="418">
        <f>'רמה מקצועית ואמנותית'!Z89</f>
        <v>2.7803521779425393E-2</v>
      </c>
      <c r="H89" s="418">
        <f>'מיקום גיאוגרפי'!AB89</f>
        <v>0.10344827586206896</v>
      </c>
      <c r="I89" s="418">
        <f>תקציב!Z89</f>
        <v>3.6809815950920248E-2</v>
      </c>
      <c r="J89" s="418">
        <f>'עידוד יצירה ישראלית'!Z89</f>
        <v>0</v>
      </c>
      <c r="K89" s="418">
        <f>תיעוד!$Z89</f>
        <v>0</v>
      </c>
      <c r="L89" s="418"/>
      <c r="M89" s="418"/>
      <c r="N89" s="418"/>
      <c r="O89" s="418"/>
      <c r="P89" s="418"/>
      <c r="Q89" s="418"/>
      <c r="R89" s="419"/>
      <c r="S89" s="419"/>
      <c r="T89" s="419"/>
      <c r="U89" s="419"/>
      <c r="V89" s="419"/>
      <c r="W89" s="419"/>
      <c r="X89" s="419"/>
      <c r="Y89" s="419"/>
      <c r="Z89" s="419"/>
      <c r="AA89" s="419"/>
      <c r="AB89" s="419"/>
      <c r="AC89" s="419"/>
      <c r="AD89" s="419">
        <f t="shared" si="2"/>
        <v>3.3468971914529057E-2</v>
      </c>
      <c r="AE89" s="419">
        <f t="shared" si="3"/>
        <v>3.3468971914529071E-2</v>
      </c>
      <c r="AF89" s="420">
        <f t="shared" si="4"/>
        <v>102962.84072178406</v>
      </c>
      <c r="AG89" s="244">
        <f t="shared" si="5"/>
        <v>1</v>
      </c>
      <c r="AH89" s="244">
        <f t="shared" si="6"/>
        <v>1</v>
      </c>
      <c r="AI89" s="244">
        <f t="shared" si="7"/>
        <v>1</v>
      </c>
      <c r="AJ89" s="244">
        <f t="shared" si="8"/>
        <v>1</v>
      </c>
      <c r="AK89" s="244">
        <f t="shared" si="9"/>
        <v>1</v>
      </c>
      <c r="AL89" s="244">
        <f t="shared" si="10"/>
        <v>1</v>
      </c>
      <c r="AM89" s="244">
        <f t="shared" si="11"/>
        <v>1</v>
      </c>
      <c r="AN89" s="244">
        <f t="shared" si="12"/>
        <v>1</v>
      </c>
      <c r="AO89" s="244">
        <f t="shared" si="13"/>
        <v>1</v>
      </c>
      <c r="AP89" s="244">
        <f t="shared" si="14"/>
        <v>1</v>
      </c>
      <c r="AQ89" s="244">
        <f t="shared" si="15"/>
        <v>1</v>
      </c>
      <c r="AR89" s="244">
        <f t="shared" si="16"/>
        <v>1</v>
      </c>
      <c r="AS89" s="244">
        <f t="shared" si="17"/>
        <v>1</v>
      </c>
      <c r="AT89" s="244">
        <f t="shared" si="18"/>
        <v>1</v>
      </c>
      <c r="AU89" s="244">
        <f t="shared" si="19"/>
        <v>1</v>
      </c>
      <c r="AV89" s="244">
        <f t="shared" si="20"/>
        <v>1</v>
      </c>
      <c r="AW89" s="244">
        <f t="shared" si="21"/>
        <v>1</v>
      </c>
      <c r="AX89" s="244">
        <f t="shared" si="22"/>
        <v>1</v>
      </c>
      <c r="AY89" s="244">
        <f t="shared" si="23"/>
        <v>1</v>
      </c>
      <c r="AZ89" s="244">
        <f t="shared" si="24"/>
        <v>1</v>
      </c>
      <c r="BA89" s="244">
        <f t="shared" si="25"/>
        <v>1</v>
      </c>
      <c r="BB89" s="244">
        <f t="shared" si="26"/>
        <v>1</v>
      </c>
      <c r="BC89" s="244">
        <f t="shared" si="27"/>
        <v>1</v>
      </c>
      <c r="BD89" s="244">
        <f t="shared" si="28"/>
        <v>1</v>
      </c>
      <c r="BE89" s="244">
        <f t="shared" si="29"/>
        <v>1</v>
      </c>
      <c r="BF89" s="244">
        <f t="shared" si="30"/>
        <v>1</v>
      </c>
      <c r="BG89" s="244">
        <f t="shared" si="31"/>
        <v>1</v>
      </c>
    </row>
    <row r="90" spans="1:59" ht="45.75" customHeight="1" x14ac:dyDescent="0.25">
      <c r="A90" s="415"/>
      <c r="B90" s="416">
        <f t="shared" si="1"/>
        <v>60</v>
      </c>
      <c r="C90" s="421" t="str">
        <f>IF('תנאי סף'!AO90&lt;&gt;1,"",'תנאי סף'!F90)</f>
        <v>תמיכה בתזמורת TLV (הערבית יהודית)</v>
      </c>
      <c r="D90" s="418">
        <f>'מספר הרצות'!Z90</f>
        <v>1.4461446686972947E-2</v>
      </c>
      <c r="E90" s="418">
        <f>'מספר מבצעים בתשלום'!Z90</f>
        <v>0</v>
      </c>
      <c r="F90" s="418">
        <f>'מיקום ההרצות'!Z90</f>
        <v>1.2290502793296089E-2</v>
      </c>
      <c r="G90" s="418">
        <f>'רמה מקצועית ואמנותית'!Z90</f>
        <v>2.7803521779425393E-2</v>
      </c>
      <c r="H90" s="418">
        <f>'מיקום גיאוגרפי'!AB90</f>
        <v>0</v>
      </c>
      <c r="I90" s="418">
        <f>תקציב!Z90</f>
        <v>0</v>
      </c>
      <c r="J90" s="418">
        <f>'עידוד יצירה ישראלית'!Z90</f>
        <v>1.3605442176870748E-2</v>
      </c>
      <c r="K90" s="418">
        <f>תיעוד!$Z90</f>
        <v>1.4705882352941176E-2</v>
      </c>
      <c r="L90" s="418"/>
      <c r="M90" s="418"/>
      <c r="N90" s="418"/>
      <c r="O90" s="418"/>
      <c r="P90" s="418"/>
      <c r="Q90" s="418"/>
      <c r="R90" s="419"/>
      <c r="S90" s="419"/>
      <c r="T90" s="419"/>
      <c r="U90" s="419"/>
      <c r="V90" s="419"/>
      <c r="W90" s="419"/>
      <c r="X90" s="419"/>
      <c r="Y90" s="419"/>
      <c r="Z90" s="419"/>
      <c r="AA90" s="419"/>
      <c r="AB90" s="419"/>
      <c r="AC90" s="419"/>
      <c r="AD90" s="419">
        <f t="shared" si="2"/>
        <v>1.0387706218972143E-2</v>
      </c>
      <c r="AE90" s="419">
        <f t="shared" si="3"/>
        <v>1.0387706218972146E-2</v>
      </c>
      <c r="AF90" s="420">
        <f t="shared" si="4"/>
        <v>31956.396617740684</v>
      </c>
      <c r="AG90" s="244">
        <f t="shared" si="5"/>
        <v>1</v>
      </c>
      <c r="AH90" s="244">
        <f t="shared" si="6"/>
        <v>1</v>
      </c>
      <c r="AI90" s="244">
        <f t="shared" si="7"/>
        <v>1</v>
      </c>
      <c r="AJ90" s="244">
        <f t="shared" si="8"/>
        <v>1</v>
      </c>
      <c r="AK90" s="244">
        <f t="shared" si="9"/>
        <v>1</v>
      </c>
      <c r="AL90" s="244">
        <f t="shared" si="10"/>
        <v>1</v>
      </c>
      <c r="AM90" s="244">
        <f t="shared" si="11"/>
        <v>1</v>
      </c>
      <c r="AN90" s="244">
        <f t="shared" si="12"/>
        <v>1</v>
      </c>
      <c r="AO90" s="244">
        <f t="shared" si="13"/>
        <v>1</v>
      </c>
      <c r="AP90" s="244">
        <f t="shared" si="14"/>
        <v>1</v>
      </c>
      <c r="AQ90" s="244">
        <f t="shared" si="15"/>
        <v>1</v>
      </c>
      <c r="AR90" s="244">
        <f t="shared" si="16"/>
        <v>1</v>
      </c>
      <c r="AS90" s="244">
        <f t="shared" si="17"/>
        <v>1</v>
      </c>
      <c r="AT90" s="244">
        <f t="shared" si="18"/>
        <v>1</v>
      </c>
      <c r="AU90" s="244">
        <f t="shared" si="19"/>
        <v>1</v>
      </c>
      <c r="AV90" s="244">
        <f t="shared" si="20"/>
        <v>1</v>
      </c>
      <c r="AW90" s="244">
        <f t="shared" si="21"/>
        <v>1</v>
      </c>
      <c r="AX90" s="244">
        <f t="shared" si="22"/>
        <v>1</v>
      </c>
      <c r="AY90" s="244">
        <f t="shared" si="23"/>
        <v>1</v>
      </c>
      <c r="AZ90" s="244">
        <f t="shared" si="24"/>
        <v>1</v>
      </c>
      <c r="BA90" s="244">
        <f t="shared" si="25"/>
        <v>1</v>
      </c>
      <c r="BB90" s="244">
        <f t="shared" si="26"/>
        <v>1</v>
      </c>
      <c r="BC90" s="244">
        <f t="shared" si="27"/>
        <v>1</v>
      </c>
      <c r="BD90" s="244">
        <f t="shared" si="28"/>
        <v>1</v>
      </c>
      <c r="BE90" s="244">
        <f t="shared" si="29"/>
        <v>1</v>
      </c>
      <c r="BF90" s="244">
        <f t="shared" si="30"/>
        <v>1</v>
      </c>
      <c r="BG90" s="244">
        <f t="shared" si="31"/>
        <v>1</v>
      </c>
    </row>
    <row r="91" spans="1:59" ht="45.75" customHeight="1" x14ac:dyDescent="0.25">
      <c r="A91" s="415"/>
      <c r="B91" s="416">
        <f t="shared" si="1"/>
        <v>61</v>
      </c>
      <c r="C91" s="421" t="str">
        <f>IF('תנאי סף'!AO91&lt;&gt;1,"",'תנאי סף'!F91)</f>
        <v>אנסמבל גליל</v>
      </c>
      <c r="D91" s="418">
        <f>'מספר הרצות'!Z91</f>
        <v>7.2307233434864733E-3</v>
      </c>
      <c r="E91" s="418">
        <f>'מספר מבצעים בתשלום'!Z91</f>
        <v>2.0226537216828482E-2</v>
      </c>
      <c r="F91" s="418">
        <f>'מיקום ההרצות'!Z91</f>
        <v>2.9050279329608939E-2</v>
      </c>
      <c r="G91" s="418">
        <f>'רמה מקצועית ואמנותית'!Z91</f>
        <v>1.3901760889712697E-2</v>
      </c>
      <c r="H91" s="418">
        <f>'מיקום גיאוגרפי'!AB91</f>
        <v>0.10344827586206896</v>
      </c>
      <c r="I91" s="418">
        <f>תקציב!Z91</f>
        <v>3.6809815950920248E-2</v>
      </c>
      <c r="J91" s="418">
        <f>'עידוד יצירה ישראלית'!Z91</f>
        <v>1.7006802721088437E-2</v>
      </c>
      <c r="K91" s="418">
        <f>תיעוד!$Z91</f>
        <v>1.4705882352941176E-2</v>
      </c>
      <c r="L91" s="418"/>
      <c r="M91" s="418"/>
      <c r="N91" s="418"/>
      <c r="O91" s="418"/>
      <c r="P91" s="418"/>
      <c r="Q91" s="418"/>
      <c r="R91" s="419"/>
      <c r="S91" s="419"/>
      <c r="T91" s="419"/>
      <c r="U91" s="419"/>
      <c r="V91" s="419"/>
      <c r="W91" s="419"/>
      <c r="X91" s="419"/>
      <c r="Y91" s="419"/>
      <c r="Z91" s="419"/>
      <c r="AA91" s="419"/>
      <c r="AB91" s="419"/>
      <c r="AC91" s="419"/>
      <c r="AD91" s="419">
        <f t="shared" si="2"/>
        <v>2.6943527749535612E-2</v>
      </c>
      <c r="AE91" s="419">
        <f t="shared" si="3"/>
        <v>2.6943527749535623E-2</v>
      </c>
      <c r="AF91" s="420">
        <f t="shared" si="4"/>
        <v>82888.179632255662</v>
      </c>
      <c r="AG91" s="244">
        <f t="shared" si="5"/>
        <v>1</v>
      </c>
      <c r="AH91" s="244">
        <f t="shared" si="6"/>
        <v>1</v>
      </c>
      <c r="AI91" s="244">
        <f t="shared" si="7"/>
        <v>1</v>
      </c>
      <c r="AJ91" s="244">
        <f t="shared" si="8"/>
        <v>1</v>
      </c>
      <c r="AK91" s="244">
        <f t="shared" si="9"/>
        <v>1</v>
      </c>
      <c r="AL91" s="244">
        <f t="shared" si="10"/>
        <v>1</v>
      </c>
      <c r="AM91" s="244">
        <f t="shared" si="11"/>
        <v>1</v>
      </c>
      <c r="AN91" s="244">
        <f t="shared" si="12"/>
        <v>1</v>
      </c>
      <c r="AO91" s="244">
        <f t="shared" si="13"/>
        <v>1</v>
      </c>
      <c r="AP91" s="244">
        <f t="shared" si="14"/>
        <v>1</v>
      </c>
      <c r="AQ91" s="244">
        <f t="shared" si="15"/>
        <v>1</v>
      </c>
      <c r="AR91" s="244">
        <f t="shared" si="16"/>
        <v>1</v>
      </c>
      <c r="AS91" s="244">
        <f t="shared" si="17"/>
        <v>1</v>
      </c>
      <c r="AT91" s="244">
        <f t="shared" si="18"/>
        <v>1</v>
      </c>
      <c r="AU91" s="244">
        <f t="shared" si="19"/>
        <v>1</v>
      </c>
      <c r="AV91" s="244">
        <f t="shared" si="20"/>
        <v>1</v>
      </c>
      <c r="AW91" s="244">
        <f t="shared" si="21"/>
        <v>1</v>
      </c>
      <c r="AX91" s="244">
        <f t="shared" si="22"/>
        <v>1</v>
      </c>
      <c r="AY91" s="244">
        <f t="shared" si="23"/>
        <v>1</v>
      </c>
      <c r="AZ91" s="244">
        <f t="shared" si="24"/>
        <v>1</v>
      </c>
      <c r="BA91" s="244">
        <f t="shared" si="25"/>
        <v>1</v>
      </c>
      <c r="BB91" s="244">
        <f t="shared" si="26"/>
        <v>1</v>
      </c>
      <c r="BC91" s="244">
        <f t="shared" si="27"/>
        <v>1</v>
      </c>
      <c r="BD91" s="244">
        <f t="shared" si="28"/>
        <v>1</v>
      </c>
      <c r="BE91" s="244">
        <f t="shared" si="29"/>
        <v>1</v>
      </c>
      <c r="BF91" s="244">
        <f t="shared" si="30"/>
        <v>1</v>
      </c>
      <c r="BG91" s="244">
        <f t="shared" si="31"/>
        <v>1</v>
      </c>
    </row>
    <row r="92" spans="1:59" ht="45.75" customHeight="1" x14ac:dyDescent="0.25">
      <c r="A92" s="415"/>
      <c r="B92" s="416">
        <f t="shared" si="1"/>
        <v>62</v>
      </c>
      <c r="C92" s="421" t="str">
        <f>IF('תנאי סף'!AO92&lt;&gt;1,"",'תנאי סף'!F92)</f>
        <v>דריה- הרכב אינסטרומנטלי</v>
      </c>
      <c r="D92" s="418">
        <f>'מספר הרצות'!Z92</f>
        <v>1.0394164806261805E-2</v>
      </c>
      <c r="E92" s="418">
        <f>'מספר מבצעים בתשלום'!Z92</f>
        <v>1.2135922330097087E-2</v>
      </c>
      <c r="F92" s="418">
        <f>'מיקום ההרצות'!Z92</f>
        <v>1.0055865921787709E-2</v>
      </c>
      <c r="G92" s="418">
        <f>'רמה מקצועית ואמנותית'!Z92</f>
        <v>1.3901760889712697E-2</v>
      </c>
      <c r="H92" s="418">
        <f>'מיקום גיאוגרפי'!AB92</f>
        <v>0</v>
      </c>
      <c r="I92" s="418">
        <f>תקציב!Z92</f>
        <v>3.6809815950920248E-2</v>
      </c>
      <c r="J92" s="418">
        <f>'עידוד יצירה ישראלית'!Z92</f>
        <v>2.3809523809523808E-2</v>
      </c>
      <c r="K92" s="418">
        <f>תיעוד!$Z92</f>
        <v>1.4705882352941176E-2</v>
      </c>
      <c r="L92" s="418"/>
      <c r="M92" s="418"/>
      <c r="N92" s="418"/>
      <c r="O92" s="418"/>
      <c r="P92" s="418"/>
      <c r="Q92" s="418"/>
      <c r="R92" s="419"/>
      <c r="S92" s="419"/>
      <c r="T92" s="419"/>
      <c r="U92" s="419"/>
      <c r="V92" s="419"/>
      <c r="W92" s="419"/>
      <c r="X92" s="419"/>
      <c r="Y92" s="419"/>
      <c r="Z92" s="419"/>
      <c r="AA92" s="419"/>
      <c r="AB92" s="419"/>
      <c r="AC92" s="419"/>
      <c r="AD92" s="419">
        <f t="shared" si="2"/>
        <v>1.439409624659892E-2</v>
      </c>
      <c r="AE92" s="419">
        <f t="shared" si="3"/>
        <v>1.4394096246598926E-2</v>
      </c>
      <c r="AF92" s="420">
        <f t="shared" si="4"/>
        <v>44281.522687860794</v>
      </c>
      <c r="AG92" s="244">
        <f t="shared" si="5"/>
        <v>1</v>
      </c>
      <c r="AH92" s="244">
        <f t="shared" si="6"/>
        <v>1</v>
      </c>
      <c r="AI92" s="244">
        <f t="shared" si="7"/>
        <v>1</v>
      </c>
      <c r="AJ92" s="244">
        <f t="shared" si="8"/>
        <v>1</v>
      </c>
      <c r="AK92" s="244">
        <f t="shared" si="9"/>
        <v>1</v>
      </c>
      <c r="AL92" s="244">
        <f t="shared" si="10"/>
        <v>1</v>
      </c>
      <c r="AM92" s="244">
        <f t="shared" si="11"/>
        <v>1</v>
      </c>
      <c r="AN92" s="244">
        <f t="shared" si="12"/>
        <v>1</v>
      </c>
      <c r="AO92" s="244">
        <f t="shared" si="13"/>
        <v>1</v>
      </c>
      <c r="AP92" s="244">
        <f t="shared" si="14"/>
        <v>1</v>
      </c>
      <c r="AQ92" s="244">
        <f t="shared" si="15"/>
        <v>1</v>
      </c>
      <c r="AR92" s="244">
        <f t="shared" si="16"/>
        <v>1</v>
      </c>
      <c r="AS92" s="244">
        <f t="shared" si="17"/>
        <v>1</v>
      </c>
      <c r="AT92" s="244">
        <f t="shared" si="18"/>
        <v>1</v>
      </c>
      <c r="AU92" s="244">
        <f t="shared" si="19"/>
        <v>1</v>
      </c>
      <c r="AV92" s="244">
        <f t="shared" si="20"/>
        <v>1</v>
      </c>
      <c r="AW92" s="244">
        <f t="shared" si="21"/>
        <v>1</v>
      </c>
      <c r="AX92" s="244">
        <f t="shared" si="22"/>
        <v>1</v>
      </c>
      <c r="AY92" s="244">
        <f t="shared" si="23"/>
        <v>1</v>
      </c>
      <c r="AZ92" s="244">
        <f t="shared" si="24"/>
        <v>1</v>
      </c>
      <c r="BA92" s="244">
        <f t="shared" si="25"/>
        <v>1</v>
      </c>
      <c r="BB92" s="244">
        <f t="shared" si="26"/>
        <v>1</v>
      </c>
      <c r="BC92" s="244">
        <f t="shared" si="27"/>
        <v>1</v>
      </c>
      <c r="BD92" s="244">
        <f t="shared" si="28"/>
        <v>1</v>
      </c>
      <c r="BE92" s="244">
        <f t="shared" si="29"/>
        <v>1</v>
      </c>
      <c r="BF92" s="244">
        <f t="shared" si="30"/>
        <v>1</v>
      </c>
      <c r="BG92" s="244">
        <f t="shared" si="31"/>
        <v>1</v>
      </c>
    </row>
    <row r="93" spans="1:59" ht="45.75" customHeight="1" x14ac:dyDescent="0.25">
      <c r="A93" s="415"/>
      <c r="B93" s="416">
        <f t="shared" si="1"/>
        <v>63</v>
      </c>
      <c r="C93" s="421" t="str">
        <f>IF('תנאי סף'!AO93&lt;&gt;1,"",'תנאי סף'!F93)</f>
        <v>להקת שלוש</v>
      </c>
      <c r="D93" s="418">
        <f>'מספר הרצות'!Z93</f>
        <v>1.3512414248140347E-2</v>
      </c>
      <c r="E93" s="418">
        <f>'מספר מבצעים בתשלום'!Z93</f>
        <v>1.2135922330097087E-2</v>
      </c>
      <c r="F93" s="418">
        <f>'מיקום ההרצות'!Z93</f>
        <v>2.2346368715083797E-3</v>
      </c>
      <c r="G93" s="418">
        <f>'רמה מקצועית ואמנותית'!Z93</f>
        <v>1.3901760889712697E-2</v>
      </c>
      <c r="H93" s="418">
        <f>'מיקום גיאוגרפי'!AB93</f>
        <v>0</v>
      </c>
      <c r="I93" s="418">
        <f>תקציב!Z93</f>
        <v>3.6809815950920248E-2</v>
      </c>
      <c r="J93" s="418">
        <f>'עידוד יצירה ישראלית'!Z93</f>
        <v>4.4217687074829932E-2</v>
      </c>
      <c r="K93" s="418">
        <f>תיעוד!$Z93</f>
        <v>2.2058823529411766E-2</v>
      </c>
      <c r="L93" s="418"/>
      <c r="M93" s="418"/>
      <c r="N93" s="418"/>
      <c r="O93" s="418"/>
      <c r="P93" s="418"/>
      <c r="Q93" s="418"/>
      <c r="R93" s="419"/>
      <c r="S93" s="419"/>
      <c r="T93" s="419"/>
      <c r="U93" s="419"/>
      <c r="V93" s="419"/>
      <c r="W93" s="419"/>
      <c r="X93" s="419"/>
      <c r="Y93" s="419"/>
      <c r="Z93" s="419"/>
      <c r="AA93" s="419"/>
      <c r="AB93" s="419"/>
      <c r="AC93" s="419"/>
      <c r="AD93" s="419">
        <f t="shared" si="2"/>
        <v>1.6644086615300837E-2</v>
      </c>
      <c r="AE93" s="419">
        <f t="shared" si="3"/>
        <v>1.6644086615300844E-2</v>
      </c>
      <c r="AF93" s="420">
        <f t="shared" si="4"/>
        <v>51203.318808453208</v>
      </c>
      <c r="AG93" s="244">
        <f t="shared" si="5"/>
        <v>1</v>
      </c>
      <c r="AH93" s="244">
        <f t="shared" si="6"/>
        <v>1</v>
      </c>
      <c r="AI93" s="244">
        <f t="shared" si="7"/>
        <v>1</v>
      </c>
      <c r="AJ93" s="244">
        <f t="shared" si="8"/>
        <v>1</v>
      </c>
      <c r="AK93" s="244">
        <f t="shared" si="9"/>
        <v>1</v>
      </c>
      <c r="AL93" s="244">
        <f t="shared" si="10"/>
        <v>1</v>
      </c>
      <c r="AM93" s="244">
        <f t="shared" si="11"/>
        <v>1</v>
      </c>
      <c r="AN93" s="244">
        <f t="shared" si="12"/>
        <v>1</v>
      </c>
      <c r="AO93" s="244">
        <f t="shared" si="13"/>
        <v>1</v>
      </c>
      <c r="AP93" s="244">
        <f t="shared" si="14"/>
        <v>1</v>
      </c>
      <c r="AQ93" s="244">
        <f t="shared" si="15"/>
        <v>1</v>
      </c>
      <c r="AR93" s="244">
        <f t="shared" si="16"/>
        <v>1</v>
      </c>
      <c r="AS93" s="244">
        <f t="shared" si="17"/>
        <v>1</v>
      </c>
      <c r="AT93" s="244">
        <f t="shared" si="18"/>
        <v>1</v>
      </c>
      <c r="AU93" s="244">
        <f t="shared" si="19"/>
        <v>1</v>
      </c>
      <c r="AV93" s="244">
        <f t="shared" si="20"/>
        <v>1</v>
      </c>
      <c r="AW93" s="244">
        <f t="shared" si="21"/>
        <v>1</v>
      </c>
      <c r="AX93" s="244">
        <f t="shared" si="22"/>
        <v>1</v>
      </c>
      <c r="AY93" s="244">
        <f t="shared" si="23"/>
        <v>1</v>
      </c>
      <c r="AZ93" s="244">
        <f t="shared" si="24"/>
        <v>1</v>
      </c>
      <c r="BA93" s="244">
        <f t="shared" si="25"/>
        <v>1</v>
      </c>
      <c r="BB93" s="244">
        <f t="shared" si="26"/>
        <v>1</v>
      </c>
      <c r="BC93" s="244">
        <f t="shared" si="27"/>
        <v>1</v>
      </c>
      <c r="BD93" s="244">
        <f t="shared" si="28"/>
        <v>1</v>
      </c>
      <c r="BE93" s="244">
        <f t="shared" si="29"/>
        <v>1</v>
      </c>
      <c r="BF93" s="244">
        <f t="shared" si="30"/>
        <v>1</v>
      </c>
      <c r="BG93" s="244">
        <f t="shared" si="31"/>
        <v>1</v>
      </c>
    </row>
    <row r="94" spans="1:59" ht="45.75" customHeight="1" x14ac:dyDescent="0.25">
      <c r="A94" s="415"/>
      <c r="B94" s="416">
        <f t="shared" si="1"/>
        <v>64</v>
      </c>
      <c r="C94" s="421" t="str">
        <f>IF('תנאי סף'!AO94&lt;&gt;1,"",'תנאי סף'!F94)</f>
        <v>רביעיית טוסקאניני</v>
      </c>
      <c r="D94" s="418">
        <f>'מספר הרצות'!Z94</f>
        <v>1.1749925433165519E-2</v>
      </c>
      <c r="E94" s="418">
        <f>'מספר מבצעים בתשלום'!Z94</f>
        <v>0</v>
      </c>
      <c r="F94" s="418">
        <f>'מיקום ההרצות'!Z94</f>
        <v>2.3463687150837988E-2</v>
      </c>
      <c r="G94" s="418">
        <f>'רמה מקצועית ואמנותית'!Z94</f>
        <v>2.3169601482854494E-2</v>
      </c>
      <c r="H94" s="418">
        <f>'מיקום גיאוגרפי'!AB94</f>
        <v>0</v>
      </c>
      <c r="I94" s="418">
        <f>תקציב!Z94</f>
        <v>3.6809815950920248E-2</v>
      </c>
      <c r="J94" s="418">
        <f>'עידוד יצירה ישראלית'!Z94</f>
        <v>6.8027210884353739E-3</v>
      </c>
      <c r="K94" s="418">
        <f>תיעוד!$Z94</f>
        <v>0</v>
      </c>
      <c r="L94" s="418"/>
      <c r="M94" s="418"/>
      <c r="N94" s="418"/>
      <c r="O94" s="418"/>
      <c r="P94" s="418"/>
      <c r="Q94" s="418"/>
      <c r="R94" s="419"/>
      <c r="S94" s="419"/>
      <c r="T94" s="419"/>
      <c r="U94" s="419"/>
      <c r="V94" s="419"/>
      <c r="W94" s="419"/>
      <c r="X94" s="419"/>
      <c r="Y94" s="419"/>
      <c r="Z94" s="419"/>
      <c r="AA94" s="419"/>
      <c r="AB94" s="419"/>
      <c r="AC94" s="419"/>
      <c r="AD94" s="419">
        <f t="shared" si="2"/>
        <v>1.2533047728080639E-2</v>
      </c>
      <c r="AE94" s="419">
        <f t="shared" si="3"/>
        <v>1.2533047728080643E-2</v>
      </c>
      <c r="AF94" s="420">
        <f t="shared" si="4"/>
        <v>38556.254440092263</v>
      </c>
      <c r="AG94" s="244">
        <f t="shared" si="5"/>
        <v>1</v>
      </c>
      <c r="AH94" s="244">
        <f t="shared" si="6"/>
        <v>1</v>
      </c>
      <c r="AI94" s="244">
        <f t="shared" si="7"/>
        <v>1</v>
      </c>
      <c r="AJ94" s="244">
        <f t="shared" si="8"/>
        <v>1</v>
      </c>
      <c r="AK94" s="244">
        <f t="shared" si="9"/>
        <v>1</v>
      </c>
      <c r="AL94" s="244">
        <f t="shared" si="10"/>
        <v>1</v>
      </c>
      <c r="AM94" s="244">
        <f t="shared" si="11"/>
        <v>1</v>
      </c>
      <c r="AN94" s="244">
        <f t="shared" si="12"/>
        <v>1</v>
      </c>
      <c r="AO94" s="244">
        <f t="shared" si="13"/>
        <v>1</v>
      </c>
      <c r="AP94" s="244">
        <f t="shared" si="14"/>
        <v>1</v>
      </c>
      <c r="AQ94" s="244">
        <f t="shared" si="15"/>
        <v>1</v>
      </c>
      <c r="AR94" s="244">
        <f t="shared" si="16"/>
        <v>1</v>
      </c>
      <c r="AS94" s="244">
        <f t="shared" si="17"/>
        <v>1</v>
      </c>
      <c r="AT94" s="244">
        <f t="shared" si="18"/>
        <v>1</v>
      </c>
      <c r="AU94" s="244">
        <f t="shared" si="19"/>
        <v>1</v>
      </c>
      <c r="AV94" s="244">
        <f t="shared" si="20"/>
        <v>1</v>
      </c>
      <c r="AW94" s="244">
        <f t="shared" si="21"/>
        <v>1</v>
      </c>
      <c r="AX94" s="244">
        <f t="shared" si="22"/>
        <v>1</v>
      </c>
      <c r="AY94" s="244">
        <f t="shared" si="23"/>
        <v>1</v>
      </c>
      <c r="AZ94" s="244">
        <f t="shared" si="24"/>
        <v>1</v>
      </c>
      <c r="BA94" s="244">
        <f t="shared" si="25"/>
        <v>1</v>
      </c>
      <c r="BB94" s="244">
        <f t="shared" si="26"/>
        <v>1</v>
      </c>
      <c r="BC94" s="244">
        <f t="shared" si="27"/>
        <v>1</v>
      </c>
      <c r="BD94" s="244">
        <f t="shared" si="28"/>
        <v>1</v>
      </c>
      <c r="BE94" s="244">
        <f t="shared" si="29"/>
        <v>1</v>
      </c>
      <c r="BF94" s="244">
        <f t="shared" si="30"/>
        <v>1</v>
      </c>
      <c r="BG94" s="244">
        <f t="shared" si="31"/>
        <v>1</v>
      </c>
    </row>
    <row r="95" spans="1:59" ht="45.75" customHeight="1" x14ac:dyDescent="0.25">
      <c r="A95" s="415"/>
      <c r="B95" s="416">
        <f t="shared" si="1"/>
        <v>65</v>
      </c>
      <c r="C95" s="421" t="str">
        <f>IF('תנאי סף'!AO95&lt;&gt;1,"",'תנאי סף'!F95)</f>
        <v>תקוע-קבוצה מוזיקלית - 'דאפה' 2024</v>
      </c>
      <c r="D95" s="418">
        <f>'מספר הרצות'!Z95</f>
        <v>1.6269127522844564E-2</v>
      </c>
      <c r="E95" s="418">
        <f>'מספר מבצעים בתשלום'!Z95</f>
        <v>8.0906148867313926E-2</v>
      </c>
      <c r="F95" s="418">
        <f>'מיקום ההרצות'!Z95</f>
        <v>1.6759776536312849E-2</v>
      </c>
      <c r="G95" s="418">
        <f>'רמה מקצועית ואמנותית'!Z95</f>
        <v>1.8535681186283594E-2</v>
      </c>
      <c r="H95" s="418">
        <f>'מיקום גיאוגרפי'!AB95</f>
        <v>6.8965517241379309E-2</v>
      </c>
      <c r="I95" s="418">
        <f>תקציב!Z95</f>
        <v>3.6809815950920248E-2</v>
      </c>
      <c r="J95" s="418">
        <f>'עידוד יצירה ישראלית'!Z95</f>
        <v>0</v>
      </c>
      <c r="K95" s="418">
        <f>תיעוד!$Z95</f>
        <v>1.4705882352941176E-2</v>
      </c>
      <c r="L95" s="418"/>
      <c r="M95" s="418"/>
      <c r="N95" s="418"/>
      <c r="O95" s="418"/>
      <c r="P95" s="418"/>
      <c r="Q95" s="418"/>
      <c r="R95" s="419"/>
      <c r="S95" s="419"/>
      <c r="T95" s="419"/>
      <c r="U95" s="419"/>
      <c r="V95" s="419"/>
      <c r="W95" s="419"/>
      <c r="X95" s="419"/>
      <c r="Y95" s="419"/>
      <c r="Z95" s="419"/>
      <c r="AA95" s="419"/>
      <c r="AB95" s="419"/>
      <c r="AC95" s="419"/>
      <c r="AD95" s="419">
        <f t="shared" si="2"/>
        <v>3.5204212546482538E-2</v>
      </c>
      <c r="AE95" s="419">
        <f t="shared" si="3"/>
        <v>3.5204212546482552E-2</v>
      </c>
      <c r="AF95" s="420">
        <f t="shared" si="4"/>
        <v>108301.0777389849</v>
      </c>
      <c r="AG95" s="244">
        <f t="shared" si="5"/>
        <v>1</v>
      </c>
      <c r="AH95" s="244">
        <f t="shared" si="6"/>
        <v>1</v>
      </c>
      <c r="AI95" s="244">
        <f t="shared" si="7"/>
        <v>1</v>
      </c>
      <c r="AJ95" s="244">
        <f t="shared" si="8"/>
        <v>1</v>
      </c>
      <c r="AK95" s="244">
        <f t="shared" si="9"/>
        <v>1</v>
      </c>
      <c r="AL95" s="244">
        <f t="shared" si="10"/>
        <v>1</v>
      </c>
      <c r="AM95" s="244">
        <f t="shared" si="11"/>
        <v>1</v>
      </c>
      <c r="AN95" s="244">
        <f t="shared" si="12"/>
        <v>1</v>
      </c>
      <c r="AO95" s="244">
        <f t="shared" si="13"/>
        <v>1</v>
      </c>
      <c r="AP95" s="244">
        <f t="shared" si="14"/>
        <v>1</v>
      </c>
      <c r="AQ95" s="244">
        <f t="shared" si="15"/>
        <v>1</v>
      </c>
      <c r="AR95" s="244">
        <f t="shared" si="16"/>
        <v>1</v>
      </c>
      <c r="AS95" s="244">
        <f t="shared" si="17"/>
        <v>1</v>
      </c>
      <c r="AT95" s="244">
        <f t="shared" si="18"/>
        <v>1</v>
      </c>
      <c r="AU95" s="244">
        <f t="shared" si="19"/>
        <v>1</v>
      </c>
      <c r="AV95" s="244">
        <f t="shared" si="20"/>
        <v>1</v>
      </c>
      <c r="AW95" s="244">
        <f t="shared" si="21"/>
        <v>1</v>
      </c>
      <c r="AX95" s="244">
        <f t="shared" si="22"/>
        <v>1</v>
      </c>
      <c r="AY95" s="244">
        <f t="shared" si="23"/>
        <v>1</v>
      </c>
      <c r="AZ95" s="244">
        <f t="shared" si="24"/>
        <v>1</v>
      </c>
      <c r="BA95" s="244">
        <f t="shared" si="25"/>
        <v>1</v>
      </c>
      <c r="BB95" s="244">
        <f t="shared" si="26"/>
        <v>1</v>
      </c>
      <c r="BC95" s="244">
        <f t="shared" si="27"/>
        <v>1</v>
      </c>
      <c r="BD95" s="244">
        <f t="shared" si="28"/>
        <v>1</v>
      </c>
      <c r="BE95" s="244">
        <f t="shared" si="29"/>
        <v>1</v>
      </c>
      <c r="BF95" s="244">
        <f t="shared" si="30"/>
        <v>1</v>
      </c>
      <c r="BG95" s="244">
        <f t="shared" si="31"/>
        <v>1</v>
      </c>
    </row>
    <row r="96" spans="1:59" ht="45.75" customHeight="1" x14ac:dyDescent="0.25">
      <c r="A96" s="415"/>
      <c r="B96" s="416">
        <f t="shared" ref="B96:B130" si="32">IF(F96="","",ROW()-30)</f>
        <v>66</v>
      </c>
      <c r="C96" s="421" t="str">
        <f>IF('תנאי סף'!AO96&lt;&gt;1,"",'תנאי סף'!F96)</f>
        <v>טריו בן חיים</v>
      </c>
      <c r="D96" s="418">
        <f>'מספר הרצות'!Z96</f>
        <v>6.3268829255506646E-3</v>
      </c>
      <c r="E96" s="418">
        <f>'מספר מבצעים בתשלום'!Z96</f>
        <v>0</v>
      </c>
      <c r="F96" s="418">
        <f>'מיקום ההרצות'!Z96</f>
        <v>1.452513966480447E-2</v>
      </c>
      <c r="G96" s="418">
        <f>'רמה מקצועית ואמנותית'!Z96</f>
        <v>1.8535681186283594E-2</v>
      </c>
      <c r="H96" s="418">
        <f>'מיקום גיאוגרפי'!AB96</f>
        <v>0</v>
      </c>
      <c r="I96" s="418">
        <f>תקציב!Z96</f>
        <v>3.6809815950920248E-2</v>
      </c>
      <c r="J96" s="418">
        <f>'עידוד יצירה ישראלית'!Z96</f>
        <v>1.7006802721088437E-2</v>
      </c>
      <c r="K96" s="418">
        <f>תיעוד!$Z96</f>
        <v>1.4705882352941176E-2</v>
      </c>
      <c r="L96" s="418"/>
      <c r="M96" s="418"/>
      <c r="N96" s="418"/>
      <c r="O96" s="418"/>
      <c r="P96" s="418"/>
      <c r="Q96" s="418"/>
      <c r="R96" s="419"/>
      <c r="S96" s="419"/>
      <c r="T96" s="419"/>
      <c r="U96" s="419"/>
      <c r="V96" s="419"/>
      <c r="W96" s="419"/>
      <c r="X96" s="419"/>
      <c r="Y96" s="419"/>
      <c r="Z96" s="419"/>
      <c r="AA96" s="419"/>
      <c r="AB96" s="419"/>
      <c r="AC96" s="419"/>
      <c r="AD96" s="419">
        <f t="shared" ref="AD96:AD130" si="33">IF($C96="","",IF(AG96&lt;&gt;1,$AH$1,SUMPRODUCT($D$30:$AC$30,D96:AC96)))</f>
        <v>1.1615198714381048E-2</v>
      </c>
      <c r="AE96" s="419">
        <f t="shared" ref="AE96:AE130" si="34">IF($C96="","",IF(AG96&lt;&gt;1,$AH$1,IFERROR(AD96/$AD$131,0)))</f>
        <v>1.1615198714381051E-2</v>
      </c>
      <c r="AF96" s="420">
        <f t="shared" ref="AF96:AF130" si="35">IF($C96="","",IF(AG96&lt;&gt;1,$AH$1,AE96*$AF$30))</f>
        <v>35732.614023364287</v>
      </c>
      <c r="AG96" s="244">
        <f t="shared" ref="AG96:AG130" si="36">IF(SUM(AH96:BG96)=COUNT(AH96:BG96),1,0)</f>
        <v>1</v>
      </c>
      <c r="AH96" s="244">
        <f t="shared" ref="AH96:AH130" si="37">IF(D96=$AH$1,0,1)</f>
        <v>1</v>
      </c>
      <c r="AI96" s="244">
        <f t="shared" ref="AI96:AI130" si="38">IF(E96=$AH$1,0,1)</f>
        <v>1</v>
      </c>
      <c r="AJ96" s="244">
        <f t="shared" ref="AJ96:AJ130" si="39">IF(F96=$AH$1,0,1)</f>
        <v>1</v>
      </c>
      <c r="AK96" s="244">
        <f t="shared" ref="AK96:AK130" si="40">IF(G96=$AH$1,0,1)</f>
        <v>1</v>
      </c>
      <c r="AL96" s="244">
        <f t="shared" ref="AL96:AL130" si="41">IF(H96=$AH$1,0,1)</f>
        <v>1</v>
      </c>
      <c r="AM96" s="244">
        <f t="shared" ref="AM96:AM130" si="42">IF(I96=$AH$1,0,1)</f>
        <v>1</v>
      </c>
      <c r="AN96" s="244">
        <f t="shared" ref="AN96:AN130" si="43">IF(J96=$AH$1,0,1)</f>
        <v>1</v>
      </c>
      <c r="AO96" s="244">
        <f t="shared" ref="AO96:AO130" si="44">IF(K96=$AH$1,0,1)</f>
        <v>1</v>
      </c>
      <c r="AP96" s="244">
        <f t="shared" ref="AP96:AP130" si="45">IF(L96=$AH$1,0,1)</f>
        <v>1</v>
      </c>
      <c r="AQ96" s="244">
        <f t="shared" ref="AQ96:AQ130" si="46">IF(M96=$AH$1,0,1)</f>
        <v>1</v>
      </c>
      <c r="AR96" s="244">
        <f t="shared" ref="AR96:AR130" si="47">IF(N96=$AH$1,0,1)</f>
        <v>1</v>
      </c>
      <c r="AS96" s="244">
        <f t="shared" ref="AS96:AS130" si="48">IF(O96=$AH$1,0,1)</f>
        <v>1</v>
      </c>
      <c r="AT96" s="244">
        <f t="shared" ref="AT96:AT130" si="49">IF(P96=$AH$1,0,1)</f>
        <v>1</v>
      </c>
      <c r="AU96" s="244">
        <f t="shared" ref="AU96:AU130" si="50">IF(Q96=$AH$1,0,1)</f>
        <v>1</v>
      </c>
      <c r="AV96" s="244">
        <f t="shared" ref="AV96:AV130" si="51">IF(R96=$AH$1,0,1)</f>
        <v>1</v>
      </c>
      <c r="AW96" s="244">
        <f t="shared" ref="AW96:AW130" si="52">IF(S96=$AH$1,0,1)</f>
        <v>1</v>
      </c>
      <c r="AX96" s="244">
        <f t="shared" ref="AX96:AX130" si="53">IF(T96=$AH$1,0,1)</f>
        <v>1</v>
      </c>
      <c r="AY96" s="244">
        <f t="shared" ref="AY96:AY130" si="54">IF(U96=$AH$1,0,1)</f>
        <v>1</v>
      </c>
      <c r="AZ96" s="244">
        <f t="shared" ref="AZ96:AZ130" si="55">IF(V96=$AH$1,0,1)</f>
        <v>1</v>
      </c>
      <c r="BA96" s="244">
        <f t="shared" ref="BA96:BA130" si="56">IF(W96=$AH$1,0,1)</f>
        <v>1</v>
      </c>
      <c r="BB96" s="244">
        <f t="shared" ref="BB96:BB130" si="57">IF(X96=$AH$1,0,1)</f>
        <v>1</v>
      </c>
      <c r="BC96" s="244">
        <f t="shared" ref="BC96:BC130" si="58">IF(Y96=$AH$1,0,1)</f>
        <v>1</v>
      </c>
      <c r="BD96" s="244">
        <f t="shared" ref="BD96:BD130" si="59">IF(Z96=$AH$1,0,1)</f>
        <v>1</v>
      </c>
      <c r="BE96" s="244">
        <f t="shared" ref="BE96:BE130" si="60">IF(AA96=$AH$1,0,1)</f>
        <v>1</v>
      </c>
      <c r="BF96" s="244">
        <f t="shared" ref="BF96:BF130" si="61">IF(AB96=$AH$1,0,1)</f>
        <v>1</v>
      </c>
      <c r="BG96" s="244">
        <f t="shared" ref="BG96:BG130" si="62">IF(AC96=$AH$1,0,1)</f>
        <v>1</v>
      </c>
    </row>
    <row r="97" spans="1:59" ht="45.75" hidden="1" customHeight="1" x14ac:dyDescent="0.25">
      <c r="A97" s="415"/>
      <c r="B97" s="416" t="str">
        <f t="shared" si="32"/>
        <v/>
      </c>
      <c r="C97" s="421" t="str">
        <f>IF('תנאי סף'!AO97&lt;&gt;1,"",'תנאי סף'!F97)</f>
        <v/>
      </c>
      <c r="D97" s="418" t="str">
        <f>'מספר הרצות'!Z97</f>
        <v/>
      </c>
      <c r="E97" s="418" t="str">
        <f>'מספר מבצעים בתשלום'!Z97</f>
        <v/>
      </c>
      <c r="F97" s="418" t="str">
        <f>'מיקום ההרצות'!Z97</f>
        <v/>
      </c>
      <c r="G97" s="418" t="str">
        <f>'רמה מקצועית ואמנותית'!Z97</f>
        <v/>
      </c>
      <c r="H97" s="418" t="str">
        <f>'מיקום גיאוגרפי'!AB97</f>
        <v/>
      </c>
      <c r="I97" s="418" t="str">
        <f>תקציב!Z97</f>
        <v/>
      </c>
      <c r="J97" s="418" t="str">
        <f>'עידוד יצירה ישראלית'!Z97</f>
        <v/>
      </c>
      <c r="K97" s="418" t="str">
        <f>תיעוד!$Z97</f>
        <v/>
      </c>
      <c r="L97" s="418"/>
      <c r="M97" s="418"/>
      <c r="N97" s="418"/>
      <c r="O97" s="418"/>
      <c r="P97" s="418"/>
      <c r="Q97" s="418"/>
      <c r="R97" s="419"/>
      <c r="S97" s="419"/>
      <c r="T97" s="419"/>
      <c r="U97" s="419"/>
      <c r="V97" s="419"/>
      <c r="W97" s="419"/>
      <c r="X97" s="419"/>
      <c r="Y97" s="419"/>
      <c r="Z97" s="419"/>
      <c r="AA97" s="419"/>
      <c r="AB97" s="419"/>
      <c r="AC97" s="419"/>
      <c r="AD97" s="419" t="str">
        <f t="shared" si="33"/>
        <v/>
      </c>
      <c r="AE97" s="419" t="str">
        <f t="shared" si="34"/>
        <v/>
      </c>
      <c r="AF97" s="420" t="str">
        <f t="shared" si="35"/>
        <v/>
      </c>
      <c r="AG97" s="244">
        <f t="shared" si="36"/>
        <v>1</v>
      </c>
      <c r="AH97" s="244">
        <f t="shared" si="37"/>
        <v>1</v>
      </c>
      <c r="AI97" s="244">
        <f t="shared" si="38"/>
        <v>1</v>
      </c>
      <c r="AJ97" s="244">
        <f t="shared" si="39"/>
        <v>1</v>
      </c>
      <c r="AK97" s="244">
        <f t="shared" si="40"/>
        <v>1</v>
      </c>
      <c r="AL97" s="244">
        <f t="shared" si="41"/>
        <v>1</v>
      </c>
      <c r="AM97" s="244">
        <f t="shared" si="42"/>
        <v>1</v>
      </c>
      <c r="AN97" s="244">
        <f t="shared" si="43"/>
        <v>1</v>
      </c>
      <c r="AO97" s="244">
        <f t="shared" si="44"/>
        <v>1</v>
      </c>
      <c r="AP97" s="244">
        <f t="shared" si="45"/>
        <v>1</v>
      </c>
      <c r="AQ97" s="244">
        <f t="shared" si="46"/>
        <v>1</v>
      </c>
      <c r="AR97" s="244">
        <f t="shared" si="47"/>
        <v>1</v>
      </c>
      <c r="AS97" s="244">
        <f t="shared" si="48"/>
        <v>1</v>
      </c>
      <c r="AT97" s="244">
        <f t="shared" si="49"/>
        <v>1</v>
      </c>
      <c r="AU97" s="244">
        <f t="shared" si="50"/>
        <v>1</v>
      </c>
      <c r="AV97" s="244">
        <f t="shared" si="51"/>
        <v>1</v>
      </c>
      <c r="AW97" s="244">
        <f t="shared" si="52"/>
        <v>1</v>
      </c>
      <c r="AX97" s="244">
        <f t="shared" si="53"/>
        <v>1</v>
      </c>
      <c r="AY97" s="244">
        <f t="shared" si="54"/>
        <v>1</v>
      </c>
      <c r="AZ97" s="244">
        <f t="shared" si="55"/>
        <v>1</v>
      </c>
      <c r="BA97" s="244">
        <f t="shared" si="56"/>
        <v>1</v>
      </c>
      <c r="BB97" s="244">
        <f t="shared" si="57"/>
        <v>1</v>
      </c>
      <c r="BC97" s="244">
        <f t="shared" si="58"/>
        <v>1</v>
      </c>
      <c r="BD97" s="244">
        <f t="shared" si="59"/>
        <v>1</v>
      </c>
      <c r="BE97" s="244">
        <f t="shared" si="60"/>
        <v>1</v>
      </c>
      <c r="BF97" s="244">
        <f t="shared" si="61"/>
        <v>1</v>
      </c>
      <c r="BG97" s="244">
        <f t="shared" si="62"/>
        <v>1</v>
      </c>
    </row>
    <row r="98" spans="1:59" ht="45.75" customHeight="1" x14ac:dyDescent="0.25">
      <c r="A98" s="415"/>
      <c r="B98" s="416">
        <f t="shared" si="32"/>
        <v>68</v>
      </c>
      <c r="C98" s="421" t="str">
        <f>IF('תנאי סף'!AO98&lt;&gt;1,"",'תנאי סף'!F98)</f>
        <v>אמיתי אריכא והפרויקט D1</v>
      </c>
      <c r="D98" s="418">
        <f>'מספר הרצות'!Z98</f>
        <v>1.084608501522971E-2</v>
      </c>
      <c r="E98" s="418">
        <f>'מספר מבצעים בתשלום'!Z98</f>
        <v>1.2135922330097087E-2</v>
      </c>
      <c r="F98" s="418">
        <f>'מיקום ההרצות'!Z98</f>
        <v>3.6871508379888271E-2</v>
      </c>
      <c r="G98" s="418">
        <f>'רמה מקצועית ואמנותית'!Z98</f>
        <v>1.3901760889712697E-2</v>
      </c>
      <c r="H98" s="418">
        <f>'מיקום גיאוגרפי'!AB98</f>
        <v>0.10344827586206896</v>
      </c>
      <c r="I98" s="418">
        <f>תקציב!Z98</f>
        <v>3.6809815950920248E-2</v>
      </c>
      <c r="J98" s="418">
        <f>'עידוד יצירה ישראלית'!Z98</f>
        <v>0</v>
      </c>
      <c r="K98" s="418">
        <f>תיעוד!$Z98</f>
        <v>0</v>
      </c>
      <c r="L98" s="418"/>
      <c r="M98" s="418"/>
      <c r="N98" s="418"/>
      <c r="O98" s="418"/>
      <c r="P98" s="418"/>
      <c r="Q98" s="418"/>
      <c r="R98" s="419"/>
      <c r="S98" s="419"/>
      <c r="T98" s="419"/>
      <c r="U98" s="419"/>
      <c r="V98" s="419"/>
      <c r="W98" s="419"/>
      <c r="X98" s="419"/>
      <c r="Y98" s="419"/>
      <c r="Z98" s="419"/>
      <c r="AA98" s="419"/>
      <c r="AB98" s="419"/>
      <c r="AC98" s="419"/>
      <c r="AD98" s="419">
        <f t="shared" si="33"/>
        <v>2.4394625621810013E-2</v>
      </c>
      <c r="AE98" s="419">
        <f t="shared" si="34"/>
        <v>2.439462562181002E-2</v>
      </c>
      <c r="AF98" s="420">
        <f t="shared" si="35"/>
        <v>75046.821240290825</v>
      </c>
      <c r="AG98" s="244">
        <f t="shared" si="36"/>
        <v>1</v>
      </c>
      <c r="AH98" s="244">
        <f t="shared" si="37"/>
        <v>1</v>
      </c>
      <c r="AI98" s="244">
        <f t="shared" si="38"/>
        <v>1</v>
      </c>
      <c r="AJ98" s="244">
        <f t="shared" si="39"/>
        <v>1</v>
      </c>
      <c r="AK98" s="244">
        <f t="shared" si="40"/>
        <v>1</v>
      </c>
      <c r="AL98" s="244">
        <f t="shared" si="41"/>
        <v>1</v>
      </c>
      <c r="AM98" s="244">
        <f t="shared" si="42"/>
        <v>1</v>
      </c>
      <c r="AN98" s="244">
        <f t="shared" si="43"/>
        <v>1</v>
      </c>
      <c r="AO98" s="244">
        <f t="shared" si="44"/>
        <v>1</v>
      </c>
      <c r="AP98" s="244">
        <f t="shared" si="45"/>
        <v>1</v>
      </c>
      <c r="AQ98" s="244">
        <f t="shared" si="46"/>
        <v>1</v>
      </c>
      <c r="AR98" s="244">
        <f t="shared" si="47"/>
        <v>1</v>
      </c>
      <c r="AS98" s="244">
        <f t="shared" si="48"/>
        <v>1</v>
      </c>
      <c r="AT98" s="244">
        <f t="shared" si="49"/>
        <v>1</v>
      </c>
      <c r="AU98" s="244">
        <f t="shared" si="50"/>
        <v>1</v>
      </c>
      <c r="AV98" s="244">
        <f t="shared" si="51"/>
        <v>1</v>
      </c>
      <c r="AW98" s="244">
        <f t="shared" si="52"/>
        <v>1</v>
      </c>
      <c r="AX98" s="244">
        <f t="shared" si="53"/>
        <v>1</v>
      </c>
      <c r="AY98" s="244">
        <f t="shared" si="54"/>
        <v>1</v>
      </c>
      <c r="AZ98" s="244">
        <f t="shared" si="55"/>
        <v>1</v>
      </c>
      <c r="BA98" s="244">
        <f t="shared" si="56"/>
        <v>1</v>
      </c>
      <c r="BB98" s="244">
        <f t="shared" si="57"/>
        <v>1</v>
      </c>
      <c r="BC98" s="244">
        <f t="shared" si="58"/>
        <v>1</v>
      </c>
      <c r="BD98" s="244">
        <f t="shared" si="59"/>
        <v>1</v>
      </c>
      <c r="BE98" s="244">
        <f t="shared" si="60"/>
        <v>1</v>
      </c>
      <c r="BF98" s="244">
        <f t="shared" si="61"/>
        <v>1</v>
      </c>
      <c r="BG98" s="244">
        <f t="shared" si="62"/>
        <v>1</v>
      </c>
    </row>
    <row r="99" spans="1:59" ht="15.75" x14ac:dyDescent="0.25">
      <c r="A99" s="415"/>
      <c r="B99" s="416" t="str">
        <f t="shared" si="32"/>
        <v/>
      </c>
      <c r="C99" s="421" t="str">
        <f>IF('תנאי סף'!AO99&lt;&gt;1,"",'תנאי סף'!F99)</f>
        <v/>
      </c>
      <c r="D99" s="418" t="str">
        <f>'מספר הרצות'!Z99</f>
        <v/>
      </c>
      <c r="E99" s="418" t="str">
        <f>'מספר מבצעים בתשלום'!Z99</f>
        <v/>
      </c>
      <c r="F99" s="418" t="str">
        <f>'מיקום ההרצות'!Z99</f>
        <v/>
      </c>
      <c r="G99" s="418" t="str">
        <f>'רמה מקצועית ואמנותית'!Z99</f>
        <v/>
      </c>
      <c r="H99" s="418" t="str">
        <f>'מיקום גיאוגרפי'!AB99</f>
        <v/>
      </c>
      <c r="I99" s="418" t="str">
        <f>תקציב!Z99</f>
        <v/>
      </c>
      <c r="J99" s="418" t="str">
        <f>'עידוד יצירה ישראלית'!Z99</f>
        <v/>
      </c>
      <c r="K99" s="418" t="str">
        <f>תיעוד!$Z99</f>
        <v/>
      </c>
      <c r="L99" s="418"/>
      <c r="M99" s="418"/>
      <c r="N99" s="418"/>
      <c r="O99" s="418"/>
      <c r="P99" s="418"/>
      <c r="Q99" s="418"/>
      <c r="R99" s="419"/>
      <c r="S99" s="419"/>
      <c r="T99" s="419"/>
      <c r="U99" s="419"/>
      <c r="V99" s="419"/>
      <c r="W99" s="419"/>
      <c r="X99" s="419"/>
      <c r="Y99" s="419"/>
      <c r="Z99" s="419"/>
      <c r="AA99" s="419"/>
      <c r="AB99" s="419"/>
      <c r="AC99" s="419"/>
      <c r="AD99" s="419" t="str">
        <f t="shared" si="33"/>
        <v/>
      </c>
      <c r="AE99" s="419" t="str">
        <f t="shared" si="34"/>
        <v/>
      </c>
      <c r="AF99" s="420" t="str">
        <f t="shared" si="35"/>
        <v/>
      </c>
      <c r="AG99" s="244">
        <f t="shared" si="36"/>
        <v>1</v>
      </c>
      <c r="AH99" s="244">
        <f t="shared" si="37"/>
        <v>1</v>
      </c>
      <c r="AI99" s="244">
        <f t="shared" si="38"/>
        <v>1</v>
      </c>
      <c r="AJ99" s="244">
        <f t="shared" si="39"/>
        <v>1</v>
      </c>
      <c r="AK99" s="244">
        <f t="shared" si="40"/>
        <v>1</v>
      </c>
      <c r="AL99" s="244">
        <f t="shared" si="41"/>
        <v>1</v>
      </c>
      <c r="AM99" s="244">
        <f t="shared" si="42"/>
        <v>1</v>
      </c>
      <c r="AN99" s="244">
        <f t="shared" si="43"/>
        <v>1</v>
      </c>
      <c r="AO99" s="244">
        <f t="shared" si="44"/>
        <v>1</v>
      </c>
      <c r="AP99" s="244">
        <f t="shared" si="45"/>
        <v>1</v>
      </c>
      <c r="AQ99" s="244">
        <f t="shared" si="46"/>
        <v>1</v>
      </c>
      <c r="AR99" s="244">
        <f t="shared" si="47"/>
        <v>1</v>
      </c>
      <c r="AS99" s="244">
        <f t="shared" si="48"/>
        <v>1</v>
      </c>
      <c r="AT99" s="244">
        <f t="shared" si="49"/>
        <v>1</v>
      </c>
      <c r="AU99" s="244">
        <f t="shared" si="50"/>
        <v>1</v>
      </c>
      <c r="AV99" s="244">
        <f t="shared" si="51"/>
        <v>1</v>
      </c>
      <c r="AW99" s="244">
        <f t="shared" si="52"/>
        <v>1</v>
      </c>
      <c r="AX99" s="244">
        <f t="shared" si="53"/>
        <v>1</v>
      </c>
      <c r="AY99" s="244">
        <f t="shared" si="54"/>
        <v>1</v>
      </c>
      <c r="AZ99" s="244">
        <f t="shared" si="55"/>
        <v>1</v>
      </c>
      <c r="BA99" s="244">
        <f t="shared" si="56"/>
        <v>1</v>
      </c>
      <c r="BB99" s="244">
        <f t="shared" si="57"/>
        <v>1</v>
      </c>
      <c r="BC99" s="244">
        <f t="shared" si="58"/>
        <v>1</v>
      </c>
      <c r="BD99" s="244">
        <f t="shared" si="59"/>
        <v>1</v>
      </c>
      <c r="BE99" s="244">
        <f t="shared" si="60"/>
        <v>1</v>
      </c>
      <c r="BF99" s="244">
        <f t="shared" si="61"/>
        <v>1</v>
      </c>
      <c r="BG99" s="244">
        <f t="shared" si="62"/>
        <v>1</v>
      </c>
    </row>
    <row r="100" spans="1:59" ht="15.75" x14ac:dyDescent="0.25">
      <c r="A100" s="415"/>
      <c r="B100" s="416" t="str">
        <f t="shared" si="32"/>
        <v/>
      </c>
      <c r="C100" s="421" t="str">
        <f>IF('תנאי סף'!AO100&lt;&gt;1,"",'תנאי סף'!F100)</f>
        <v/>
      </c>
      <c r="D100" s="418" t="str">
        <f>'מספר הרצות'!Z100</f>
        <v/>
      </c>
      <c r="E100" s="418" t="str">
        <f>'מספר מבצעים בתשלום'!Z100</f>
        <v/>
      </c>
      <c r="F100" s="418" t="str">
        <f>'מיקום ההרצות'!Z100</f>
        <v/>
      </c>
      <c r="G100" s="418" t="str">
        <f>'רמה מקצועית ואמנותית'!Z100</f>
        <v/>
      </c>
      <c r="H100" s="418" t="str">
        <f>'מיקום גיאוגרפי'!AB100</f>
        <v/>
      </c>
      <c r="I100" s="418" t="str">
        <f>תקציב!Z100</f>
        <v/>
      </c>
      <c r="J100" s="418" t="str">
        <f>'עידוד יצירה ישראלית'!Z100</f>
        <v/>
      </c>
      <c r="K100" s="418" t="str">
        <f>תיעוד!$Z100</f>
        <v/>
      </c>
      <c r="L100" s="418"/>
      <c r="M100" s="418"/>
      <c r="N100" s="418"/>
      <c r="O100" s="418"/>
      <c r="P100" s="418"/>
      <c r="Q100" s="418"/>
      <c r="R100" s="419"/>
      <c r="S100" s="419"/>
      <c r="T100" s="419"/>
      <c r="U100" s="419"/>
      <c r="V100" s="419"/>
      <c r="W100" s="419"/>
      <c r="X100" s="419"/>
      <c r="Y100" s="419"/>
      <c r="Z100" s="419"/>
      <c r="AA100" s="419"/>
      <c r="AB100" s="419"/>
      <c r="AC100" s="419"/>
      <c r="AD100" s="419" t="str">
        <f t="shared" si="33"/>
        <v/>
      </c>
      <c r="AE100" s="419" t="str">
        <f t="shared" si="34"/>
        <v/>
      </c>
      <c r="AF100" s="420" t="str">
        <f t="shared" si="35"/>
        <v/>
      </c>
      <c r="AG100" s="244">
        <f t="shared" si="36"/>
        <v>1</v>
      </c>
      <c r="AH100" s="244">
        <f t="shared" si="37"/>
        <v>1</v>
      </c>
      <c r="AI100" s="244">
        <f t="shared" si="38"/>
        <v>1</v>
      </c>
      <c r="AJ100" s="244">
        <f t="shared" si="39"/>
        <v>1</v>
      </c>
      <c r="AK100" s="244">
        <f t="shared" si="40"/>
        <v>1</v>
      </c>
      <c r="AL100" s="244">
        <f t="shared" si="41"/>
        <v>1</v>
      </c>
      <c r="AM100" s="244">
        <f t="shared" si="42"/>
        <v>1</v>
      </c>
      <c r="AN100" s="244">
        <f t="shared" si="43"/>
        <v>1</v>
      </c>
      <c r="AO100" s="244">
        <f t="shared" si="44"/>
        <v>1</v>
      </c>
      <c r="AP100" s="244">
        <f t="shared" si="45"/>
        <v>1</v>
      </c>
      <c r="AQ100" s="244">
        <f t="shared" si="46"/>
        <v>1</v>
      </c>
      <c r="AR100" s="244">
        <f t="shared" si="47"/>
        <v>1</v>
      </c>
      <c r="AS100" s="244">
        <f t="shared" si="48"/>
        <v>1</v>
      </c>
      <c r="AT100" s="244">
        <f t="shared" si="49"/>
        <v>1</v>
      </c>
      <c r="AU100" s="244">
        <f t="shared" si="50"/>
        <v>1</v>
      </c>
      <c r="AV100" s="244">
        <f t="shared" si="51"/>
        <v>1</v>
      </c>
      <c r="AW100" s="244">
        <f t="shared" si="52"/>
        <v>1</v>
      </c>
      <c r="AX100" s="244">
        <f t="shared" si="53"/>
        <v>1</v>
      </c>
      <c r="AY100" s="244">
        <f t="shared" si="54"/>
        <v>1</v>
      </c>
      <c r="AZ100" s="244">
        <f t="shared" si="55"/>
        <v>1</v>
      </c>
      <c r="BA100" s="244">
        <f t="shared" si="56"/>
        <v>1</v>
      </c>
      <c r="BB100" s="244">
        <f t="shared" si="57"/>
        <v>1</v>
      </c>
      <c r="BC100" s="244">
        <f t="shared" si="58"/>
        <v>1</v>
      </c>
      <c r="BD100" s="244">
        <f t="shared" si="59"/>
        <v>1</v>
      </c>
      <c r="BE100" s="244">
        <f t="shared" si="60"/>
        <v>1</v>
      </c>
      <c r="BF100" s="244">
        <f t="shared" si="61"/>
        <v>1</v>
      </c>
      <c r="BG100" s="244">
        <f t="shared" si="62"/>
        <v>1</v>
      </c>
    </row>
    <row r="101" spans="1:59" ht="15.75" x14ac:dyDescent="0.25">
      <c r="A101" s="415"/>
      <c r="B101" s="416" t="str">
        <f t="shared" si="32"/>
        <v/>
      </c>
      <c r="C101" s="421" t="str">
        <f>IF('תנאי סף'!AO101&lt;&gt;1,"",'תנאי סף'!F101)</f>
        <v/>
      </c>
      <c r="D101" s="418" t="str">
        <f>'מספר הרצות'!Z101</f>
        <v/>
      </c>
      <c r="E101" s="418" t="str">
        <f>'מספר מבצעים בתשלום'!Z101</f>
        <v/>
      </c>
      <c r="F101" s="418" t="str">
        <f>'מיקום ההרצות'!Z101</f>
        <v/>
      </c>
      <c r="G101" s="418" t="str">
        <f>'רמה מקצועית ואמנותית'!Z101</f>
        <v/>
      </c>
      <c r="H101" s="418" t="str">
        <f>'מיקום גיאוגרפי'!AB101</f>
        <v/>
      </c>
      <c r="I101" s="418" t="str">
        <f>תקציב!Z101</f>
        <v/>
      </c>
      <c r="J101" s="418" t="str">
        <f>'עידוד יצירה ישראלית'!Z101</f>
        <v/>
      </c>
      <c r="K101" s="418" t="str">
        <f>תיעוד!$Z101</f>
        <v/>
      </c>
      <c r="L101" s="418"/>
      <c r="M101" s="418"/>
      <c r="N101" s="418"/>
      <c r="O101" s="418"/>
      <c r="P101" s="418"/>
      <c r="Q101" s="418"/>
      <c r="R101" s="419"/>
      <c r="S101" s="419"/>
      <c r="T101" s="419"/>
      <c r="U101" s="419"/>
      <c r="V101" s="419"/>
      <c r="W101" s="419"/>
      <c r="X101" s="419"/>
      <c r="Y101" s="419"/>
      <c r="Z101" s="419"/>
      <c r="AA101" s="419"/>
      <c r="AB101" s="419"/>
      <c r="AC101" s="419"/>
      <c r="AD101" s="419" t="str">
        <f t="shared" si="33"/>
        <v/>
      </c>
      <c r="AE101" s="419" t="str">
        <f t="shared" si="34"/>
        <v/>
      </c>
      <c r="AF101" s="420" t="str">
        <f t="shared" si="35"/>
        <v/>
      </c>
      <c r="AG101" s="244">
        <f t="shared" si="36"/>
        <v>1</v>
      </c>
      <c r="AH101" s="244">
        <f t="shared" si="37"/>
        <v>1</v>
      </c>
      <c r="AI101" s="244">
        <f t="shared" si="38"/>
        <v>1</v>
      </c>
      <c r="AJ101" s="244">
        <f t="shared" si="39"/>
        <v>1</v>
      </c>
      <c r="AK101" s="244">
        <f t="shared" si="40"/>
        <v>1</v>
      </c>
      <c r="AL101" s="244">
        <f t="shared" si="41"/>
        <v>1</v>
      </c>
      <c r="AM101" s="244">
        <f t="shared" si="42"/>
        <v>1</v>
      </c>
      <c r="AN101" s="244">
        <f t="shared" si="43"/>
        <v>1</v>
      </c>
      <c r="AO101" s="244">
        <f t="shared" si="44"/>
        <v>1</v>
      </c>
      <c r="AP101" s="244">
        <f t="shared" si="45"/>
        <v>1</v>
      </c>
      <c r="AQ101" s="244">
        <f t="shared" si="46"/>
        <v>1</v>
      </c>
      <c r="AR101" s="244">
        <f t="shared" si="47"/>
        <v>1</v>
      </c>
      <c r="AS101" s="244">
        <f t="shared" si="48"/>
        <v>1</v>
      </c>
      <c r="AT101" s="244">
        <f t="shared" si="49"/>
        <v>1</v>
      </c>
      <c r="AU101" s="244">
        <f t="shared" si="50"/>
        <v>1</v>
      </c>
      <c r="AV101" s="244">
        <f t="shared" si="51"/>
        <v>1</v>
      </c>
      <c r="AW101" s="244">
        <f t="shared" si="52"/>
        <v>1</v>
      </c>
      <c r="AX101" s="244">
        <f t="shared" si="53"/>
        <v>1</v>
      </c>
      <c r="AY101" s="244">
        <f t="shared" si="54"/>
        <v>1</v>
      </c>
      <c r="AZ101" s="244">
        <f t="shared" si="55"/>
        <v>1</v>
      </c>
      <c r="BA101" s="244">
        <f t="shared" si="56"/>
        <v>1</v>
      </c>
      <c r="BB101" s="244">
        <f t="shared" si="57"/>
        <v>1</v>
      </c>
      <c r="BC101" s="244">
        <f t="shared" si="58"/>
        <v>1</v>
      </c>
      <c r="BD101" s="244">
        <f t="shared" si="59"/>
        <v>1</v>
      </c>
      <c r="BE101" s="244">
        <f t="shared" si="60"/>
        <v>1</v>
      </c>
      <c r="BF101" s="244">
        <f t="shared" si="61"/>
        <v>1</v>
      </c>
      <c r="BG101" s="244">
        <f t="shared" si="62"/>
        <v>1</v>
      </c>
    </row>
    <row r="102" spans="1:59" ht="15.75" x14ac:dyDescent="0.25">
      <c r="A102" s="415"/>
      <c r="B102" s="416" t="str">
        <f t="shared" si="32"/>
        <v/>
      </c>
      <c r="C102" s="421" t="str">
        <f>IF('תנאי סף'!AO102&lt;&gt;1,"",'תנאי סף'!F102)</f>
        <v/>
      </c>
      <c r="D102" s="418" t="str">
        <f>'מספר הרצות'!Z102</f>
        <v/>
      </c>
      <c r="E102" s="418" t="str">
        <f>'מספר מבצעים בתשלום'!Z102</f>
        <v/>
      </c>
      <c r="F102" s="418" t="str">
        <f>'מיקום ההרצות'!Z102</f>
        <v/>
      </c>
      <c r="G102" s="418" t="str">
        <f>'רמה מקצועית ואמנותית'!Z102</f>
        <v/>
      </c>
      <c r="H102" s="418" t="str">
        <f>'מיקום גיאוגרפי'!AB102</f>
        <v/>
      </c>
      <c r="I102" s="418" t="str">
        <f>תקציב!Z102</f>
        <v/>
      </c>
      <c r="J102" s="418" t="str">
        <f>'עידוד יצירה ישראלית'!Z102</f>
        <v/>
      </c>
      <c r="K102" s="418" t="str">
        <f>תיעוד!$Z102</f>
        <v/>
      </c>
      <c r="L102" s="418"/>
      <c r="M102" s="418"/>
      <c r="N102" s="418"/>
      <c r="O102" s="418"/>
      <c r="P102" s="418"/>
      <c r="Q102" s="418"/>
      <c r="R102" s="419"/>
      <c r="S102" s="419"/>
      <c r="T102" s="419"/>
      <c r="U102" s="419"/>
      <c r="V102" s="419"/>
      <c r="W102" s="419"/>
      <c r="X102" s="419"/>
      <c r="Y102" s="419"/>
      <c r="Z102" s="419"/>
      <c r="AA102" s="419"/>
      <c r="AB102" s="419"/>
      <c r="AC102" s="419"/>
      <c r="AD102" s="419" t="str">
        <f t="shared" si="33"/>
        <v/>
      </c>
      <c r="AE102" s="419" t="str">
        <f t="shared" si="34"/>
        <v/>
      </c>
      <c r="AF102" s="420" t="str">
        <f t="shared" si="35"/>
        <v/>
      </c>
      <c r="AG102" s="244">
        <f t="shared" si="36"/>
        <v>1</v>
      </c>
      <c r="AH102" s="244">
        <f t="shared" si="37"/>
        <v>1</v>
      </c>
      <c r="AI102" s="244">
        <f t="shared" si="38"/>
        <v>1</v>
      </c>
      <c r="AJ102" s="244">
        <f t="shared" si="39"/>
        <v>1</v>
      </c>
      <c r="AK102" s="244">
        <f t="shared" si="40"/>
        <v>1</v>
      </c>
      <c r="AL102" s="244">
        <f t="shared" si="41"/>
        <v>1</v>
      </c>
      <c r="AM102" s="244">
        <f t="shared" si="42"/>
        <v>1</v>
      </c>
      <c r="AN102" s="244">
        <f t="shared" si="43"/>
        <v>1</v>
      </c>
      <c r="AO102" s="244">
        <f t="shared" si="44"/>
        <v>1</v>
      </c>
      <c r="AP102" s="244">
        <f t="shared" si="45"/>
        <v>1</v>
      </c>
      <c r="AQ102" s="244">
        <f t="shared" si="46"/>
        <v>1</v>
      </c>
      <c r="AR102" s="244">
        <f t="shared" si="47"/>
        <v>1</v>
      </c>
      <c r="AS102" s="244">
        <f t="shared" si="48"/>
        <v>1</v>
      </c>
      <c r="AT102" s="244">
        <f t="shared" si="49"/>
        <v>1</v>
      </c>
      <c r="AU102" s="244">
        <f t="shared" si="50"/>
        <v>1</v>
      </c>
      <c r="AV102" s="244">
        <f t="shared" si="51"/>
        <v>1</v>
      </c>
      <c r="AW102" s="244">
        <f t="shared" si="52"/>
        <v>1</v>
      </c>
      <c r="AX102" s="244">
        <f t="shared" si="53"/>
        <v>1</v>
      </c>
      <c r="AY102" s="244">
        <f t="shared" si="54"/>
        <v>1</v>
      </c>
      <c r="AZ102" s="244">
        <f t="shared" si="55"/>
        <v>1</v>
      </c>
      <c r="BA102" s="244">
        <f t="shared" si="56"/>
        <v>1</v>
      </c>
      <c r="BB102" s="244">
        <f t="shared" si="57"/>
        <v>1</v>
      </c>
      <c r="BC102" s="244">
        <f t="shared" si="58"/>
        <v>1</v>
      </c>
      <c r="BD102" s="244">
        <f t="shared" si="59"/>
        <v>1</v>
      </c>
      <c r="BE102" s="244">
        <f t="shared" si="60"/>
        <v>1</v>
      </c>
      <c r="BF102" s="244">
        <f t="shared" si="61"/>
        <v>1</v>
      </c>
      <c r="BG102" s="244">
        <f t="shared" si="62"/>
        <v>1</v>
      </c>
    </row>
    <row r="103" spans="1:59" ht="15.75" x14ac:dyDescent="0.25">
      <c r="A103" s="415"/>
      <c r="B103" s="416" t="str">
        <f t="shared" si="32"/>
        <v/>
      </c>
      <c r="C103" s="421" t="str">
        <f>IF('תנאי סף'!AO103&lt;&gt;1,"",'תנאי סף'!F103)</f>
        <v/>
      </c>
      <c r="D103" s="418" t="str">
        <f>'מספר הרצות'!Z103</f>
        <v/>
      </c>
      <c r="E103" s="418" t="str">
        <f>'מספר מבצעים בתשלום'!Z103</f>
        <v/>
      </c>
      <c r="F103" s="418" t="str">
        <f>'מיקום ההרצות'!Z103</f>
        <v/>
      </c>
      <c r="G103" s="418" t="str">
        <f>'רמה מקצועית ואמנותית'!Z103</f>
        <v/>
      </c>
      <c r="H103" s="418" t="str">
        <f>'מיקום גיאוגרפי'!AB103</f>
        <v/>
      </c>
      <c r="I103" s="418" t="str">
        <f>תקציב!Z103</f>
        <v/>
      </c>
      <c r="J103" s="418" t="str">
        <f>'עידוד יצירה ישראלית'!Z103</f>
        <v/>
      </c>
      <c r="K103" s="418" t="str">
        <f>תיעוד!$Z103</f>
        <v/>
      </c>
      <c r="L103" s="418"/>
      <c r="M103" s="418"/>
      <c r="N103" s="418"/>
      <c r="O103" s="418"/>
      <c r="P103" s="418"/>
      <c r="Q103" s="418"/>
      <c r="R103" s="419"/>
      <c r="S103" s="419"/>
      <c r="T103" s="419"/>
      <c r="U103" s="419"/>
      <c r="V103" s="419"/>
      <c r="W103" s="419"/>
      <c r="X103" s="419"/>
      <c r="Y103" s="419"/>
      <c r="Z103" s="419"/>
      <c r="AA103" s="419"/>
      <c r="AB103" s="419"/>
      <c r="AC103" s="419"/>
      <c r="AD103" s="419" t="str">
        <f t="shared" si="33"/>
        <v/>
      </c>
      <c r="AE103" s="419" t="str">
        <f t="shared" si="34"/>
        <v/>
      </c>
      <c r="AF103" s="420" t="str">
        <f t="shared" si="35"/>
        <v/>
      </c>
      <c r="AG103" s="244">
        <f t="shared" si="36"/>
        <v>1</v>
      </c>
      <c r="AH103" s="244">
        <f t="shared" si="37"/>
        <v>1</v>
      </c>
      <c r="AI103" s="244">
        <f t="shared" si="38"/>
        <v>1</v>
      </c>
      <c r="AJ103" s="244">
        <f t="shared" si="39"/>
        <v>1</v>
      </c>
      <c r="AK103" s="244">
        <f t="shared" si="40"/>
        <v>1</v>
      </c>
      <c r="AL103" s="244">
        <f t="shared" si="41"/>
        <v>1</v>
      </c>
      <c r="AM103" s="244">
        <f t="shared" si="42"/>
        <v>1</v>
      </c>
      <c r="AN103" s="244">
        <f t="shared" si="43"/>
        <v>1</v>
      </c>
      <c r="AO103" s="244">
        <f t="shared" si="44"/>
        <v>1</v>
      </c>
      <c r="AP103" s="244">
        <f t="shared" si="45"/>
        <v>1</v>
      </c>
      <c r="AQ103" s="244">
        <f t="shared" si="46"/>
        <v>1</v>
      </c>
      <c r="AR103" s="244">
        <f t="shared" si="47"/>
        <v>1</v>
      </c>
      <c r="AS103" s="244">
        <f t="shared" si="48"/>
        <v>1</v>
      </c>
      <c r="AT103" s="244">
        <f t="shared" si="49"/>
        <v>1</v>
      </c>
      <c r="AU103" s="244">
        <f t="shared" si="50"/>
        <v>1</v>
      </c>
      <c r="AV103" s="244">
        <f t="shared" si="51"/>
        <v>1</v>
      </c>
      <c r="AW103" s="244">
        <f t="shared" si="52"/>
        <v>1</v>
      </c>
      <c r="AX103" s="244">
        <f t="shared" si="53"/>
        <v>1</v>
      </c>
      <c r="AY103" s="244">
        <f t="shared" si="54"/>
        <v>1</v>
      </c>
      <c r="AZ103" s="244">
        <f t="shared" si="55"/>
        <v>1</v>
      </c>
      <c r="BA103" s="244">
        <f t="shared" si="56"/>
        <v>1</v>
      </c>
      <c r="BB103" s="244">
        <f t="shared" si="57"/>
        <v>1</v>
      </c>
      <c r="BC103" s="244">
        <f t="shared" si="58"/>
        <v>1</v>
      </c>
      <c r="BD103" s="244">
        <f t="shared" si="59"/>
        <v>1</v>
      </c>
      <c r="BE103" s="244">
        <f t="shared" si="60"/>
        <v>1</v>
      </c>
      <c r="BF103" s="244">
        <f t="shared" si="61"/>
        <v>1</v>
      </c>
      <c r="BG103" s="244">
        <f t="shared" si="62"/>
        <v>1</v>
      </c>
    </row>
    <row r="104" spans="1:59" ht="15.75" x14ac:dyDescent="0.25">
      <c r="A104" s="415"/>
      <c r="B104" s="416" t="str">
        <f t="shared" si="32"/>
        <v/>
      </c>
      <c r="C104" s="421" t="str">
        <f>IF('תנאי סף'!AO104&lt;&gt;1,"",'תנאי סף'!F104)</f>
        <v/>
      </c>
      <c r="D104" s="418" t="str">
        <f>'מספר הרצות'!Z104</f>
        <v/>
      </c>
      <c r="E104" s="418" t="str">
        <f>'מספר מבצעים בתשלום'!Z104</f>
        <v/>
      </c>
      <c r="F104" s="418" t="str">
        <f>'מיקום ההרצות'!Z104</f>
        <v/>
      </c>
      <c r="G104" s="418" t="str">
        <f>'רמה מקצועית ואמנותית'!Z104</f>
        <v/>
      </c>
      <c r="H104" s="418" t="str">
        <f>'מיקום גיאוגרפי'!AB104</f>
        <v/>
      </c>
      <c r="I104" s="418" t="str">
        <f>תקציב!Z104</f>
        <v/>
      </c>
      <c r="J104" s="418" t="str">
        <f>'עידוד יצירה ישראלית'!Z104</f>
        <v/>
      </c>
      <c r="K104" s="418" t="str">
        <f>תיעוד!$Z104</f>
        <v/>
      </c>
      <c r="L104" s="418"/>
      <c r="M104" s="418"/>
      <c r="N104" s="418"/>
      <c r="O104" s="418"/>
      <c r="P104" s="418"/>
      <c r="Q104" s="418"/>
      <c r="R104" s="419"/>
      <c r="S104" s="419"/>
      <c r="T104" s="419"/>
      <c r="U104" s="419"/>
      <c r="V104" s="419"/>
      <c r="W104" s="419"/>
      <c r="X104" s="419"/>
      <c r="Y104" s="419"/>
      <c r="Z104" s="419"/>
      <c r="AA104" s="419"/>
      <c r="AB104" s="419"/>
      <c r="AC104" s="419"/>
      <c r="AD104" s="419" t="str">
        <f t="shared" si="33"/>
        <v/>
      </c>
      <c r="AE104" s="419" t="str">
        <f t="shared" si="34"/>
        <v/>
      </c>
      <c r="AF104" s="420" t="str">
        <f t="shared" si="35"/>
        <v/>
      </c>
      <c r="AG104" s="244">
        <f t="shared" si="36"/>
        <v>1</v>
      </c>
      <c r="AH104" s="244">
        <f t="shared" si="37"/>
        <v>1</v>
      </c>
      <c r="AI104" s="244">
        <f t="shared" si="38"/>
        <v>1</v>
      </c>
      <c r="AJ104" s="244">
        <f t="shared" si="39"/>
        <v>1</v>
      </c>
      <c r="AK104" s="244">
        <f t="shared" si="40"/>
        <v>1</v>
      </c>
      <c r="AL104" s="244">
        <f t="shared" si="41"/>
        <v>1</v>
      </c>
      <c r="AM104" s="244">
        <f t="shared" si="42"/>
        <v>1</v>
      </c>
      <c r="AN104" s="244">
        <f t="shared" si="43"/>
        <v>1</v>
      </c>
      <c r="AO104" s="244">
        <f t="shared" si="44"/>
        <v>1</v>
      </c>
      <c r="AP104" s="244">
        <f t="shared" si="45"/>
        <v>1</v>
      </c>
      <c r="AQ104" s="244">
        <f t="shared" si="46"/>
        <v>1</v>
      </c>
      <c r="AR104" s="244">
        <f t="shared" si="47"/>
        <v>1</v>
      </c>
      <c r="AS104" s="244">
        <f t="shared" si="48"/>
        <v>1</v>
      </c>
      <c r="AT104" s="244">
        <f t="shared" si="49"/>
        <v>1</v>
      </c>
      <c r="AU104" s="244">
        <f t="shared" si="50"/>
        <v>1</v>
      </c>
      <c r="AV104" s="244">
        <f t="shared" si="51"/>
        <v>1</v>
      </c>
      <c r="AW104" s="244">
        <f t="shared" si="52"/>
        <v>1</v>
      </c>
      <c r="AX104" s="244">
        <f t="shared" si="53"/>
        <v>1</v>
      </c>
      <c r="AY104" s="244">
        <f t="shared" si="54"/>
        <v>1</v>
      </c>
      <c r="AZ104" s="244">
        <f t="shared" si="55"/>
        <v>1</v>
      </c>
      <c r="BA104" s="244">
        <f t="shared" si="56"/>
        <v>1</v>
      </c>
      <c r="BB104" s="244">
        <f t="shared" si="57"/>
        <v>1</v>
      </c>
      <c r="BC104" s="244">
        <f t="shared" si="58"/>
        <v>1</v>
      </c>
      <c r="BD104" s="244">
        <f t="shared" si="59"/>
        <v>1</v>
      </c>
      <c r="BE104" s="244">
        <f t="shared" si="60"/>
        <v>1</v>
      </c>
      <c r="BF104" s="244">
        <f t="shared" si="61"/>
        <v>1</v>
      </c>
      <c r="BG104" s="244">
        <f t="shared" si="62"/>
        <v>1</v>
      </c>
    </row>
    <row r="105" spans="1:59" ht="15.75" x14ac:dyDescent="0.25">
      <c r="A105" s="415"/>
      <c r="B105" s="416">
        <f t="shared" si="32"/>
        <v>75</v>
      </c>
      <c r="C105" s="421" t="str">
        <f>IF('תנאי סף'!AO105&lt;&gt;1,"",'תנאי סף'!F105)</f>
        <v>לבונטין 7</v>
      </c>
      <c r="D105" s="418">
        <f>'מספר הרצות'!Z105</f>
        <v>1.8076808358716185E-2</v>
      </c>
      <c r="E105" s="418">
        <f>'מספר מבצעים בתשלום'!Z105</f>
        <v>2.0226537216828482E-2</v>
      </c>
      <c r="F105" s="418">
        <f>'מיקום ההרצות'!Z105</f>
        <v>0</v>
      </c>
      <c r="G105" s="418">
        <f>'רמה מקצועית ואמנותית'!Z105</f>
        <v>1.8535681186283594E-2</v>
      </c>
      <c r="H105" s="418">
        <f>'מיקום גיאוגרפי'!AB105</f>
        <v>0</v>
      </c>
      <c r="I105" s="418">
        <f>תקציב!Z105</f>
        <v>3.6809815950920248E-2</v>
      </c>
      <c r="J105" s="418">
        <f>'עידוד יצירה ישראלית'!Z105</f>
        <v>6.8027210884353748E-2</v>
      </c>
      <c r="K105" s="418">
        <f>תיעוד!$Z105</f>
        <v>4.4117647058823532E-2</v>
      </c>
      <c r="L105" s="418"/>
      <c r="M105" s="418"/>
      <c r="N105" s="418"/>
      <c r="O105" s="418"/>
      <c r="P105" s="418"/>
      <c r="Q105" s="418"/>
      <c r="R105" s="419"/>
      <c r="S105" s="419"/>
      <c r="T105" s="419"/>
      <c r="U105" s="419"/>
      <c r="V105" s="419"/>
      <c r="W105" s="419"/>
      <c r="X105" s="419"/>
      <c r="Y105" s="419"/>
      <c r="Z105" s="419"/>
      <c r="AA105" s="419"/>
      <c r="AB105" s="419"/>
      <c r="AC105" s="419"/>
      <c r="AD105" s="419">
        <f t="shared" si="33"/>
        <v>2.3130606329520048E-2</v>
      </c>
      <c r="AE105" s="419">
        <f t="shared" si="34"/>
        <v>2.3130606329520055E-2</v>
      </c>
      <c r="AF105" s="420">
        <f t="shared" si="35"/>
        <v>71158.234002126628</v>
      </c>
      <c r="AG105" s="244">
        <f t="shared" si="36"/>
        <v>1</v>
      </c>
      <c r="AH105" s="244">
        <f t="shared" si="37"/>
        <v>1</v>
      </c>
      <c r="AI105" s="244">
        <f t="shared" si="38"/>
        <v>1</v>
      </c>
      <c r="AJ105" s="244">
        <f t="shared" si="39"/>
        <v>1</v>
      </c>
      <c r="AK105" s="244">
        <f t="shared" si="40"/>
        <v>1</v>
      </c>
      <c r="AL105" s="244">
        <f t="shared" si="41"/>
        <v>1</v>
      </c>
      <c r="AM105" s="244">
        <f t="shared" si="42"/>
        <v>1</v>
      </c>
      <c r="AN105" s="244">
        <f t="shared" si="43"/>
        <v>1</v>
      </c>
      <c r="AO105" s="244">
        <f t="shared" si="44"/>
        <v>1</v>
      </c>
      <c r="AP105" s="244">
        <f t="shared" si="45"/>
        <v>1</v>
      </c>
      <c r="AQ105" s="244">
        <f t="shared" si="46"/>
        <v>1</v>
      </c>
      <c r="AR105" s="244">
        <f t="shared" si="47"/>
        <v>1</v>
      </c>
      <c r="AS105" s="244">
        <f t="shared" si="48"/>
        <v>1</v>
      </c>
      <c r="AT105" s="244">
        <f t="shared" si="49"/>
        <v>1</v>
      </c>
      <c r="AU105" s="244">
        <f t="shared" si="50"/>
        <v>1</v>
      </c>
      <c r="AV105" s="244">
        <f t="shared" si="51"/>
        <v>1</v>
      </c>
      <c r="AW105" s="244">
        <f t="shared" si="52"/>
        <v>1</v>
      </c>
      <c r="AX105" s="244">
        <f t="shared" si="53"/>
        <v>1</v>
      </c>
      <c r="AY105" s="244">
        <f t="shared" si="54"/>
        <v>1</v>
      </c>
      <c r="AZ105" s="244">
        <f t="shared" si="55"/>
        <v>1</v>
      </c>
      <c r="BA105" s="244">
        <f t="shared" si="56"/>
        <v>1</v>
      </c>
      <c r="BB105" s="244">
        <f t="shared" si="57"/>
        <v>1</v>
      </c>
      <c r="BC105" s="244">
        <f t="shared" si="58"/>
        <v>1</v>
      </c>
      <c r="BD105" s="244">
        <f t="shared" si="59"/>
        <v>1</v>
      </c>
      <c r="BE105" s="244">
        <f t="shared" si="60"/>
        <v>1</v>
      </c>
      <c r="BF105" s="244">
        <f t="shared" si="61"/>
        <v>1</v>
      </c>
      <c r="BG105" s="244">
        <f t="shared" si="62"/>
        <v>1</v>
      </c>
    </row>
    <row r="106" spans="1:59" ht="15.75" x14ac:dyDescent="0.25">
      <c r="A106" s="415"/>
      <c r="B106" s="416">
        <f t="shared" si="32"/>
        <v>76</v>
      </c>
      <c r="C106" s="421" t="str">
        <f>IF('תנאי סף'!AO106&lt;&gt;1,"",'תנאי סף'!F106)</f>
        <v>מולטי פיאנו- פליציה בלומנטל</v>
      </c>
      <c r="D106" s="418">
        <f>'מספר הרצות'!Z106</f>
        <v>9.9422445972939012E-3</v>
      </c>
      <c r="E106" s="418">
        <f>'מספר מבצעים בתשלום'!Z106</f>
        <v>1.6181229773462785E-2</v>
      </c>
      <c r="F106" s="418">
        <f>'מיקום ההרצות'!Z106</f>
        <v>3.3519553072625698E-2</v>
      </c>
      <c r="G106" s="418">
        <f>'רמה מקצועית ואמנותית'!Z106</f>
        <v>2.3169601482854494E-2</v>
      </c>
      <c r="H106" s="418">
        <f>'מיקום גיאוגרפי'!AB106</f>
        <v>0</v>
      </c>
      <c r="I106" s="418">
        <f>תקציב!Z106</f>
        <v>3.6809815950920248E-2</v>
      </c>
      <c r="J106" s="418">
        <f>'עידוד יצירה ישראלית'!Z106</f>
        <v>3.4013605442176869E-3</v>
      </c>
      <c r="K106" s="418">
        <f>תיעוד!$Z106</f>
        <v>1.4705882352941176E-2</v>
      </c>
      <c r="L106" s="418"/>
      <c r="M106" s="418"/>
      <c r="N106" s="418"/>
      <c r="O106" s="418"/>
      <c r="P106" s="418"/>
      <c r="Q106" s="418"/>
      <c r="R106" s="419"/>
      <c r="S106" s="419"/>
      <c r="T106" s="419"/>
      <c r="U106" s="419"/>
      <c r="V106" s="419"/>
      <c r="W106" s="419"/>
      <c r="X106" s="419"/>
      <c r="Y106" s="419"/>
      <c r="Z106" s="419"/>
      <c r="AA106" s="419"/>
      <c r="AB106" s="419"/>
      <c r="AC106" s="419"/>
      <c r="AD106" s="419">
        <f t="shared" si="33"/>
        <v>1.6808502171002934E-2</v>
      </c>
      <c r="AE106" s="419">
        <f t="shared" si="34"/>
        <v>1.680850217100294E-2</v>
      </c>
      <c r="AF106" s="420">
        <f t="shared" si="35"/>
        <v>51709.121398301802</v>
      </c>
      <c r="AG106" s="244">
        <f t="shared" si="36"/>
        <v>1</v>
      </c>
      <c r="AH106" s="244">
        <f t="shared" si="37"/>
        <v>1</v>
      </c>
      <c r="AI106" s="244">
        <f t="shared" si="38"/>
        <v>1</v>
      </c>
      <c r="AJ106" s="244">
        <f t="shared" si="39"/>
        <v>1</v>
      </c>
      <c r="AK106" s="244">
        <f t="shared" si="40"/>
        <v>1</v>
      </c>
      <c r="AL106" s="244">
        <f t="shared" si="41"/>
        <v>1</v>
      </c>
      <c r="AM106" s="244">
        <f t="shared" si="42"/>
        <v>1</v>
      </c>
      <c r="AN106" s="244">
        <f t="shared" si="43"/>
        <v>1</v>
      </c>
      <c r="AO106" s="244">
        <f t="shared" si="44"/>
        <v>1</v>
      </c>
      <c r="AP106" s="244">
        <f t="shared" si="45"/>
        <v>1</v>
      </c>
      <c r="AQ106" s="244">
        <f t="shared" si="46"/>
        <v>1</v>
      </c>
      <c r="AR106" s="244">
        <f t="shared" si="47"/>
        <v>1</v>
      </c>
      <c r="AS106" s="244">
        <f t="shared" si="48"/>
        <v>1</v>
      </c>
      <c r="AT106" s="244">
        <f t="shared" si="49"/>
        <v>1</v>
      </c>
      <c r="AU106" s="244">
        <f t="shared" si="50"/>
        <v>1</v>
      </c>
      <c r="AV106" s="244">
        <f t="shared" si="51"/>
        <v>1</v>
      </c>
      <c r="AW106" s="244">
        <f t="shared" si="52"/>
        <v>1</v>
      </c>
      <c r="AX106" s="244">
        <f t="shared" si="53"/>
        <v>1</v>
      </c>
      <c r="AY106" s="244">
        <f t="shared" si="54"/>
        <v>1</v>
      </c>
      <c r="AZ106" s="244">
        <f t="shared" si="55"/>
        <v>1</v>
      </c>
      <c r="BA106" s="244">
        <f t="shared" si="56"/>
        <v>1</v>
      </c>
      <c r="BB106" s="244">
        <f t="shared" si="57"/>
        <v>1</v>
      </c>
      <c r="BC106" s="244">
        <f t="shared" si="58"/>
        <v>1</v>
      </c>
      <c r="BD106" s="244">
        <f t="shared" si="59"/>
        <v>1</v>
      </c>
      <c r="BE106" s="244">
        <f t="shared" si="60"/>
        <v>1</v>
      </c>
      <c r="BF106" s="244">
        <f t="shared" si="61"/>
        <v>1</v>
      </c>
      <c r="BG106" s="244">
        <f t="shared" si="62"/>
        <v>1</v>
      </c>
    </row>
    <row r="107" spans="1:59" ht="15.75" x14ac:dyDescent="0.25">
      <c r="A107" s="415"/>
      <c r="B107" s="416">
        <f t="shared" si="32"/>
        <v>77</v>
      </c>
      <c r="C107" s="421" t="str">
        <f>IF('תנאי סף'!AO107&lt;&gt;1,"",'תנאי סף'!F107)</f>
        <v>ארמון בזמן - העמותה לתרבות רב תחומית</v>
      </c>
      <c r="D107" s="418">
        <f>'מספר הרצות'!Z107</f>
        <v>1.455183072876653E-2</v>
      </c>
      <c r="E107" s="418">
        <f>'מספר מבצעים בתשלום'!Z107</f>
        <v>4.0453074433656963E-2</v>
      </c>
      <c r="F107" s="418">
        <f>'מיקום ההרצות'!Z107</f>
        <v>2.2346368715083797E-3</v>
      </c>
      <c r="G107" s="418">
        <f>'רמה מקצועית ואמנותית'!Z107</f>
        <v>3.7071362372567189E-2</v>
      </c>
      <c r="H107" s="418">
        <f>'מיקום גיאוגרפי'!AB107</f>
        <v>0</v>
      </c>
      <c r="I107" s="418">
        <f>תקציב!Z107</f>
        <v>2.4539877300613498E-2</v>
      </c>
      <c r="J107" s="418">
        <f>'עידוד יצירה ישראלית'!Z107</f>
        <v>2.0408163265306121E-2</v>
      </c>
      <c r="K107" s="418">
        <f>תיעוד!$Z107</f>
        <v>4.4117647058823532E-2</v>
      </c>
      <c r="L107" s="418"/>
      <c r="M107" s="418"/>
      <c r="N107" s="418"/>
      <c r="O107" s="418"/>
      <c r="P107" s="418"/>
      <c r="Q107" s="418"/>
      <c r="R107" s="419"/>
      <c r="S107" s="419"/>
      <c r="T107" s="419"/>
      <c r="U107" s="419"/>
      <c r="V107" s="419"/>
      <c r="W107" s="419"/>
      <c r="X107" s="419"/>
      <c r="Y107" s="419"/>
      <c r="Z107" s="419"/>
      <c r="AA107" s="419"/>
      <c r="AB107" s="419"/>
      <c r="AC107" s="419"/>
      <c r="AD107" s="419">
        <f t="shared" si="33"/>
        <v>2.3485835485053754E-2</v>
      </c>
      <c r="AE107" s="419">
        <f t="shared" si="34"/>
        <v>2.3485835485053761E-2</v>
      </c>
      <c r="AF107" s="420">
        <f t="shared" si="35"/>
        <v>72251.04925364838</v>
      </c>
      <c r="AG107" s="244">
        <f t="shared" si="36"/>
        <v>1</v>
      </c>
      <c r="AH107" s="244">
        <f t="shared" si="37"/>
        <v>1</v>
      </c>
      <c r="AI107" s="244">
        <f t="shared" si="38"/>
        <v>1</v>
      </c>
      <c r="AJ107" s="244">
        <f t="shared" si="39"/>
        <v>1</v>
      </c>
      <c r="AK107" s="244">
        <f t="shared" si="40"/>
        <v>1</v>
      </c>
      <c r="AL107" s="244">
        <f t="shared" si="41"/>
        <v>1</v>
      </c>
      <c r="AM107" s="244">
        <f t="shared" si="42"/>
        <v>1</v>
      </c>
      <c r="AN107" s="244">
        <f t="shared" si="43"/>
        <v>1</v>
      </c>
      <c r="AO107" s="244">
        <f t="shared" si="44"/>
        <v>1</v>
      </c>
      <c r="AP107" s="244">
        <f t="shared" si="45"/>
        <v>1</v>
      </c>
      <c r="AQ107" s="244">
        <f t="shared" si="46"/>
        <v>1</v>
      </c>
      <c r="AR107" s="244">
        <f t="shared" si="47"/>
        <v>1</v>
      </c>
      <c r="AS107" s="244">
        <f t="shared" si="48"/>
        <v>1</v>
      </c>
      <c r="AT107" s="244">
        <f t="shared" si="49"/>
        <v>1</v>
      </c>
      <c r="AU107" s="244">
        <f t="shared" si="50"/>
        <v>1</v>
      </c>
      <c r="AV107" s="244">
        <f t="shared" si="51"/>
        <v>1</v>
      </c>
      <c r="AW107" s="244">
        <f t="shared" si="52"/>
        <v>1</v>
      </c>
      <c r="AX107" s="244">
        <f t="shared" si="53"/>
        <v>1</v>
      </c>
      <c r="AY107" s="244">
        <f t="shared" si="54"/>
        <v>1</v>
      </c>
      <c r="AZ107" s="244">
        <f t="shared" si="55"/>
        <v>1</v>
      </c>
      <c r="BA107" s="244">
        <f t="shared" si="56"/>
        <v>1</v>
      </c>
      <c r="BB107" s="244">
        <f t="shared" si="57"/>
        <v>1</v>
      </c>
      <c r="BC107" s="244">
        <f t="shared" si="58"/>
        <v>1</v>
      </c>
      <c r="BD107" s="244">
        <f t="shared" si="59"/>
        <v>1</v>
      </c>
      <c r="BE107" s="244">
        <f t="shared" si="60"/>
        <v>1</v>
      </c>
      <c r="BF107" s="244">
        <f t="shared" si="61"/>
        <v>1</v>
      </c>
      <c r="BG107" s="244">
        <f t="shared" si="62"/>
        <v>1</v>
      </c>
    </row>
    <row r="108" spans="1:59" ht="15.75" x14ac:dyDescent="0.25">
      <c r="A108" s="415"/>
      <c r="B108" s="416" t="str">
        <f t="shared" si="32"/>
        <v/>
      </c>
      <c r="C108" s="421" t="str">
        <f>IF('תנאי סף'!AO108&lt;&gt;1,"",'תנאי סף'!F108)</f>
        <v/>
      </c>
      <c r="D108" s="418" t="str">
        <f>'מספר הרצות'!Z108</f>
        <v/>
      </c>
      <c r="E108" s="418" t="str">
        <f>'מספר מבצעים בתשלום'!Z108</f>
        <v/>
      </c>
      <c r="F108" s="418" t="str">
        <f>'מיקום ההרצות'!Z108</f>
        <v/>
      </c>
      <c r="G108" s="418" t="str">
        <f>'רמה מקצועית ואמנותית'!Z108</f>
        <v/>
      </c>
      <c r="H108" s="418" t="str">
        <f>'מיקום גיאוגרפי'!AB108</f>
        <v/>
      </c>
      <c r="I108" s="418" t="str">
        <f>תקציב!Z108</f>
        <v/>
      </c>
      <c r="J108" s="418" t="str">
        <f>'עידוד יצירה ישראלית'!Z108</f>
        <v/>
      </c>
      <c r="K108" s="418" t="str">
        <f>תיעוד!$Z108</f>
        <v/>
      </c>
      <c r="L108" s="418"/>
      <c r="M108" s="418"/>
      <c r="N108" s="418"/>
      <c r="O108" s="418"/>
      <c r="P108" s="418"/>
      <c r="Q108" s="418"/>
      <c r="R108" s="419"/>
      <c r="S108" s="419"/>
      <c r="T108" s="419"/>
      <c r="U108" s="419"/>
      <c r="V108" s="419"/>
      <c r="W108" s="419"/>
      <c r="X108" s="419"/>
      <c r="Y108" s="419"/>
      <c r="Z108" s="419"/>
      <c r="AA108" s="419"/>
      <c r="AB108" s="419"/>
      <c r="AC108" s="419"/>
      <c r="AD108" s="419" t="str">
        <f t="shared" si="33"/>
        <v/>
      </c>
      <c r="AE108" s="419" t="str">
        <f t="shared" si="34"/>
        <v/>
      </c>
      <c r="AF108" s="420" t="str">
        <f t="shared" si="35"/>
        <v/>
      </c>
      <c r="AG108" s="244">
        <f t="shared" si="36"/>
        <v>1</v>
      </c>
      <c r="AH108" s="244">
        <f t="shared" si="37"/>
        <v>1</v>
      </c>
      <c r="AI108" s="244">
        <f t="shared" si="38"/>
        <v>1</v>
      </c>
      <c r="AJ108" s="244">
        <f t="shared" si="39"/>
        <v>1</v>
      </c>
      <c r="AK108" s="244">
        <f t="shared" si="40"/>
        <v>1</v>
      </c>
      <c r="AL108" s="244">
        <f t="shared" si="41"/>
        <v>1</v>
      </c>
      <c r="AM108" s="244">
        <f t="shared" si="42"/>
        <v>1</v>
      </c>
      <c r="AN108" s="244">
        <f t="shared" si="43"/>
        <v>1</v>
      </c>
      <c r="AO108" s="244">
        <f t="shared" si="44"/>
        <v>1</v>
      </c>
      <c r="AP108" s="244">
        <f t="shared" si="45"/>
        <v>1</v>
      </c>
      <c r="AQ108" s="244">
        <f t="shared" si="46"/>
        <v>1</v>
      </c>
      <c r="AR108" s="244">
        <f t="shared" si="47"/>
        <v>1</v>
      </c>
      <c r="AS108" s="244">
        <f t="shared" si="48"/>
        <v>1</v>
      </c>
      <c r="AT108" s="244">
        <f t="shared" si="49"/>
        <v>1</v>
      </c>
      <c r="AU108" s="244">
        <f t="shared" si="50"/>
        <v>1</v>
      </c>
      <c r="AV108" s="244">
        <f t="shared" si="51"/>
        <v>1</v>
      </c>
      <c r="AW108" s="244">
        <f t="shared" si="52"/>
        <v>1</v>
      </c>
      <c r="AX108" s="244">
        <f t="shared" si="53"/>
        <v>1</v>
      </c>
      <c r="AY108" s="244">
        <f t="shared" si="54"/>
        <v>1</v>
      </c>
      <c r="AZ108" s="244">
        <f t="shared" si="55"/>
        <v>1</v>
      </c>
      <c r="BA108" s="244">
        <f t="shared" si="56"/>
        <v>1</v>
      </c>
      <c r="BB108" s="244">
        <f t="shared" si="57"/>
        <v>1</v>
      </c>
      <c r="BC108" s="244">
        <f t="shared" si="58"/>
        <v>1</v>
      </c>
      <c r="BD108" s="244">
        <f t="shared" si="59"/>
        <v>1</v>
      </c>
      <c r="BE108" s="244">
        <f t="shared" si="60"/>
        <v>1</v>
      </c>
      <c r="BF108" s="244">
        <f t="shared" si="61"/>
        <v>1</v>
      </c>
      <c r="BG108" s="244">
        <f t="shared" si="62"/>
        <v>1</v>
      </c>
    </row>
    <row r="109" spans="1:59" ht="15.75" x14ac:dyDescent="0.25">
      <c r="A109" s="415"/>
      <c r="B109" s="416" t="str">
        <f t="shared" si="32"/>
        <v/>
      </c>
      <c r="C109" s="421" t="str">
        <f>IF('תנאי סף'!AO109&lt;&gt;1,"",'תנאי סף'!F109)</f>
        <v/>
      </c>
      <c r="D109" s="418" t="str">
        <f>'מספר הרצות'!Z109</f>
        <v/>
      </c>
      <c r="E109" s="418" t="str">
        <f>'מספר מבצעים בתשלום'!Z109</f>
        <v/>
      </c>
      <c r="F109" s="418" t="str">
        <f>'מיקום ההרצות'!Z109</f>
        <v/>
      </c>
      <c r="G109" s="418" t="str">
        <f>'רמה מקצועית ואמנותית'!Z109</f>
        <v/>
      </c>
      <c r="H109" s="418" t="str">
        <f>'מיקום גיאוגרפי'!AB109</f>
        <v/>
      </c>
      <c r="I109" s="418" t="str">
        <f>תקציב!Z109</f>
        <v/>
      </c>
      <c r="J109" s="418" t="str">
        <f>'עידוד יצירה ישראלית'!Z109</f>
        <v/>
      </c>
      <c r="K109" s="418" t="str">
        <f>תיעוד!$Z109</f>
        <v/>
      </c>
      <c r="L109" s="418"/>
      <c r="M109" s="418"/>
      <c r="N109" s="418"/>
      <c r="O109" s="418"/>
      <c r="P109" s="418"/>
      <c r="Q109" s="418"/>
      <c r="R109" s="419"/>
      <c r="S109" s="419"/>
      <c r="T109" s="419"/>
      <c r="U109" s="419"/>
      <c r="V109" s="419"/>
      <c r="W109" s="419"/>
      <c r="X109" s="419"/>
      <c r="Y109" s="419"/>
      <c r="Z109" s="419"/>
      <c r="AA109" s="419"/>
      <c r="AB109" s="419"/>
      <c r="AC109" s="419"/>
      <c r="AD109" s="419" t="str">
        <f t="shared" si="33"/>
        <v/>
      </c>
      <c r="AE109" s="419" t="str">
        <f t="shared" si="34"/>
        <v/>
      </c>
      <c r="AF109" s="420" t="str">
        <f t="shared" si="35"/>
        <v/>
      </c>
      <c r="AG109" s="244">
        <f t="shared" si="36"/>
        <v>1</v>
      </c>
      <c r="AH109" s="244">
        <f t="shared" si="37"/>
        <v>1</v>
      </c>
      <c r="AI109" s="244">
        <f t="shared" si="38"/>
        <v>1</v>
      </c>
      <c r="AJ109" s="244">
        <f t="shared" si="39"/>
        <v>1</v>
      </c>
      <c r="AK109" s="244">
        <f t="shared" si="40"/>
        <v>1</v>
      </c>
      <c r="AL109" s="244">
        <f t="shared" si="41"/>
        <v>1</v>
      </c>
      <c r="AM109" s="244">
        <f t="shared" si="42"/>
        <v>1</v>
      </c>
      <c r="AN109" s="244">
        <f t="shared" si="43"/>
        <v>1</v>
      </c>
      <c r="AO109" s="244">
        <f t="shared" si="44"/>
        <v>1</v>
      </c>
      <c r="AP109" s="244">
        <f t="shared" si="45"/>
        <v>1</v>
      </c>
      <c r="AQ109" s="244">
        <f t="shared" si="46"/>
        <v>1</v>
      </c>
      <c r="AR109" s="244">
        <f t="shared" si="47"/>
        <v>1</v>
      </c>
      <c r="AS109" s="244">
        <f t="shared" si="48"/>
        <v>1</v>
      </c>
      <c r="AT109" s="244">
        <f t="shared" si="49"/>
        <v>1</v>
      </c>
      <c r="AU109" s="244">
        <f t="shared" si="50"/>
        <v>1</v>
      </c>
      <c r="AV109" s="244">
        <f t="shared" si="51"/>
        <v>1</v>
      </c>
      <c r="AW109" s="244">
        <f t="shared" si="52"/>
        <v>1</v>
      </c>
      <c r="AX109" s="244">
        <f t="shared" si="53"/>
        <v>1</v>
      </c>
      <c r="AY109" s="244">
        <f t="shared" si="54"/>
        <v>1</v>
      </c>
      <c r="AZ109" s="244">
        <f t="shared" si="55"/>
        <v>1</v>
      </c>
      <c r="BA109" s="244">
        <f t="shared" si="56"/>
        <v>1</v>
      </c>
      <c r="BB109" s="244">
        <f t="shared" si="57"/>
        <v>1</v>
      </c>
      <c r="BC109" s="244">
        <f t="shared" si="58"/>
        <v>1</v>
      </c>
      <c r="BD109" s="244">
        <f t="shared" si="59"/>
        <v>1</v>
      </c>
      <c r="BE109" s="244">
        <f t="shared" si="60"/>
        <v>1</v>
      </c>
      <c r="BF109" s="244">
        <f t="shared" si="61"/>
        <v>1</v>
      </c>
      <c r="BG109" s="244">
        <f t="shared" si="62"/>
        <v>1</v>
      </c>
    </row>
    <row r="110" spans="1:59" ht="15.75" x14ac:dyDescent="0.25">
      <c r="A110" s="415"/>
      <c r="B110" s="416" t="str">
        <f t="shared" si="32"/>
        <v/>
      </c>
      <c r="C110" s="421" t="str">
        <f>IF('תנאי סף'!AO110&lt;&gt;1,"",'תנאי סף'!F110)</f>
        <v/>
      </c>
      <c r="D110" s="418" t="str">
        <f>'מספר הרצות'!Z110</f>
        <v/>
      </c>
      <c r="E110" s="418" t="str">
        <f>'מספר מבצעים בתשלום'!Z110</f>
        <v/>
      </c>
      <c r="F110" s="418" t="str">
        <f>'מיקום ההרצות'!Z110</f>
        <v/>
      </c>
      <c r="G110" s="418" t="str">
        <f>'רמה מקצועית ואמנותית'!Z110</f>
        <v/>
      </c>
      <c r="H110" s="418" t="str">
        <f>'מיקום גיאוגרפי'!AB110</f>
        <v/>
      </c>
      <c r="I110" s="418" t="str">
        <f>תקציב!Z110</f>
        <v/>
      </c>
      <c r="J110" s="418" t="str">
        <f>'עידוד יצירה ישראלית'!Z110</f>
        <v/>
      </c>
      <c r="K110" s="418" t="str">
        <f>תיעוד!$Z110</f>
        <v/>
      </c>
      <c r="L110" s="418"/>
      <c r="M110" s="418"/>
      <c r="N110" s="418"/>
      <c r="O110" s="418"/>
      <c r="P110" s="418"/>
      <c r="Q110" s="418"/>
      <c r="R110" s="419"/>
      <c r="S110" s="419"/>
      <c r="T110" s="419"/>
      <c r="U110" s="419"/>
      <c r="V110" s="419"/>
      <c r="W110" s="419"/>
      <c r="X110" s="419"/>
      <c r="Y110" s="419"/>
      <c r="Z110" s="419"/>
      <c r="AA110" s="419"/>
      <c r="AB110" s="419"/>
      <c r="AC110" s="419"/>
      <c r="AD110" s="419" t="str">
        <f t="shared" si="33"/>
        <v/>
      </c>
      <c r="AE110" s="419" t="str">
        <f t="shared" si="34"/>
        <v/>
      </c>
      <c r="AF110" s="420" t="str">
        <f t="shared" si="35"/>
        <v/>
      </c>
      <c r="AG110" s="244">
        <f t="shared" si="36"/>
        <v>1</v>
      </c>
      <c r="AH110" s="244">
        <f t="shared" si="37"/>
        <v>1</v>
      </c>
      <c r="AI110" s="244">
        <f t="shared" si="38"/>
        <v>1</v>
      </c>
      <c r="AJ110" s="244">
        <f t="shared" si="39"/>
        <v>1</v>
      </c>
      <c r="AK110" s="244">
        <f t="shared" si="40"/>
        <v>1</v>
      </c>
      <c r="AL110" s="244">
        <f t="shared" si="41"/>
        <v>1</v>
      </c>
      <c r="AM110" s="244">
        <f t="shared" si="42"/>
        <v>1</v>
      </c>
      <c r="AN110" s="244">
        <f t="shared" si="43"/>
        <v>1</v>
      </c>
      <c r="AO110" s="244">
        <f t="shared" si="44"/>
        <v>1</v>
      </c>
      <c r="AP110" s="244">
        <f t="shared" si="45"/>
        <v>1</v>
      </c>
      <c r="AQ110" s="244">
        <f t="shared" si="46"/>
        <v>1</v>
      </c>
      <c r="AR110" s="244">
        <f t="shared" si="47"/>
        <v>1</v>
      </c>
      <c r="AS110" s="244">
        <f t="shared" si="48"/>
        <v>1</v>
      </c>
      <c r="AT110" s="244">
        <f t="shared" si="49"/>
        <v>1</v>
      </c>
      <c r="AU110" s="244">
        <f t="shared" si="50"/>
        <v>1</v>
      </c>
      <c r="AV110" s="244">
        <f t="shared" si="51"/>
        <v>1</v>
      </c>
      <c r="AW110" s="244">
        <f t="shared" si="52"/>
        <v>1</v>
      </c>
      <c r="AX110" s="244">
        <f t="shared" si="53"/>
        <v>1</v>
      </c>
      <c r="AY110" s="244">
        <f t="shared" si="54"/>
        <v>1</v>
      </c>
      <c r="AZ110" s="244">
        <f t="shared" si="55"/>
        <v>1</v>
      </c>
      <c r="BA110" s="244">
        <f t="shared" si="56"/>
        <v>1</v>
      </c>
      <c r="BB110" s="244">
        <f t="shared" si="57"/>
        <v>1</v>
      </c>
      <c r="BC110" s="244">
        <f t="shared" si="58"/>
        <v>1</v>
      </c>
      <c r="BD110" s="244">
        <f t="shared" si="59"/>
        <v>1</v>
      </c>
      <c r="BE110" s="244">
        <f t="shared" si="60"/>
        <v>1</v>
      </c>
      <c r="BF110" s="244">
        <f t="shared" si="61"/>
        <v>1</v>
      </c>
      <c r="BG110" s="244">
        <f t="shared" si="62"/>
        <v>1</v>
      </c>
    </row>
    <row r="111" spans="1:59" ht="15.75" x14ac:dyDescent="0.25">
      <c r="A111" s="415"/>
      <c r="B111" s="416" t="str">
        <f t="shared" si="32"/>
        <v/>
      </c>
      <c r="C111" s="421" t="str">
        <f>IF('תנאי סף'!AO111&lt;&gt;1,"",'תנאי סף'!F111)</f>
        <v/>
      </c>
      <c r="D111" s="418" t="str">
        <f>'מספר הרצות'!Z111</f>
        <v/>
      </c>
      <c r="E111" s="418" t="str">
        <f>'מספר מבצעים בתשלום'!Z111</f>
        <v/>
      </c>
      <c r="F111" s="418" t="str">
        <f>'מיקום ההרצות'!Z111</f>
        <v/>
      </c>
      <c r="G111" s="418" t="str">
        <f>'רמה מקצועית ואמנותית'!Z111</f>
        <v/>
      </c>
      <c r="H111" s="418" t="str">
        <f>'מיקום גיאוגרפי'!AB111</f>
        <v/>
      </c>
      <c r="I111" s="418" t="str">
        <f>תקציב!Z111</f>
        <v/>
      </c>
      <c r="J111" s="418" t="str">
        <f>'עידוד יצירה ישראלית'!Z111</f>
        <v/>
      </c>
      <c r="K111" s="418" t="str">
        <f>תיעוד!$Z111</f>
        <v/>
      </c>
      <c r="L111" s="418"/>
      <c r="M111" s="418"/>
      <c r="N111" s="418"/>
      <c r="O111" s="418"/>
      <c r="P111" s="418"/>
      <c r="Q111" s="418"/>
      <c r="R111" s="419"/>
      <c r="S111" s="419"/>
      <c r="T111" s="419"/>
      <c r="U111" s="419"/>
      <c r="V111" s="419"/>
      <c r="W111" s="419"/>
      <c r="X111" s="419"/>
      <c r="Y111" s="419"/>
      <c r="Z111" s="419"/>
      <c r="AA111" s="419"/>
      <c r="AB111" s="419"/>
      <c r="AC111" s="419"/>
      <c r="AD111" s="419" t="str">
        <f t="shared" si="33"/>
        <v/>
      </c>
      <c r="AE111" s="419" t="str">
        <f t="shared" si="34"/>
        <v/>
      </c>
      <c r="AF111" s="420" t="str">
        <f t="shared" si="35"/>
        <v/>
      </c>
      <c r="AG111" s="244">
        <f t="shared" si="36"/>
        <v>1</v>
      </c>
      <c r="AH111" s="244">
        <f t="shared" si="37"/>
        <v>1</v>
      </c>
      <c r="AI111" s="244">
        <f t="shared" si="38"/>
        <v>1</v>
      </c>
      <c r="AJ111" s="244">
        <f t="shared" si="39"/>
        <v>1</v>
      </c>
      <c r="AK111" s="244">
        <f t="shared" si="40"/>
        <v>1</v>
      </c>
      <c r="AL111" s="244">
        <f t="shared" si="41"/>
        <v>1</v>
      </c>
      <c r="AM111" s="244">
        <f t="shared" si="42"/>
        <v>1</v>
      </c>
      <c r="AN111" s="244">
        <f t="shared" si="43"/>
        <v>1</v>
      </c>
      <c r="AO111" s="244">
        <f t="shared" si="44"/>
        <v>1</v>
      </c>
      <c r="AP111" s="244">
        <f t="shared" si="45"/>
        <v>1</v>
      </c>
      <c r="AQ111" s="244">
        <f t="shared" si="46"/>
        <v>1</v>
      </c>
      <c r="AR111" s="244">
        <f t="shared" si="47"/>
        <v>1</v>
      </c>
      <c r="AS111" s="244">
        <f t="shared" si="48"/>
        <v>1</v>
      </c>
      <c r="AT111" s="244">
        <f t="shared" si="49"/>
        <v>1</v>
      </c>
      <c r="AU111" s="244">
        <f t="shared" si="50"/>
        <v>1</v>
      </c>
      <c r="AV111" s="244">
        <f t="shared" si="51"/>
        <v>1</v>
      </c>
      <c r="AW111" s="244">
        <f t="shared" si="52"/>
        <v>1</v>
      </c>
      <c r="AX111" s="244">
        <f t="shared" si="53"/>
        <v>1</v>
      </c>
      <c r="AY111" s="244">
        <f t="shared" si="54"/>
        <v>1</v>
      </c>
      <c r="AZ111" s="244">
        <f t="shared" si="55"/>
        <v>1</v>
      </c>
      <c r="BA111" s="244">
        <f t="shared" si="56"/>
        <v>1</v>
      </c>
      <c r="BB111" s="244">
        <f t="shared" si="57"/>
        <v>1</v>
      </c>
      <c r="BC111" s="244">
        <f t="shared" si="58"/>
        <v>1</v>
      </c>
      <c r="BD111" s="244">
        <f t="shared" si="59"/>
        <v>1</v>
      </c>
      <c r="BE111" s="244">
        <f t="shared" si="60"/>
        <v>1</v>
      </c>
      <c r="BF111" s="244">
        <f t="shared" si="61"/>
        <v>1</v>
      </c>
      <c r="BG111" s="244">
        <f t="shared" si="62"/>
        <v>1</v>
      </c>
    </row>
    <row r="112" spans="1:59" ht="15.75" x14ac:dyDescent="0.25">
      <c r="A112" s="415"/>
      <c r="B112" s="416" t="str">
        <f t="shared" si="32"/>
        <v/>
      </c>
      <c r="C112" s="421" t="str">
        <f>IF('תנאי סף'!AO112&lt;&gt;1,"",'תנאי סף'!F112)</f>
        <v/>
      </c>
      <c r="D112" s="418" t="str">
        <f>'מספר הרצות'!Z112</f>
        <v/>
      </c>
      <c r="E112" s="418" t="str">
        <f>'מספר מבצעים בתשלום'!Z112</f>
        <v/>
      </c>
      <c r="F112" s="418" t="str">
        <f>'מיקום ההרצות'!Z112</f>
        <v/>
      </c>
      <c r="G112" s="418" t="str">
        <f>'רמה מקצועית ואמנותית'!Z112</f>
        <v/>
      </c>
      <c r="H112" s="418" t="str">
        <f>'מיקום גיאוגרפי'!AB112</f>
        <v/>
      </c>
      <c r="I112" s="418" t="str">
        <f>תקציב!Z112</f>
        <v/>
      </c>
      <c r="J112" s="418" t="str">
        <f>'עידוד יצירה ישראלית'!Z112</f>
        <v/>
      </c>
      <c r="K112" s="418" t="str">
        <f>תיעוד!$Z112</f>
        <v/>
      </c>
      <c r="L112" s="418"/>
      <c r="M112" s="418"/>
      <c r="N112" s="418"/>
      <c r="O112" s="418"/>
      <c r="P112" s="418"/>
      <c r="Q112" s="418"/>
      <c r="R112" s="419"/>
      <c r="S112" s="419"/>
      <c r="T112" s="419"/>
      <c r="U112" s="419"/>
      <c r="V112" s="419"/>
      <c r="W112" s="419"/>
      <c r="X112" s="419"/>
      <c r="Y112" s="419"/>
      <c r="Z112" s="419"/>
      <c r="AA112" s="419"/>
      <c r="AB112" s="419"/>
      <c r="AC112" s="419"/>
      <c r="AD112" s="419" t="str">
        <f t="shared" si="33"/>
        <v/>
      </c>
      <c r="AE112" s="419" t="str">
        <f t="shared" si="34"/>
        <v/>
      </c>
      <c r="AF112" s="420" t="str">
        <f t="shared" si="35"/>
        <v/>
      </c>
      <c r="AG112" s="244">
        <f t="shared" si="36"/>
        <v>1</v>
      </c>
      <c r="AH112" s="244">
        <f t="shared" si="37"/>
        <v>1</v>
      </c>
      <c r="AI112" s="244">
        <f t="shared" si="38"/>
        <v>1</v>
      </c>
      <c r="AJ112" s="244">
        <f t="shared" si="39"/>
        <v>1</v>
      </c>
      <c r="AK112" s="244">
        <f t="shared" si="40"/>
        <v>1</v>
      </c>
      <c r="AL112" s="244">
        <f t="shared" si="41"/>
        <v>1</v>
      </c>
      <c r="AM112" s="244">
        <f t="shared" si="42"/>
        <v>1</v>
      </c>
      <c r="AN112" s="244">
        <f t="shared" si="43"/>
        <v>1</v>
      </c>
      <c r="AO112" s="244">
        <f t="shared" si="44"/>
        <v>1</v>
      </c>
      <c r="AP112" s="244">
        <f t="shared" si="45"/>
        <v>1</v>
      </c>
      <c r="AQ112" s="244">
        <f t="shared" si="46"/>
        <v>1</v>
      </c>
      <c r="AR112" s="244">
        <f t="shared" si="47"/>
        <v>1</v>
      </c>
      <c r="AS112" s="244">
        <f t="shared" si="48"/>
        <v>1</v>
      </c>
      <c r="AT112" s="244">
        <f t="shared" si="49"/>
        <v>1</v>
      </c>
      <c r="AU112" s="244">
        <f t="shared" si="50"/>
        <v>1</v>
      </c>
      <c r="AV112" s="244">
        <f t="shared" si="51"/>
        <v>1</v>
      </c>
      <c r="AW112" s="244">
        <f t="shared" si="52"/>
        <v>1</v>
      </c>
      <c r="AX112" s="244">
        <f t="shared" si="53"/>
        <v>1</v>
      </c>
      <c r="AY112" s="244">
        <f t="shared" si="54"/>
        <v>1</v>
      </c>
      <c r="AZ112" s="244">
        <f t="shared" si="55"/>
        <v>1</v>
      </c>
      <c r="BA112" s="244">
        <f t="shared" si="56"/>
        <v>1</v>
      </c>
      <c r="BB112" s="244">
        <f t="shared" si="57"/>
        <v>1</v>
      </c>
      <c r="BC112" s="244">
        <f t="shared" si="58"/>
        <v>1</v>
      </c>
      <c r="BD112" s="244">
        <f t="shared" si="59"/>
        <v>1</v>
      </c>
      <c r="BE112" s="244">
        <f t="shared" si="60"/>
        <v>1</v>
      </c>
      <c r="BF112" s="244">
        <f t="shared" si="61"/>
        <v>1</v>
      </c>
      <c r="BG112" s="244">
        <f t="shared" si="62"/>
        <v>1</v>
      </c>
    </row>
    <row r="113" spans="1:59" ht="15.75" x14ac:dyDescent="0.25">
      <c r="A113" s="415"/>
      <c r="B113" s="416" t="str">
        <f t="shared" si="32"/>
        <v/>
      </c>
      <c r="C113" s="421" t="str">
        <f>IF('תנאי סף'!AO113&lt;&gt;1,"",'תנאי סף'!F113)</f>
        <v/>
      </c>
      <c r="D113" s="418" t="str">
        <f>'מספר הרצות'!Z113</f>
        <v/>
      </c>
      <c r="E113" s="418" t="str">
        <f>'מספר מבצעים בתשלום'!Z113</f>
        <v/>
      </c>
      <c r="F113" s="418" t="str">
        <f>'מיקום ההרצות'!Z113</f>
        <v/>
      </c>
      <c r="G113" s="418" t="str">
        <f>'רמה מקצועית ואמנותית'!Z113</f>
        <v/>
      </c>
      <c r="H113" s="418" t="str">
        <f>'מיקום גיאוגרפי'!AB113</f>
        <v/>
      </c>
      <c r="I113" s="418" t="str">
        <f>תקציב!Z113</f>
        <v/>
      </c>
      <c r="J113" s="418" t="str">
        <f>'עידוד יצירה ישראלית'!Z113</f>
        <v/>
      </c>
      <c r="K113" s="418" t="str">
        <f>תיעוד!$Z113</f>
        <v/>
      </c>
      <c r="L113" s="418"/>
      <c r="M113" s="418"/>
      <c r="N113" s="418"/>
      <c r="O113" s="418"/>
      <c r="P113" s="418"/>
      <c r="Q113" s="418"/>
      <c r="R113" s="419"/>
      <c r="S113" s="419"/>
      <c r="T113" s="419"/>
      <c r="U113" s="419"/>
      <c r="V113" s="419"/>
      <c r="W113" s="419"/>
      <c r="X113" s="419"/>
      <c r="Y113" s="419"/>
      <c r="Z113" s="419"/>
      <c r="AA113" s="419"/>
      <c r="AB113" s="419"/>
      <c r="AC113" s="419"/>
      <c r="AD113" s="419" t="str">
        <f t="shared" si="33"/>
        <v/>
      </c>
      <c r="AE113" s="419" t="str">
        <f t="shared" si="34"/>
        <v/>
      </c>
      <c r="AF113" s="420" t="str">
        <f t="shared" si="35"/>
        <v/>
      </c>
      <c r="AG113" s="244">
        <f t="shared" si="36"/>
        <v>1</v>
      </c>
      <c r="AH113" s="244">
        <f t="shared" si="37"/>
        <v>1</v>
      </c>
      <c r="AI113" s="244">
        <f t="shared" si="38"/>
        <v>1</v>
      </c>
      <c r="AJ113" s="244">
        <f t="shared" si="39"/>
        <v>1</v>
      </c>
      <c r="AK113" s="244">
        <f t="shared" si="40"/>
        <v>1</v>
      </c>
      <c r="AL113" s="244">
        <f t="shared" si="41"/>
        <v>1</v>
      </c>
      <c r="AM113" s="244">
        <f t="shared" si="42"/>
        <v>1</v>
      </c>
      <c r="AN113" s="244">
        <f t="shared" si="43"/>
        <v>1</v>
      </c>
      <c r="AO113" s="244">
        <f t="shared" si="44"/>
        <v>1</v>
      </c>
      <c r="AP113" s="244">
        <f t="shared" si="45"/>
        <v>1</v>
      </c>
      <c r="AQ113" s="244">
        <f t="shared" si="46"/>
        <v>1</v>
      </c>
      <c r="AR113" s="244">
        <f t="shared" si="47"/>
        <v>1</v>
      </c>
      <c r="AS113" s="244">
        <f t="shared" si="48"/>
        <v>1</v>
      </c>
      <c r="AT113" s="244">
        <f t="shared" si="49"/>
        <v>1</v>
      </c>
      <c r="AU113" s="244">
        <f t="shared" si="50"/>
        <v>1</v>
      </c>
      <c r="AV113" s="244">
        <f t="shared" si="51"/>
        <v>1</v>
      </c>
      <c r="AW113" s="244">
        <f t="shared" si="52"/>
        <v>1</v>
      </c>
      <c r="AX113" s="244">
        <f t="shared" si="53"/>
        <v>1</v>
      </c>
      <c r="AY113" s="244">
        <f t="shared" si="54"/>
        <v>1</v>
      </c>
      <c r="AZ113" s="244">
        <f t="shared" si="55"/>
        <v>1</v>
      </c>
      <c r="BA113" s="244">
        <f t="shared" si="56"/>
        <v>1</v>
      </c>
      <c r="BB113" s="244">
        <f t="shared" si="57"/>
        <v>1</v>
      </c>
      <c r="BC113" s="244">
        <f t="shared" si="58"/>
        <v>1</v>
      </c>
      <c r="BD113" s="244">
        <f t="shared" si="59"/>
        <v>1</v>
      </c>
      <c r="BE113" s="244">
        <f t="shared" si="60"/>
        <v>1</v>
      </c>
      <c r="BF113" s="244">
        <f t="shared" si="61"/>
        <v>1</v>
      </c>
      <c r="BG113" s="244">
        <f t="shared" si="62"/>
        <v>1</v>
      </c>
    </row>
    <row r="114" spans="1:59" ht="15.75" x14ac:dyDescent="0.25">
      <c r="A114" s="415"/>
      <c r="B114" s="416" t="str">
        <f t="shared" si="32"/>
        <v/>
      </c>
      <c r="C114" s="421" t="str">
        <f>IF('תנאי סף'!AO114&lt;&gt;1,"",'תנאי סף'!F114)</f>
        <v/>
      </c>
      <c r="D114" s="418" t="str">
        <f>'מספר הרצות'!Z114</f>
        <v/>
      </c>
      <c r="E114" s="418" t="str">
        <f>'מספר מבצעים בתשלום'!Z114</f>
        <v/>
      </c>
      <c r="F114" s="418" t="str">
        <f>'מיקום ההרצות'!Z114</f>
        <v/>
      </c>
      <c r="G114" s="418" t="str">
        <f>'רמה מקצועית ואמנותית'!Z114</f>
        <v/>
      </c>
      <c r="H114" s="418" t="str">
        <f>'מיקום גיאוגרפי'!AB114</f>
        <v/>
      </c>
      <c r="I114" s="418" t="str">
        <f>תקציב!Z114</f>
        <v/>
      </c>
      <c r="J114" s="418" t="str">
        <f>'עידוד יצירה ישראלית'!Z114</f>
        <v/>
      </c>
      <c r="K114" s="418" t="str">
        <f>תיעוד!$Z114</f>
        <v/>
      </c>
      <c r="L114" s="418"/>
      <c r="M114" s="418"/>
      <c r="N114" s="418"/>
      <c r="O114" s="418"/>
      <c r="P114" s="418"/>
      <c r="Q114" s="418"/>
      <c r="R114" s="419"/>
      <c r="S114" s="419"/>
      <c r="T114" s="419"/>
      <c r="U114" s="419"/>
      <c r="V114" s="419"/>
      <c r="W114" s="419"/>
      <c r="X114" s="419"/>
      <c r="Y114" s="419"/>
      <c r="Z114" s="419"/>
      <c r="AA114" s="419"/>
      <c r="AB114" s="419"/>
      <c r="AC114" s="419"/>
      <c r="AD114" s="419" t="str">
        <f t="shared" si="33"/>
        <v/>
      </c>
      <c r="AE114" s="419" t="str">
        <f t="shared" si="34"/>
        <v/>
      </c>
      <c r="AF114" s="420" t="str">
        <f t="shared" si="35"/>
        <v/>
      </c>
      <c r="AG114" s="244">
        <f t="shared" si="36"/>
        <v>1</v>
      </c>
      <c r="AH114" s="244">
        <f t="shared" si="37"/>
        <v>1</v>
      </c>
      <c r="AI114" s="244">
        <f t="shared" si="38"/>
        <v>1</v>
      </c>
      <c r="AJ114" s="244">
        <f t="shared" si="39"/>
        <v>1</v>
      </c>
      <c r="AK114" s="244">
        <f t="shared" si="40"/>
        <v>1</v>
      </c>
      <c r="AL114" s="244">
        <f t="shared" si="41"/>
        <v>1</v>
      </c>
      <c r="AM114" s="244">
        <f t="shared" si="42"/>
        <v>1</v>
      </c>
      <c r="AN114" s="244">
        <f t="shared" si="43"/>
        <v>1</v>
      </c>
      <c r="AO114" s="244">
        <f t="shared" si="44"/>
        <v>1</v>
      </c>
      <c r="AP114" s="244">
        <f t="shared" si="45"/>
        <v>1</v>
      </c>
      <c r="AQ114" s="244">
        <f t="shared" si="46"/>
        <v>1</v>
      </c>
      <c r="AR114" s="244">
        <f t="shared" si="47"/>
        <v>1</v>
      </c>
      <c r="AS114" s="244">
        <f t="shared" si="48"/>
        <v>1</v>
      </c>
      <c r="AT114" s="244">
        <f t="shared" si="49"/>
        <v>1</v>
      </c>
      <c r="AU114" s="244">
        <f t="shared" si="50"/>
        <v>1</v>
      </c>
      <c r="AV114" s="244">
        <f t="shared" si="51"/>
        <v>1</v>
      </c>
      <c r="AW114" s="244">
        <f t="shared" si="52"/>
        <v>1</v>
      </c>
      <c r="AX114" s="244">
        <f t="shared" si="53"/>
        <v>1</v>
      </c>
      <c r="AY114" s="244">
        <f t="shared" si="54"/>
        <v>1</v>
      </c>
      <c r="AZ114" s="244">
        <f t="shared" si="55"/>
        <v>1</v>
      </c>
      <c r="BA114" s="244">
        <f t="shared" si="56"/>
        <v>1</v>
      </c>
      <c r="BB114" s="244">
        <f t="shared" si="57"/>
        <v>1</v>
      </c>
      <c r="BC114" s="244">
        <f t="shared" si="58"/>
        <v>1</v>
      </c>
      <c r="BD114" s="244">
        <f t="shared" si="59"/>
        <v>1</v>
      </c>
      <c r="BE114" s="244">
        <f t="shared" si="60"/>
        <v>1</v>
      </c>
      <c r="BF114" s="244">
        <f t="shared" si="61"/>
        <v>1</v>
      </c>
      <c r="BG114" s="244">
        <f t="shared" si="62"/>
        <v>1</v>
      </c>
    </row>
    <row r="115" spans="1:59" ht="15.75" x14ac:dyDescent="0.25">
      <c r="A115" s="415"/>
      <c r="B115" s="416" t="str">
        <f t="shared" si="32"/>
        <v/>
      </c>
      <c r="C115" s="421" t="str">
        <f>IF('תנאי סף'!AO115&lt;&gt;1,"",'תנאי סף'!F115)</f>
        <v/>
      </c>
      <c r="D115" s="418" t="str">
        <f>'מספר הרצות'!Z115</f>
        <v/>
      </c>
      <c r="E115" s="418" t="str">
        <f>'מספר מבצעים בתשלום'!Z115</f>
        <v/>
      </c>
      <c r="F115" s="418" t="str">
        <f>'מיקום ההרצות'!Z115</f>
        <v/>
      </c>
      <c r="G115" s="418" t="str">
        <f>'רמה מקצועית ואמנותית'!Z115</f>
        <v/>
      </c>
      <c r="H115" s="418" t="str">
        <f>'מיקום גיאוגרפי'!AB115</f>
        <v/>
      </c>
      <c r="I115" s="418" t="str">
        <f>תקציב!Z115</f>
        <v/>
      </c>
      <c r="J115" s="418" t="str">
        <f>'עידוד יצירה ישראלית'!Z115</f>
        <v/>
      </c>
      <c r="K115" s="418" t="str">
        <f>תיעוד!$Z115</f>
        <v/>
      </c>
      <c r="L115" s="418"/>
      <c r="M115" s="418"/>
      <c r="N115" s="418"/>
      <c r="O115" s="418"/>
      <c r="P115" s="418"/>
      <c r="Q115" s="418"/>
      <c r="R115" s="419"/>
      <c r="S115" s="419"/>
      <c r="T115" s="419"/>
      <c r="U115" s="419"/>
      <c r="V115" s="419"/>
      <c r="W115" s="419"/>
      <c r="X115" s="419"/>
      <c r="Y115" s="419"/>
      <c r="Z115" s="419"/>
      <c r="AA115" s="419"/>
      <c r="AB115" s="419"/>
      <c r="AC115" s="419"/>
      <c r="AD115" s="419" t="str">
        <f t="shared" si="33"/>
        <v/>
      </c>
      <c r="AE115" s="419" t="str">
        <f t="shared" si="34"/>
        <v/>
      </c>
      <c r="AF115" s="420" t="str">
        <f t="shared" si="35"/>
        <v/>
      </c>
      <c r="AG115" s="244">
        <f t="shared" si="36"/>
        <v>1</v>
      </c>
      <c r="AH115" s="244">
        <f t="shared" si="37"/>
        <v>1</v>
      </c>
      <c r="AI115" s="244">
        <f t="shared" si="38"/>
        <v>1</v>
      </c>
      <c r="AJ115" s="244">
        <f t="shared" si="39"/>
        <v>1</v>
      </c>
      <c r="AK115" s="244">
        <f t="shared" si="40"/>
        <v>1</v>
      </c>
      <c r="AL115" s="244">
        <f t="shared" si="41"/>
        <v>1</v>
      </c>
      <c r="AM115" s="244">
        <f t="shared" si="42"/>
        <v>1</v>
      </c>
      <c r="AN115" s="244">
        <f t="shared" si="43"/>
        <v>1</v>
      </c>
      <c r="AO115" s="244">
        <f t="shared" si="44"/>
        <v>1</v>
      </c>
      <c r="AP115" s="244">
        <f t="shared" si="45"/>
        <v>1</v>
      </c>
      <c r="AQ115" s="244">
        <f t="shared" si="46"/>
        <v>1</v>
      </c>
      <c r="AR115" s="244">
        <f t="shared" si="47"/>
        <v>1</v>
      </c>
      <c r="AS115" s="244">
        <f t="shared" si="48"/>
        <v>1</v>
      </c>
      <c r="AT115" s="244">
        <f t="shared" si="49"/>
        <v>1</v>
      </c>
      <c r="AU115" s="244">
        <f t="shared" si="50"/>
        <v>1</v>
      </c>
      <c r="AV115" s="244">
        <f t="shared" si="51"/>
        <v>1</v>
      </c>
      <c r="AW115" s="244">
        <f t="shared" si="52"/>
        <v>1</v>
      </c>
      <c r="AX115" s="244">
        <f t="shared" si="53"/>
        <v>1</v>
      </c>
      <c r="AY115" s="244">
        <f t="shared" si="54"/>
        <v>1</v>
      </c>
      <c r="AZ115" s="244">
        <f t="shared" si="55"/>
        <v>1</v>
      </c>
      <c r="BA115" s="244">
        <f t="shared" si="56"/>
        <v>1</v>
      </c>
      <c r="BB115" s="244">
        <f t="shared" si="57"/>
        <v>1</v>
      </c>
      <c r="BC115" s="244">
        <f t="shared" si="58"/>
        <v>1</v>
      </c>
      <c r="BD115" s="244">
        <f t="shared" si="59"/>
        <v>1</v>
      </c>
      <c r="BE115" s="244">
        <f t="shared" si="60"/>
        <v>1</v>
      </c>
      <c r="BF115" s="244">
        <f t="shared" si="61"/>
        <v>1</v>
      </c>
      <c r="BG115" s="244">
        <f t="shared" si="62"/>
        <v>1</v>
      </c>
    </row>
    <row r="116" spans="1:59" ht="15.75" x14ac:dyDescent="0.25">
      <c r="A116" s="415"/>
      <c r="B116" s="416" t="str">
        <f t="shared" si="32"/>
        <v/>
      </c>
      <c r="C116" s="421" t="str">
        <f>IF('תנאי סף'!AO116&lt;&gt;1,"",'תנאי סף'!F116)</f>
        <v/>
      </c>
      <c r="D116" s="418" t="str">
        <f>'מספר הרצות'!Z116</f>
        <v/>
      </c>
      <c r="E116" s="418" t="str">
        <f>'מספר מבצעים בתשלום'!Z116</f>
        <v/>
      </c>
      <c r="F116" s="418" t="str">
        <f>'מיקום ההרצות'!Z116</f>
        <v/>
      </c>
      <c r="G116" s="418" t="str">
        <f>'רמה מקצועית ואמנותית'!Z116</f>
        <v/>
      </c>
      <c r="H116" s="418" t="str">
        <f>'מיקום גיאוגרפי'!AB116</f>
        <v/>
      </c>
      <c r="I116" s="418" t="str">
        <f>תקציב!Z116</f>
        <v/>
      </c>
      <c r="J116" s="418" t="str">
        <f>'עידוד יצירה ישראלית'!Z116</f>
        <v/>
      </c>
      <c r="K116" s="418" t="str">
        <f>תיעוד!$Z116</f>
        <v/>
      </c>
      <c r="L116" s="418"/>
      <c r="M116" s="418"/>
      <c r="N116" s="418"/>
      <c r="O116" s="418"/>
      <c r="P116" s="418"/>
      <c r="Q116" s="418"/>
      <c r="R116" s="419"/>
      <c r="S116" s="419"/>
      <c r="T116" s="419"/>
      <c r="U116" s="419"/>
      <c r="V116" s="419"/>
      <c r="W116" s="419"/>
      <c r="X116" s="419"/>
      <c r="Y116" s="419"/>
      <c r="Z116" s="419"/>
      <c r="AA116" s="419"/>
      <c r="AB116" s="419"/>
      <c r="AC116" s="419"/>
      <c r="AD116" s="419" t="str">
        <f t="shared" si="33"/>
        <v/>
      </c>
      <c r="AE116" s="419" t="str">
        <f t="shared" si="34"/>
        <v/>
      </c>
      <c r="AF116" s="420" t="str">
        <f t="shared" si="35"/>
        <v/>
      </c>
      <c r="AG116" s="244">
        <f t="shared" si="36"/>
        <v>1</v>
      </c>
      <c r="AH116" s="244">
        <f t="shared" si="37"/>
        <v>1</v>
      </c>
      <c r="AI116" s="244">
        <f t="shared" si="38"/>
        <v>1</v>
      </c>
      <c r="AJ116" s="244">
        <f t="shared" si="39"/>
        <v>1</v>
      </c>
      <c r="AK116" s="244">
        <f t="shared" si="40"/>
        <v>1</v>
      </c>
      <c r="AL116" s="244">
        <f t="shared" si="41"/>
        <v>1</v>
      </c>
      <c r="AM116" s="244">
        <f t="shared" si="42"/>
        <v>1</v>
      </c>
      <c r="AN116" s="244">
        <f t="shared" si="43"/>
        <v>1</v>
      </c>
      <c r="AO116" s="244">
        <f t="shared" si="44"/>
        <v>1</v>
      </c>
      <c r="AP116" s="244">
        <f t="shared" si="45"/>
        <v>1</v>
      </c>
      <c r="AQ116" s="244">
        <f t="shared" si="46"/>
        <v>1</v>
      </c>
      <c r="AR116" s="244">
        <f t="shared" si="47"/>
        <v>1</v>
      </c>
      <c r="AS116" s="244">
        <f t="shared" si="48"/>
        <v>1</v>
      </c>
      <c r="AT116" s="244">
        <f t="shared" si="49"/>
        <v>1</v>
      </c>
      <c r="AU116" s="244">
        <f t="shared" si="50"/>
        <v>1</v>
      </c>
      <c r="AV116" s="244">
        <f t="shared" si="51"/>
        <v>1</v>
      </c>
      <c r="AW116" s="244">
        <f t="shared" si="52"/>
        <v>1</v>
      </c>
      <c r="AX116" s="244">
        <f t="shared" si="53"/>
        <v>1</v>
      </c>
      <c r="AY116" s="244">
        <f t="shared" si="54"/>
        <v>1</v>
      </c>
      <c r="AZ116" s="244">
        <f t="shared" si="55"/>
        <v>1</v>
      </c>
      <c r="BA116" s="244">
        <f t="shared" si="56"/>
        <v>1</v>
      </c>
      <c r="BB116" s="244">
        <f t="shared" si="57"/>
        <v>1</v>
      </c>
      <c r="BC116" s="244">
        <f t="shared" si="58"/>
        <v>1</v>
      </c>
      <c r="BD116" s="244">
        <f t="shared" si="59"/>
        <v>1</v>
      </c>
      <c r="BE116" s="244">
        <f t="shared" si="60"/>
        <v>1</v>
      </c>
      <c r="BF116" s="244">
        <f t="shared" si="61"/>
        <v>1</v>
      </c>
      <c r="BG116" s="244">
        <f t="shared" si="62"/>
        <v>1</v>
      </c>
    </row>
    <row r="117" spans="1:59" ht="15.75" x14ac:dyDescent="0.25">
      <c r="A117" s="415"/>
      <c r="B117" s="416" t="str">
        <f t="shared" si="32"/>
        <v/>
      </c>
      <c r="C117" s="421" t="str">
        <f>IF('תנאי סף'!AO117&lt;&gt;1,"",'תנאי סף'!F117)</f>
        <v/>
      </c>
      <c r="D117" s="418" t="str">
        <f>'מספר הרצות'!Z117</f>
        <v/>
      </c>
      <c r="E117" s="418" t="str">
        <f>'מספר מבצעים בתשלום'!Z117</f>
        <v/>
      </c>
      <c r="F117" s="418" t="str">
        <f>'מיקום ההרצות'!Z117</f>
        <v/>
      </c>
      <c r="G117" s="418" t="str">
        <f>'רמה מקצועית ואמנותית'!Z117</f>
        <v/>
      </c>
      <c r="H117" s="418" t="str">
        <f>'מיקום גיאוגרפי'!AB117</f>
        <v/>
      </c>
      <c r="I117" s="418" t="str">
        <f>תקציב!Z117</f>
        <v/>
      </c>
      <c r="J117" s="418" t="str">
        <f>'עידוד יצירה ישראלית'!Z117</f>
        <v/>
      </c>
      <c r="K117" s="418" t="str">
        <f>תיעוד!$Z117</f>
        <v/>
      </c>
      <c r="L117" s="418"/>
      <c r="M117" s="418"/>
      <c r="N117" s="418"/>
      <c r="O117" s="418"/>
      <c r="P117" s="418"/>
      <c r="Q117" s="418"/>
      <c r="R117" s="419"/>
      <c r="S117" s="419"/>
      <c r="T117" s="419"/>
      <c r="U117" s="419"/>
      <c r="V117" s="419"/>
      <c r="W117" s="419"/>
      <c r="X117" s="419"/>
      <c r="Y117" s="419"/>
      <c r="Z117" s="419"/>
      <c r="AA117" s="419"/>
      <c r="AB117" s="419"/>
      <c r="AC117" s="419"/>
      <c r="AD117" s="419" t="str">
        <f t="shared" si="33"/>
        <v/>
      </c>
      <c r="AE117" s="419" t="str">
        <f t="shared" si="34"/>
        <v/>
      </c>
      <c r="AF117" s="420" t="str">
        <f t="shared" si="35"/>
        <v/>
      </c>
      <c r="AG117" s="244">
        <f t="shared" si="36"/>
        <v>1</v>
      </c>
      <c r="AH117" s="244">
        <f t="shared" si="37"/>
        <v>1</v>
      </c>
      <c r="AI117" s="244">
        <f t="shared" si="38"/>
        <v>1</v>
      </c>
      <c r="AJ117" s="244">
        <f t="shared" si="39"/>
        <v>1</v>
      </c>
      <c r="AK117" s="244">
        <f t="shared" si="40"/>
        <v>1</v>
      </c>
      <c r="AL117" s="244">
        <f t="shared" si="41"/>
        <v>1</v>
      </c>
      <c r="AM117" s="244">
        <f t="shared" si="42"/>
        <v>1</v>
      </c>
      <c r="AN117" s="244">
        <f t="shared" si="43"/>
        <v>1</v>
      </c>
      <c r="AO117" s="244">
        <f t="shared" si="44"/>
        <v>1</v>
      </c>
      <c r="AP117" s="244">
        <f t="shared" si="45"/>
        <v>1</v>
      </c>
      <c r="AQ117" s="244">
        <f t="shared" si="46"/>
        <v>1</v>
      </c>
      <c r="AR117" s="244">
        <f t="shared" si="47"/>
        <v>1</v>
      </c>
      <c r="AS117" s="244">
        <f t="shared" si="48"/>
        <v>1</v>
      </c>
      <c r="AT117" s="244">
        <f t="shared" si="49"/>
        <v>1</v>
      </c>
      <c r="AU117" s="244">
        <f t="shared" si="50"/>
        <v>1</v>
      </c>
      <c r="AV117" s="244">
        <f t="shared" si="51"/>
        <v>1</v>
      </c>
      <c r="AW117" s="244">
        <f t="shared" si="52"/>
        <v>1</v>
      </c>
      <c r="AX117" s="244">
        <f t="shared" si="53"/>
        <v>1</v>
      </c>
      <c r="AY117" s="244">
        <f t="shared" si="54"/>
        <v>1</v>
      </c>
      <c r="AZ117" s="244">
        <f t="shared" si="55"/>
        <v>1</v>
      </c>
      <c r="BA117" s="244">
        <f t="shared" si="56"/>
        <v>1</v>
      </c>
      <c r="BB117" s="244">
        <f t="shared" si="57"/>
        <v>1</v>
      </c>
      <c r="BC117" s="244">
        <f t="shared" si="58"/>
        <v>1</v>
      </c>
      <c r="BD117" s="244">
        <f t="shared" si="59"/>
        <v>1</v>
      </c>
      <c r="BE117" s="244">
        <f t="shared" si="60"/>
        <v>1</v>
      </c>
      <c r="BF117" s="244">
        <f t="shared" si="61"/>
        <v>1</v>
      </c>
      <c r="BG117" s="244">
        <f t="shared" si="62"/>
        <v>1</v>
      </c>
    </row>
    <row r="118" spans="1:59" ht="15.75" x14ac:dyDescent="0.25">
      <c r="A118" s="415"/>
      <c r="B118" s="416" t="str">
        <f t="shared" si="32"/>
        <v/>
      </c>
      <c r="C118" s="421" t="str">
        <f>IF('תנאי סף'!AO118&lt;&gt;1,"",'תנאי סף'!F118)</f>
        <v/>
      </c>
      <c r="D118" s="418" t="str">
        <f>'מספר הרצות'!Z118</f>
        <v/>
      </c>
      <c r="E118" s="418" t="str">
        <f>'מספר מבצעים בתשלום'!Z118</f>
        <v/>
      </c>
      <c r="F118" s="418" t="str">
        <f>'מיקום ההרצות'!Z118</f>
        <v/>
      </c>
      <c r="G118" s="418" t="str">
        <f>'רמה מקצועית ואמנותית'!Z118</f>
        <v/>
      </c>
      <c r="H118" s="418" t="str">
        <f>'מיקום גיאוגרפי'!AB118</f>
        <v/>
      </c>
      <c r="I118" s="418" t="str">
        <f>תקציב!Z118</f>
        <v/>
      </c>
      <c r="J118" s="418" t="str">
        <f>'עידוד יצירה ישראלית'!Z118</f>
        <v/>
      </c>
      <c r="K118" s="418" t="str">
        <f>תיעוד!$Z118</f>
        <v/>
      </c>
      <c r="L118" s="418"/>
      <c r="M118" s="418"/>
      <c r="N118" s="418"/>
      <c r="O118" s="418"/>
      <c r="P118" s="418"/>
      <c r="Q118" s="418"/>
      <c r="R118" s="419"/>
      <c r="S118" s="419"/>
      <c r="T118" s="419"/>
      <c r="U118" s="419"/>
      <c r="V118" s="419"/>
      <c r="W118" s="419"/>
      <c r="X118" s="419"/>
      <c r="Y118" s="419"/>
      <c r="Z118" s="419"/>
      <c r="AA118" s="419"/>
      <c r="AB118" s="419"/>
      <c r="AC118" s="419"/>
      <c r="AD118" s="419" t="str">
        <f t="shared" si="33"/>
        <v/>
      </c>
      <c r="AE118" s="419" t="str">
        <f t="shared" si="34"/>
        <v/>
      </c>
      <c r="AF118" s="420" t="str">
        <f t="shared" si="35"/>
        <v/>
      </c>
      <c r="AG118" s="244">
        <f t="shared" si="36"/>
        <v>1</v>
      </c>
      <c r="AH118" s="244">
        <f t="shared" si="37"/>
        <v>1</v>
      </c>
      <c r="AI118" s="244">
        <f t="shared" si="38"/>
        <v>1</v>
      </c>
      <c r="AJ118" s="244">
        <f t="shared" si="39"/>
        <v>1</v>
      </c>
      <c r="AK118" s="244">
        <f t="shared" si="40"/>
        <v>1</v>
      </c>
      <c r="AL118" s="244">
        <f t="shared" si="41"/>
        <v>1</v>
      </c>
      <c r="AM118" s="244">
        <f t="shared" si="42"/>
        <v>1</v>
      </c>
      <c r="AN118" s="244">
        <f t="shared" si="43"/>
        <v>1</v>
      </c>
      <c r="AO118" s="244">
        <f t="shared" si="44"/>
        <v>1</v>
      </c>
      <c r="AP118" s="244">
        <f t="shared" si="45"/>
        <v>1</v>
      </c>
      <c r="AQ118" s="244">
        <f t="shared" si="46"/>
        <v>1</v>
      </c>
      <c r="AR118" s="244">
        <f t="shared" si="47"/>
        <v>1</v>
      </c>
      <c r="AS118" s="244">
        <f t="shared" si="48"/>
        <v>1</v>
      </c>
      <c r="AT118" s="244">
        <f t="shared" si="49"/>
        <v>1</v>
      </c>
      <c r="AU118" s="244">
        <f t="shared" si="50"/>
        <v>1</v>
      </c>
      <c r="AV118" s="244">
        <f t="shared" si="51"/>
        <v>1</v>
      </c>
      <c r="AW118" s="244">
        <f t="shared" si="52"/>
        <v>1</v>
      </c>
      <c r="AX118" s="244">
        <f t="shared" si="53"/>
        <v>1</v>
      </c>
      <c r="AY118" s="244">
        <f t="shared" si="54"/>
        <v>1</v>
      </c>
      <c r="AZ118" s="244">
        <f t="shared" si="55"/>
        <v>1</v>
      </c>
      <c r="BA118" s="244">
        <f t="shared" si="56"/>
        <v>1</v>
      </c>
      <c r="BB118" s="244">
        <f t="shared" si="57"/>
        <v>1</v>
      </c>
      <c r="BC118" s="244">
        <f t="shared" si="58"/>
        <v>1</v>
      </c>
      <c r="BD118" s="244">
        <f t="shared" si="59"/>
        <v>1</v>
      </c>
      <c r="BE118" s="244">
        <f t="shared" si="60"/>
        <v>1</v>
      </c>
      <c r="BF118" s="244">
        <f t="shared" si="61"/>
        <v>1</v>
      </c>
      <c r="BG118" s="244">
        <f t="shared" si="62"/>
        <v>1</v>
      </c>
    </row>
    <row r="119" spans="1:59" ht="15.75" x14ac:dyDescent="0.25">
      <c r="A119" s="415"/>
      <c r="B119" s="416" t="str">
        <f t="shared" si="32"/>
        <v/>
      </c>
      <c r="C119" s="421" t="str">
        <f>IF('תנאי סף'!AO119&lt;&gt;1,"",'תנאי סף'!F119)</f>
        <v/>
      </c>
      <c r="D119" s="418" t="str">
        <f>'מספר הרצות'!Z119</f>
        <v/>
      </c>
      <c r="E119" s="418" t="str">
        <f>'מספר מבצעים בתשלום'!Z119</f>
        <v/>
      </c>
      <c r="F119" s="418" t="str">
        <f>'מיקום ההרצות'!Z119</f>
        <v/>
      </c>
      <c r="G119" s="418" t="str">
        <f>'רמה מקצועית ואמנותית'!Z119</f>
        <v/>
      </c>
      <c r="H119" s="418" t="str">
        <f>'מיקום גיאוגרפי'!AB119</f>
        <v/>
      </c>
      <c r="I119" s="418" t="str">
        <f>תקציב!Z119</f>
        <v/>
      </c>
      <c r="J119" s="418" t="str">
        <f>'עידוד יצירה ישראלית'!Z119</f>
        <v/>
      </c>
      <c r="K119" s="418" t="str">
        <f>תיעוד!$Z119</f>
        <v/>
      </c>
      <c r="L119" s="418"/>
      <c r="M119" s="418"/>
      <c r="N119" s="418"/>
      <c r="O119" s="418"/>
      <c r="P119" s="418"/>
      <c r="Q119" s="418"/>
      <c r="R119" s="419"/>
      <c r="S119" s="419"/>
      <c r="T119" s="419"/>
      <c r="U119" s="419"/>
      <c r="V119" s="419"/>
      <c r="W119" s="419"/>
      <c r="X119" s="419"/>
      <c r="Y119" s="419"/>
      <c r="Z119" s="419"/>
      <c r="AA119" s="419"/>
      <c r="AB119" s="419"/>
      <c r="AC119" s="419"/>
      <c r="AD119" s="419" t="str">
        <f t="shared" si="33"/>
        <v/>
      </c>
      <c r="AE119" s="419" t="str">
        <f t="shared" si="34"/>
        <v/>
      </c>
      <c r="AF119" s="420" t="str">
        <f t="shared" si="35"/>
        <v/>
      </c>
      <c r="AG119" s="244">
        <f t="shared" si="36"/>
        <v>1</v>
      </c>
      <c r="AH119" s="244">
        <f t="shared" si="37"/>
        <v>1</v>
      </c>
      <c r="AI119" s="244">
        <f t="shared" si="38"/>
        <v>1</v>
      </c>
      <c r="AJ119" s="244">
        <f t="shared" si="39"/>
        <v>1</v>
      </c>
      <c r="AK119" s="244">
        <f t="shared" si="40"/>
        <v>1</v>
      </c>
      <c r="AL119" s="244">
        <f t="shared" si="41"/>
        <v>1</v>
      </c>
      <c r="AM119" s="244">
        <f t="shared" si="42"/>
        <v>1</v>
      </c>
      <c r="AN119" s="244">
        <f t="shared" si="43"/>
        <v>1</v>
      </c>
      <c r="AO119" s="244">
        <f t="shared" si="44"/>
        <v>1</v>
      </c>
      <c r="AP119" s="244">
        <f t="shared" si="45"/>
        <v>1</v>
      </c>
      <c r="AQ119" s="244">
        <f t="shared" si="46"/>
        <v>1</v>
      </c>
      <c r="AR119" s="244">
        <f t="shared" si="47"/>
        <v>1</v>
      </c>
      <c r="AS119" s="244">
        <f t="shared" si="48"/>
        <v>1</v>
      </c>
      <c r="AT119" s="244">
        <f t="shared" si="49"/>
        <v>1</v>
      </c>
      <c r="AU119" s="244">
        <f t="shared" si="50"/>
        <v>1</v>
      </c>
      <c r="AV119" s="244">
        <f t="shared" si="51"/>
        <v>1</v>
      </c>
      <c r="AW119" s="244">
        <f t="shared" si="52"/>
        <v>1</v>
      </c>
      <c r="AX119" s="244">
        <f t="shared" si="53"/>
        <v>1</v>
      </c>
      <c r="AY119" s="244">
        <f t="shared" si="54"/>
        <v>1</v>
      </c>
      <c r="AZ119" s="244">
        <f t="shared" si="55"/>
        <v>1</v>
      </c>
      <c r="BA119" s="244">
        <f t="shared" si="56"/>
        <v>1</v>
      </c>
      <c r="BB119" s="244">
        <f t="shared" si="57"/>
        <v>1</v>
      </c>
      <c r="BC119" s="244">
        <f t="shared" si="58"/>
        <v>1</v>
      </c>
      <c r="BD119" s="244">
        <f t="shared" si="59"/>
        <v>1</v>
      </c>
      <c r="BE119" s="244">
        <f t="shared" si="60"/>
        <v>1</v>
      </c>
      <c r="BF119" s="244">
        <f t="shared" si="61"/>
        <v>1</v>
      </c>
      <c r="BG119" s="244">
        <f t="shared" si="62"/>
        <v>1</v>
      </c>
    </row>
    <row r="120" spans="1:59" ht="15.75" x14ac:dyDescent="0.25">
      <c r="A120" s="415"/>
      <c r="B120" s="416" t="str">
        <f t="shared" si="32"/>
        <v/>
      </c>
      <c r="C120" s="421" t="str">
        <f>IF('תנאי סף'!AO120&lt;&gt;1,"",'תנאי סף'!F120)</f>
        <v/>
      </c>
      <c r="D120" s="418" t="str">
        <f>'מספר הרצות'!Z120</f>
        <v/>
      </c>
      <c r="E120" s="418" t="str">
        <f>'מספר מבצעים בתשלום'!Z120</f>
        <v/>
      </c>
      <c r="F120" s="418" t="str">
        <f>'מיקום ההרצות'!Z120</f>
        <v/>
      </c>
      <c r="G120" s="418" t="str">
        <f>'רמה מקצועית ואמנותית'!Z120</f>
        <v/>
      </c>
      <c r="H120" s="418" t="str">
        <f>'מיקום גיאוגרפי'!AB120</f>
        <v/>
      </c>
      <c r="I120" s="418" t="str">
        <f>תקציב!Z120</f>
        <v/>
      </c>
      <c r="J120" s="418" t="str">
        <f>'עידוד יצירה ישראלית'!Z120</f>
        <v/>
      </c>
      <c r="K120" s="418" t="str">
        <f>תיעוד!$Z120</f>
        <v/>
      </c>
      <c r="L120" s="418"/>
      <c r="M120" s="418"/>
      <c r="N120" s="418"/>
      <c r="O120" s="418"/>
      <c r="P120" s="418"/>
      <c r="Q120" s="418"/>
      <c r="R120" s="419"/>
      <c r="S120" s="419"/>
      <c r="T120" s="419"/>
      <c r="U120" s="419"/>
      <c r="V120" s="419"/>
      <c r="W120" s="419"/>
      <c r="X120" s="419"/>
      <c r="Y120" s="419"/>
      <c r="Z120" s="419"/>
      <c r="AA120" s="419"/>
      <c r="AB120" s="419"/>
      <c r="AC120" s="419"/>
      <c r="AD120" s="419" t="str">
        <f t="shared" si="33"/>
        <v/>
      </c>
      <c r="AE120" s="419" t="str">
        <f t="shared" si="34"/>
        <v/>
      </c>
      <c r="AF120" s="420" t="str">
        <f t="shared" si="35"/>
        <v/>
      </c>
      <c r="AG120" s="244">
        <f t="shared" si="36"/>
        <v>1</v>
      </c>
      <c r="AH120" s="244">
        <f t="shared" si="37"/>
        <v>1</v>
      </c>
      <c r="AI120" s="244">
        <f t="shared" si="38"/>
        <v>1</v>
      </c>
      <c r="AJ120" s="244">
        <f t="shared" si="39"/>
        <v>1</v>
      </c>
      <c r="AK120" s="244">
        <f t="shared" si="40"/>
        <v>1</v>
      </c>
      <c r="AL120" s="244">
        <f t="shared" si="41"/>
        <v>1</v>
      </c>
      <c r="AM120" s="244">
        <f t="shared" si="42"/>
        <v>1</v>
      </c>
      <c r="AN120" s="244">
        <f t="shared" si="43"/>
        <v>1</v>
      </c>
      <c r="AO120" s="244">
        <f t="shared" si="44"/>
        <v>1</v>
      </c>
      <c r="AP120" s="244">
        <f t="shared" si="45"/>
        <v>1</v>
      </c>
      <c r="AQ120" s="244">
        <f t="shared" si="46"/>
        <v>1</v>
      </c>
      <c r="AR120" s="244">
        <f t="shared" si="47"/>
        <v>1</v>
      </c>
      <c r="AS120" s="244">
        <f t="shared" si="48"/>
        <v>1</v>
      </c>
      <c r="AT120" s="244">
        <f t="shared" si="49"/>
        <v>1</v>
      </c>
      <c r="AU120" s="244">
        <f t="shared" si="50"/>
        <v>1</v>
      </c>
      <c r="AV120" s="244">
        <f t="shared" si="51"/>
        <v>1</v>
      </c>
      <c r="AW120" s="244">
        <f t="shared" si="52"/>
        <v>1</v>
      </c>
      <c r="AX120" s="244">
        <f t="shared" si="53"/>
        <v>1</v>
      </c>
      <c r="AY120" s="244">
        <f t="shared" si="54"/>
        <v>1</v>
      </c>
      <c r="AZ120" s="244">
        <f t="shared" si="55"/>
        <v>1</v>
      </c>
      <c r="BA120" s="244">
        <f t="shared" si="56"/>
        <v>1</v>
      </c>
      <c r="BB120" s="244">
        <f t="shared" si="57"/>
        <v>1</v>
      </c>
      <c r="BC120" s="244">
        <f t="shared" si="58"/>
        <v>1</v>
      </c>
      <c r="BD120" s="244">
        <f t="shared" si="59"/>
        <v>1</v>
      </c>
      <c r="BE120" s="244">
        <f t="shared" si="60"/>
        <v>1</v>
      </c>
      <c r="BF120" s="244">
        <f t="shared" si="61"/>
        <v>1</v>
      </c>
      <c r="BG120" s="244">
        <f t="shared" si="62"/>
        <v>1</v>
      </c>
    </row>
    <row r="121" spans="1:59" ht="15.75" x14ac:dyDescent="0.25">
      <c r="A121" s="415"/>
      <c r="B121" s="416" t="str">
        <f t="shared" si="32"/>
        <v/>
      </c>
      <c r="C121" s="421" t="str">
        <f>IF('תנאי סף'!AO121&lt;&gt;1,"",'תנאי סף'!F121)</f>
        <v/>
      </c>
      <c r="D121" s="418" t="str">
        <f>'מספר הרצות'!Z121</f>
        <v/>
      </c>
      <c r="E121" s="418" t="str">
        <f>'מספר מבצעים בתשלום'!Z121</f>
        <v/>
      </c>
      <c r="F121" s="418" t="str">
        <f>'מיקום ההרצות'!Z121</f>
        <v/>
      </c>
      <c r="G121" s="418" t="str">
        <f>'רמה מקצועית ואמנותית'!Z121</f>
        <v/>
      </c>
      <c r="H121" s="418" t="str">
        <f>'מיקום גיאוגרפי'!AB121</f>
        <v/>
      </c>
      <c r="I121" s="418" t="str">
        <f>תקציב!Z121</f>
        <v/>
      </c>
      <c r="J121" s="418" t="str">
        <f>'עידוד יצירה ישראלית'!Z121</f>
        <v/>
      </c>
      <c r="K121" s="418" t="str">
        <f>תיעוד!$Z121</f>
        <v/>
      </c>
      <c r="L121" s="418"/>
      <c r="M121" s="418"/>
      <c r="N121" s="418"/>
      <c r="O121" s="418"/>
      <c r="P121" s="418"/>
      <c r="Q121" s="418"/>
      <c r="R121" s="419"/>
      <c r="S121" s="419"/>
      <c r="T121" s="419"/>
      <c r="U121" s="419"/>
      <c r="V121" s="419"/>
      <c r="W121" s="419"/>
      <c r="X121" s="419"/>
      <c r="Y121" s="419"/>
      <c r="Z121" s="419"/>
      <c r="AA121" s="419"/>
      <c r="AB121" s="419"/>
      <c r="AC121" s="419"/>
      <c r="AD121" s="419" t="str">
        <f t="shared" si="33"/>
        <v/>
      </c>
      <c r="AE121" s="419" t="str">
        <f t="shared" si="34"/>
        <v/>
      </c>
      <c r="AF121" s="420" t="str">
        <f t="shared" si="35"/>
        <v/>
      </c>
      <c r="AG121" s="244">
        <f t="shared" si="36"/>
        <v>1</v>
      </c>
      <c r="AH121" s="244">
        <f t="shared" si="37"/>
        <v>1</v>
      </c>
      <c r="AI121" s="244">
        <f t="shared" si="38"/>
        <v>1</v>
      </c>
      <c r="AJ121" s="244">
        <f t="shared" si="39"/>
        <v>1</v>
      </c>
      <c r="AK121" s="244">
        <f t="shared" si="40"/>
        <v>1</v>
      </c>
      <c r="AL121" s="244">
        <f t="shared" si="41"/>
        <v>1</v>
      </c>
      <c r="AM121" s="244">
        <f t="shared" si="42"/>
        <v>1</v>
      </c>
      <c r="AN121" s="244">
        <f t="shared" si="43"/>
        <v>1</v>
      </c>
      <c r="AO121" s="244">
        <f t="shared" si="44"/>
        <v>1</v>
      </c>
      <c r="AP121" s="244">
        <f t="shared" si="45"/>
        <v>1</v>
      </c>
      <c r="AQ121" s="244">
        <f t="shared" si="46"/>
        <v>1</v>
      </c>
      <c r="AR121" s="244">
        <f t="shared" si="47"/>
        <v>1</v>
      </c>
      <c r="AS121" s="244">
        <f t="shared" si="48"/>
        <v>1</v>
      </c>
      <c r="AT121" s="244">
        <f t="shared" si="49"/>
        <v>1</v>
      </c>
      <c r="AU121" s="244">
        <f t="shared" si="50"/>
        <v>1</v>
      </c>
      <c r="AV121" s="244">
        <f t="shared" si="51"/>
        <v>1</v>
      </c>
      <c r="AW121" s="244">
        <f t="shared" si="52"/>
        <v>1</v>
      </c>
      <c r="AX121" s="244">
        <f t="shared" si="53"/>
        <v>1</v>
      </c>
      <c r="AY121" s="244">
        <f t="shared" si="54"/>
        <v>1</v>
      </c>
      <c r="AZ121" s="244">
        <f t="shared" si="55"/>
        <v>1</v>
      </c>
      <c r="BA121" s="244">
        <f t="shared" si="56"/>
        <v>1</v>
      </c>
      <c r="BB121" s="244">
        <f t="shared" si="57"/>
        <v>1</v>
      </c>
      <c r="BC121" s="244">
        <f t="shared" si="58"/>
        <v>1</v>
      </c>
      <c r="BD121" s="244">
        <f t="shared" si="59"/>
        <v>1</v>
      </c>
      <c r="BE121" s="244">
        <f t="shared" si="60"/>
        <v>1</v>
      </c>
      <c r="BF121" s="244">
        <f t="shared" si="61"/>
        <v>1</v>
      </c>
      <c r="BG121" s="244">
        <f t="shared" si="62"/>
        <v>1</v>
      </c>
    </row>
    <row r="122" spans="1:59" ht="15.75" x14ac:dyDescent="0.25">
      <c r="A122" s="415"/>
      <c r="B122" s="416" t="str">
        <f t="shared" si="32"/>
        <v/>
      </c>
      <c r="C122" s="421" t="str">
        <f>IF('תנאי סף'!AO122&lt;&gt;1,"",'תנאי סף'!F122)</f>
        <v/>
      </c>
      <c r="D122" s="418" t="str">
        <f>'מספר הרצות'!Z122</f>
        <v/>
      </c>
      <c r="E122" s="418" t="str">
        <f>'מספר מבצעים בתשלום'!Z122</f>
        <v/>
      </c>
      <c r="F122" s="418" t="str">
        <f>'מיקום ההרצות'!Z122</f>
        <v/>
      </c>
      <c r="G122" s="418" t="str">
        <f>'רמה מקצועית ואמנותית'!Z122</f>
        <v/>
      </c>
      <c r="H122" s="418" t="str">
        <f>'מיקום גיאוגרפי'!AB122</f>
        <v/>
      </c>
      <c r="I122" s="418" t="str">
        <f>תקציב!Z122</f>
        <v/>
      </c>
      <c r="J122" s="418" t="str">
        <f>'עידוד יצירה ישראלית'!Z122</f>
        <v/>
      </c>
      <c r="K122" s="418" t="str">
        <f>תיעוד!$Z122</f>
        <v/>
      </c>
      <c r="L122" s="418"/>
      <c r="M122" s="418"/>
      <c r="N122" s="418"/>
      <c r="O122" s="418"/>
      <c r="P122" s="418"/>
      <c r="Q122" s="418"/>
      <c r="R122" s="419"/>
      <c r="S122" s="419"/>
      <c r="T122" s="419"/>
      <c r="U122" s="419"/>
      <c r="V122" s="419"/>
      <c r="W122" s="419"/>
      <c r="X122" s="419"/>
      <c r="Y122" s="419"/>
      <c r="Z122" s="419"/>
      <c r="AA122" s="419"/>
      <c r="AB122" s="419"/>
      <c r="AC122" s="419"/>
      <c r="AD122" s="419" t="str">
        <f t="shared" si="33"/>
        <v/>
      </c>
      <c r="AE122" s="419" t="str">
        <f t="shared" si="34"/>
        <v/>
      </c>
      <c r="AF122" s="420" t="str">
        <f t="shared" si="35"/>
        <v/>
      </c>
      <c r="AG122" s="244">
        <f t="shared" si="36"/>
        <v>1</v>
      </c>
      <c r="AH122" s="244">
        <f t="shared" si="37"/>
        <v>1</v>
      </c>
      <c r="AI122" s="244">
        <f t="shared" si="38"/>
        <v>1</v>
      </c>
      <c r="AJ122" s="244">
        <f t="shared" si="39"/>
        <v>1</v>
      </c>
      <c r="AK122" s="244">
        <f t="shared" si="40"/>
        <v>1</v>
      </c>
      <c r="AL122" s="244">
        <f t="shared" si="41"/>
        <v>1</v>
      </c>
      <c r="AM122" s="244">
        <f t="shared" si="42"/>
        <v>1</v>
      </c>
      <c r="AN122" s="244">
        <f t="shared" si="43"/>
        <v>1</v>
      </c>
      <c r="AO122" s="244">
        <f t="shared" si="44"/>
        <v>1</v>
      </c>
      <c r="AP122" s="244">
        <f t="shared" si="45"/>
        <v>1</v>
      </c>
      <c r="AQ122" s="244">
        <f t="shared" si="46"/>
        <v>1</v>
      </c>
      <c r="AR122" s="244">
        <f t="shared" si="47"/>
        <v>1</v>
      </c>
      <c r="AS122" s="244">
        <f t="shared" si="48"/>
        <v>1</v>
      </c>
      <c r="AT122" s="244">
        <f t="shared" si="49"/>
        <v>1</v>
      </c>
      <c r="AU122" s="244">
        <f t="shared" si="50"/>
        <v>1</v>
      </c>
      <c r="AV122" s="244">
        <f t="shared" si="51"/>
        <v>1</v>
      </c>
      <c r="AW122" s="244">
        <f t="shared" si="52"/>
        <v>1</v>
      </c>
      <c r="AX122" s="244">
        <f t="shared" si="53"/>
        <v>1</v>
      </c>
      <c r="AY122" s="244">
        <f t="shared" si="54"/>
        <v>1</v>
      </c>
      <c r="AZ122" s="244">
        <f t="shared" si="55"/>
        <v>1</v>
      </c>
      <c r="BA122" s="244">
        <f t="shared" si="56"/>
        <v>1</v>
      </c>
      <c r="BB122" s="244">
        <f t="shared" si="57"/>
        <v>1</v>
      </c>
      <c r="BC122" s="244">
        <f t="shared" si="58"/>
        <v>1</v>
      </c>
      <c r="BD122" s="244">
        <f t="shared" si="59"/>
        <v>1</v>
      </c>
      <c r="BE122" s="244">
        <f t="shared" si="60"/>
        <v>1</v>
      </c>
      <c r="BF122" s="244">
        <f t="shared" si="61"/>
        <v>1</v>
      </c>
      <c r="BG122" s="244">
        <f t="shared" si="62"/>
        <v>1</v>
      </c>
    </row>
    <row r="123" spans="1:59" ht="15.75" x14ac:dyDescent="0.25">
      <c r="A123" s="415"/>
      <c r="B123" s="416" t="str">
        <f t="shared" si="32"/>
        <v/>
      </c>
      <c r="C123" s="421" t="str">
        <f>IF('תנאי סף'!AO123&lt;&gt;1,"",'תנאי סף'!F123)</f>
        <v/>
      </c>
      <c r="D123" s="418" t="str">
        <f>'מספר הרצות'!Z123</f>
        <v/>
      </c>
      <c r="E123" s="418" t="str">
        <f>'מספר מבצעים בתשלום'!Z123</f>
        <v/>
      </c>
      <c r="F123" s="418" t="str">
        <f>'מיקום ההרצות'!Z123</f>
        <v/>
      </c>
      <c r="G123" s="418" t="str">
        <f>'רמה מקצועית ואמנותית'!Z123</f>
        <v/>
      </c>
      <c r="H123" s="418" t="str">
        <f>'מיקום גיאוגרפי'!AB123</f>
        <v/>
      </c>
      <c r="I123" s="418" t="str">
        <f>תקציב!Z123</f>
        <v/>
      </c>
      <c r="J123" s="418" t="str">
        <f>'עידוד יצירה ישראלית'!Z123</f>
        <v/>
      </c>
      <c r="K123" s="418" t="str">
        <f>תיעוד!$Z123</f>
        <v/>
      </c>
      <c r="L123" s="418"/>
      <c r="M123" s="418"/>
      <c r="N123" s="418"/>
      <c r="O123" s="418"/>
      <c r="P123" s="418"/>
      <c r="Q123" s="418"/>
      <c r="R123" s="419"/>
      <c r="S123" s="419"/>
      <c r="T123" s="419"/>
      <c r="U123" s="419"/>
      <c r="V123" s="419"/>
      <c r="W123" s="419"/>
      <c r="X123" s="419"/>
      <c r="Y123" s="419"/>
      <c r="Z123" s="419"/>
      <c r="AA123" s="419"/>
      <c r="AB123" s="419"/>
      <c r="AC123" s="419"/>
      <c r="AD123" s="419" t="str">
        <f t="shared" si="33"/>
        <v/>
      </c>
      <c r="AE123" s="419" t="str">
        <f t="shared" si="34"/>
        <v/>
      </c>
      <c r="AF123" s="420" t="str">
        <f t="shared" si="35"/>
        <v/>
      </c>
      <c r="AG123" s="244">
        <f t="shared" si="36"/>
        <v>1</v>
      </c>
      <c r="AH123" s="244">
        <f t="shared" si="37"/>
        <v>1</v>
      </c>
      <c r="AI123" s="244">
        <f t="shared" si="38"/>
        <v>1</v>
      </c>
      <c r="AJ123" s="244">
        <f t="shared" si="39"/>
        <v>1</v>
      </c>
      <c r="AK123" s="244">
        <f t="shared" si="40"/>
        <v>1</v>
      </c>
      <c r="AL123" s="244">
        <f t="shared" si="41"/>
        <v>1</v>
      </c>
      <c r="AM123" s="244">
        <f t="shared" si="42"/>
        <v>1</v>
      </c>
      <c r="AN123" s="244">
        <f t="shared" si="43"/>
        <v>1</v>
      </c>
      <c r="AO123" s="244">
        <f t="shared" si="44"/>
        <v>1</v>
      </c>
      <c r="AP123" s="244">
        <f t="shared" si="45"/>
        <v>1</v>
      </c>
      <c r="AQ123" s="244">
        <f t="shared" si="46"/>
        <v>1</v>
      </c>
      <c r="AR123" s="244">
        <f t="shared" si="47"/>
        <v>1</v>
      </c>
      <c r="AS123" s="244">
        <f t="shared" si="48"/>
        <v>1</v>
      </c>
      <c r="AT123" s="244">
        <f t="shared" si="49"/>
        <v>1</v>
      </c>
      <c r="AU123" s="244">
        <f t="shared" si="50"/>
        <v>1</v>
      </c>
      <c r="AV123" s="244">
        <f t="shared" si="51"/>
        <v>1</v>
      </c>
      <c r="AW123" s="244">
        <f t="shared" si="52"/>
        <v>1</v>
      </c>
      <c r="AX123" s="244">
        <f t="shared" si="53"/>
        <v>1</v>
      </c>
      <c r="AY123" s="244">
        <f t="shared" si="54"/>
        <v>1</v>
      </c>
      <c r="AZ123" s="244">
        <f t="shared" si="55"/>
        <v>1</v>
      </c>
      <c r="BA123" s="244">
        <f t="shared" si="56"/>
        <v>1</v>
      </c>
      <c r="BB123" s="244">
        <f t="shared" si="57"/>
        <v>1</v>
      </c>
      <c r="BC123" s="244">
        <f t="shared" si="58"/>
        <v>1</v>
      </c>
      <c r="BD123" s="244">
        <f t="shared" si="59"/>
        <v>1</v>
      </c>
      <c r="BE123" s="244">
        <f t="shared" si="60"/>
        <v>1</v>
      </c>
      <c r="BF123" s="244">
        <f t="shared" si="61"/>
        <v>1</v>
      </c>
      <c r="BG123" s="244">
        <f t="shared" si="62"/>
        <v>1</v>
      </c>
    </row>
    <row r="124" spans="1:59" ht="15.75" x14ac:dyDescent="0.25">
      <c r="A124" s="415"/>
      <c r="B124" s="416" t="str">
        <f t="shared" si="32"/>
        <v/>
      </c>
      <c r="C124" s="421" t="str">
        <f>IF('תנאי סף'!AO124&lt;&gt;1,"",'תנאי סף'!F124)</f>
        <v/>
      </c>
      <c r="D124" s="418" t="str">
        <f>'מספר הרצות'!Z124</f>
        <v/>
      </c>
      <c r="E124" s="418" t="str">
        <f>'מספר מבצעים בתשלום'!Z124</f>
        <v/>
      </c>
      <c r="F124" s="418" t="str">
        <f>'מיקום ההרצות'!Z124</f>
        <v/>
      </c>
      <c r="G124" s="418" t="str">
        <f>'רמה מקצועית ואמנותית'!Z124</f>
        <v/>
      </c>
      <c r="H124" s="418" t="str">
        <f>'מיקום גיאוגרפי'!AB124</f>
        <v/>
      </c>
      <c r="I124" s="418" t="str">
        <f>תקציב!Z124</f>
        <v/>
      </c>
      <c r="J124" s="418" t="str">
        <f>'עידוד יצירה ישראלית'!Z124</f>
        <v/>
      </c>
      <c r="K124" s="418" t="str">
        <f>תיעוד!$Z124</f>
        <v/>
      </c>
      <c r="L124" s="418"/>
      <c r="M124" s="418"/>
      <c r="N124" s="418"/>
      <c r="O124" s="418"/>
      <c r="P124" s="418"/>
      <c r="Q124" s="418"/>
      <c r="R124" s="419"/>
      <c r="S124" s="419"/>
      <c r="T124" s="419"/>
      <c r="U124" s="419"/>
      <c r="V124" s="419"/>
      <c r="W124" s="419"/>
      <c r="X124" s="419"/>
      <c r="Y124" s="419"/>
      <c r="Z124" s="419"/>
      <c r="AA124" s="419"/>
      <c r="AB124" s="419"/>
      <c r="AC124" s="419"/>
      <c r="AD124" s="419" t="str">
        <f t="shared" si="33"/>
        <v/>
      </c>
      <c r="AE124" s="419" t="str">
        <f t="shared" si="34"/>
        <v/>
      </c>
      <c r="AF124" s="420" t="str">
        <f t="shared" si="35"/>
        <v/>
      </c>
      <c r="AG124" s="244">
        <f t="shared" si="36"/>
        <v>1</v>
      </c>
      <c r="AH124" s="244">
        <f t="shared" si="37"/>
        <v>1</v>
      </c>
      <c r="AI124" s="244">
        <f t="shared" si="38"/>
        <v>1</v>
      </c>
      <c r="AJ124" s="244">
        <f t="shared" si="39"/>
        <v>1</v>
      </c>
      <c r="AK124" s="244">
        <f t="shared" si="40"/>
        <v>1</v>
      </c>
      <c r="AL124" s="244">
        <f t="shared" si="41"/>
        <v>1</v>
      </c>
      <c r="AM124" s="244">
        <f t="shared" si="42"/>
        <v>1</v>
      </c>
      <c r="AN124" s="244">
        <f t="shared" si="43"/>
        <v>1</v>
      </c>
      <c r="AO124" s="244">
        <f t="shared" si="44"/>
        <v>1</v>
      </c>
      <c r="AP124" s="244">
        <f t="shared" si="45"/>
        <v>1</v>
      </c>
      <c r="AQ124" s="244">
        <f t="shared" si="46"/>
        <v>1</v>
      </c>
      <c r="AR124" s="244">
        <f t="shared" si="47"/>
        <v>1</v>
      </c>
      <c r="AS124" s="244">
        <f t="shared" si="48"/>
        <v>1</v>
      </c>
      <c r="AT124" s="244">
        <f t="shared" si="49"/>
        <v>1</v>
      </c>
      <c r="AU124" s="244">
        <f t="shared" si="50"/>
        <v>1</v>
      </c>
      <c r="AV124" s="244">
        <f t="shared" si="51"/>
        <v>1</v>
      </c>
      <c r="AW124" s="244">
        <f t="shared" si="52"/>
        <v>1</v>
      </c>
      <c r="AX124" s="244">
        <f t="shared" si="53"/>
        <v>1</v>
      </c>
      <c r="AY124" s="244">
        <f t="shared" si="54"/>
        <v>1</v>
      </c>
      <c r="AZ124" s="244">
        <f t="shared" si="55"/>
        <v>1</v>
      </c>
      <c r="BA124" s="244">
        <f t="shared" si="56"/>
        <v>1</v>
      </c>
      <c r="BB124" s="244">
        <f t="shared" si="57"/>
        <v>1</v>
      </c>
      <c r="BC124" s="244">
        <f t="shared" si="58"/>
        <v>1</v>
      </c>
      <c r="BD124" s="244">
        <f t="shared" si="59"/>
        <v>1</v>
      </c>
      <c r="BE124" s="244">
        <f t="shared" si="60"/>
        <v>1</v>
      </c>
      <c r="BF124" s="244">
        <f t="shared" si="61"/>
        <v>1</v>
      </c>
      <c r="BG124" s="244">
        <f t="shared" si="62"/>
        <v>1</v>
      </c>
    </row>
    <row r="125" spans="1:59" ht="15.75" x14ac:dyDescent="0.25">
      <c r="A125" s="415"/>
      <c r="B125" s="416" t="str">
        <f t="shared" si="32"/>
        <v/>
      </c>
      <c r="C125" s="421" t="str">
        <f>IF('תנאי סף'!AO125&lt;&gt;1,"",'תנאי סף'!F125)</f>
        <v/>
      </c>
      <c r="D125" s="418" t="str">
        <f>'מספר הרצות'!Z125</f>
        <v/>
      </c>
      <c r="E125" s="418" t="str">
        <f>'מספר מבצעים בתשלום'!Z125</f>
        <v/>
      </c>
      <c r="F125" s="418" t="str">
        <f>'מיקום ההרצות'!Z125</f>
        <v/>
      </c>
      <c r="G125" s="418" t="str">
        <f>'רמה מקצועית ואמנותית'!Z125</f>
        <v/>
      </c>
      <c r="H125" s="418" t="str">
        <f>'מיקום גיאוגרפי'!AB125</f>
        <v/>
      </c>
      <c r="I125" s="418" t="str">
        <f>תקציב!Z125</f>
        <v/>
      </c>
      <c r="J125" s="418" t="str">
        <f>'עידוד יצירה ישראלית'!Z125</f>
        <v/>
      </c>
      <c r="K125" s="418" t="str">
        <f>תיעוד!$Z125</f>
        <v/>
      </c>
      <c r="L125" s="418"/>
      <c r="M125" s="418"/>
      <c r="N125" s="418"/>
      <c r="O125" s="418"/>
      <c r="P125" s="418"/>
      <c r="Q125" s="418"/>
      <c r="R125" s="419"/>
      <c r="S125" s="419"/>
      <c r="T125" s="419"/>
      <c r="U125" s="419"/>
      <c r="V125" s="419"/>
      <c r="W125" s="419"/>
      <c r="X125" s="419"/>
      <c r="Y125" s="419"/>
      <c r="Z125" s="419"/>
      <c r="AA125" s="419"/>
      <c r="AB125" s="419"/>
      <c r="AC125" s="419"/>
      <c r="AD125" s="419" t="str">
        <f t="shared" si="33"/>
        <v/>
      </c>
      <c r="AE125" s="419" t="str">
        <f t="shared" si="34"/>
        <v/>
      </c>
      <c r="AF125" s="420" t="str">
        <f t="shared" si="35"/>
        <v/>
      </c>
      <c r="AG125" s="244">
        <f t="shared" si="36"/>
        <v>1</v>
      </c>
      <c r="AH125" s="244">
        <f t="shared" si="37"/>
        <v>1</v>
      </c>
      <c r="AI125" s="244">
        <f t="shared" si="38"/>
        <v>1</v>
      </c>
      <c r="AJ125" s="244">
        <f t="shared" si="39"/>
        <v>1</v>
      </c>
      <c r="AK125" s="244">
        <f t="shared" si="40"/>
        <v>1</v>
      </c>
      <c r="AL125" s="244">
        <f t="shared" si="41"/>
        <v>1</v>
      </c>
      <c r="AM125" s="244">
        <f t="shared" si="42"/>
        <v>1</v>
      </c>
      <c r="AN125" s="244">
        <f t="shared" si="43"/>
        <v>1</v>
      </c>
      <c r="AO125" s="244">
        <f t="shared" si="44"/>
        <v>1</v>
      </c>
      <c r="AP125" s="244">
        <f t="shared" si="45"/>
        <v>1</v>
      </c>
      <c r="AQ125" s="244">
        <f t="shared" si="46"/>
        <v>1</v>
      </c>
      <c r="AR125" s="244">
        <f t="shared" si="47"/>
        <v>1</v>
      </c>
      <c r="AS125" s="244">
        <f t="shared" si="48"/>
        <v>1</v>
      </c>
      <c r="AT125" s="244">
        <f t="shared" si="49"/>
        <v>1</v>
      </c>
      <c r="AU125" s="244">
        <f t="shared" si="50"/>
        <v>1</v>
      </c>
      <c r="AV125" s="244">
        <f t="shared" si="51"/>
        <v>1</v>
      </c>
      <c r="AW125" s="244">
        <f t="shared" si="52"/>
        <v>1</v>
      </c>
      <c r="AX125" s="244">
        <f t="shared" si="53"/>
        <v>1</v>
      </c>
      <c r="AY125" s="244">
        <f t="shared" si="54"/>
        <v>1</v>
      </c>
      <c r="AZ125" s="244">
        <f t="shared" si="55"/>
        <v>1</v>
      </c>
      <c r="BA125" s="244">
        <f t="shared" si="56"/>
        <v>1</v>
      </c>
      <c r="BB125" s="244">
        <f t="shared" si="57"/>
        <v>1</v>
      </c>
      <c r="BC125" s="244">
        <f t="shared" si="58"/>
        <v>1</v>
      </c>
      <c r="BD125" s="244">
        <f t="shared" si="59"/>
        <v>1</v>
      </c>
      <c r="BE125" s="244">
        <f t="shared" si="60"/>
        <v>1</v>
      </c>
      <c r="BF125" s="244">
        <f t="shared" si="61"/>
        <v>1</v>
      </c>
      <c r="BG125" s="244">
        <f t="shared" si="62"/>
        <v>1</v>
      </c>
    </row>
    <row r="126" spans="1:59" ht="15.75" x14ac:dyDescent="0.25">
      <c r="A126" s="415"/>
      <c r="B126" s="416" t="str">
        <f t="shared" si="32"/>
        <v/>
      </c>
      <c r="C126" s="421" t="str">
        <f>IF('תנאי סף'!AO126&lt;&gt;1,"",'תנאי סף'!F126)</f>
        <v/>
      </c>
      <c r="D126" s="418" t="str">
        <f>'מספר הרצות'!Z126</f>
        <v/>
      </c>
      <c r="E126" s="418" t="str">
        <f>'מספר מבצעים בתשלום'!Z126</f>
        <v/>
      </c>
      <c r="F126" s="418" t="str">
        <f>'מיקום ההרצות'!Z126</f>
        <v/>
      </c>
      <c r="G126" s="418" t="str">
        <f>'רמה מקצועית ואמנותית'!Z126</f>
        <v/>
      </c>
      <c r="H126" s="418" t="str">
        <f>'מיקום גיאוגרפי'!AB126</f>
        <v/>
      </c>
      <c r="I126" s="418" t="str">
        <f>תקציב!Z126</f>
        <v/>
      </c>
      <c r="J126" s="418" t="str">
        <f>'עידוד יצירה ישראלית'!Z126</f>
        <v/>
      </c>
      <c r="K126" s="418" t="str">
        <f>תיעוד!$Z126</f>
        <v/>
      </c>
      <c r="L126" s="418"/>
      <c r="M126" s="418"/>
      <c r="N126" s="418"/>
      <c r="O126" s="418"/>
      <c r="P126" s="418"/>
      <c r="Q126" s="418"/>
      <c r="R126" s="419"/>
      <c r="S126" s="419"/>
      <c r="T126" s="419"/>
      <c r="U126" s="419"/>
      <c r="V126" s="419"/>
      <c r="W126" s="419"/>
      <c r="X126" s="419"/>
      <c r="Y126" s="419"/>
      <c r="Z126" s="419"/>
      <c r="AA126" s="419"/>
      <c r="AB126" s="419"/>
      <c r="AC126" s="419"/>
      <c r="AD126" s="419" t="str">
        <f t="shared" si="33"/>
        <v/>
      </c>
      <c r="AE126" s="419" t="str">
        <f t="shared" si="34"/>
        <v/>
      </c>
      <c r="AF126" s="420" t="str">
        <f t="shared" si="35"/>
        <v/>
      </c>
      <c r="AG126" s="244">
        <f t="shared" si="36"/>
        <v>1</v>
      </c>
      <c r="AH126" s="244">
        <f t="shared" si="37"/>
        <v>1</v>
      </c>
      <c r="AI126" s="244">
        <f t="shared" si="38"/>
        <v>1</v>
      </c>
      <c r="AJ126" s="244">
        <f t="shared" si="39"/>
        <v>1</v>
      </c>
      <c r="AK126" s="244">
        <f t="shared" si="40"/>
        <v>1</v>
      </c>
      <c r="AL126" s="244">
        <f t="shared" si="41"/>
        <v>1</v>
      </c>
      <c r="AM126" s="244">
        <f t="shared" si="42"/>
        <v>1</v>
      </c>
      <c r="AN126" s="244">
        <f t="shared" si="43"/>
        <v>1</v>
      </c>
      <c r="AO126" s="244">
        <f t="shared" si="44"/>
        <v>1</v>
      </c>
      <c r="AP126" s="244">
        <f t="shared" si="45"/>
        <v>1</v>
      </c>
      <c r="AQ126" s="244">
        <f t="shared" si="46"/>
        <v>1</v>
      </c>
      <c r="AR126" s="244">
        <f t="shared" si="47"/>
        <v>1</v>
      </c>
      <c r="AS126" s="244">
        <f t="shared" si="48"/>
        <v>1</v>
      </c>
      <c r="AT126" s="244">
        <f t="shared" si="49"/>
        <v>1</v>
      </c>
      <c r="AU126" s="244">
        <f t="shared" si="50"/>
        <v>1</v>
      </c>
      <c r="AV126" s="244">
        <f t="shared" si="51"/>
        <v>1</v>
      </c>
      <c r="AW126" s="244">
        <f t="shared" si="52"/>
        <v>1</v>
      </c>
      <c r="AX126" s="244">
        <f t="shared" si="53"/>
        <v>1</v>
      </c>
      <c r="AY126" s="244">
        <f t="shared" si="54"/>
        <v>1</v>
      </c>
      <c r="AZ126" s="244">
        <f t="shared" si="55"/>
        <v>1</v>
      </c>
      <c r="BA126" s="244">
        <f t="shared" si="56"/>
        <v>1</v>
      </c>
      <c r="BB126" s="244">
        <f t="shared" si="57"/>
        <v>1</v>
      </c>
      <c r="BC126" s="244">
        <f t="shared" si="58"/>
        <v>1</v>
      </c>
      <c r="BD126" s="244">
        <f t="shared" si="59"/>
        <v>1</v>
      </c>
      <c r="BE126" s="244">
        <f t="shared" si="60"/>
        <v>1</v>
      </c>
      <c r="BF126" s="244">
        <f t="shared" si="61"/>
        <v>1</v>
      </c>
      <c r="BG126" s="244">
        <f t="shared" si="62"/>
        <v>1</v>
      </c>
    </row>
    <row r="127" spans="1:59" ht="15.75" x14ac:dyDescent="0.25">
      <c r="A127" s="415"/>
      <c r="B127" s="416" t="str">
        <f t="shared" si="32"/>
        <v/>
      </c>
      <c r="C127" s="421" t="str">
        <f>IF('תנאי סף'!AO127&lt;&gt;1,"",'תנאי סף'!F127)</f>
        <v/>
      </c>
      <c r="D127" s="418" t="str">
        <f>'מספר הרצות'!Z127</f>
        <v/>
      </c>
      <c r="E127" s="418" t="str">
        <f>'מספר מבצעים בתשלום'!Z127</f>
        <v/>
      </c>
      <c r="F127" s="418" t="str">
        <f>'מיקום ההרצות'!Z127</f>
        <v/>
      </c>
      <c r="G127" s="418" t="str">
        <f>'רמה מקצועית ואמנותית'!Z127</f>
        <v/>
      </c>
      <c r="H127" s="418" t="str">
        <f>'מיקום גיאוגרפי'!AB127</f>
        <v/>
      </c>
      <c r="I127" s="418" t="str">
        <f>תקציב!Z127</f>
        <v/>
      </c>
      <c r="J127" s="418" t="str">
        <f>'עידוד יצירה ישראלית'!Z127</f>
        <v/>
      </c>
      <c r="K127" s="418" t="str">
        <f>תיעוד!$Z127</f>
        <v/>
      </c>
      <c r="L127" s="418"/>
      <c r="M127" s="418"/>
      <c r="N127" s="418"/>
      <c r="O127" s="418"/>
      <c r="P127" s="418"/>
      <c r="Q127" s="418"/>
      <c r="R127" s="419"/>
      <c r="S127" s="419"/>
      <c r="T127" s="419"/>
      <c r="U127" s="419"/>
      <c r="V127" s="419"/>
      <c r="W127" s="419"/>
      <c r="X127" s="419"/>
      <c r="Y127" s="419"/>
      <c r="Z127" s="419"/>
      <c r="AA127" s="419"/>
      <c r="AB127" s="419"/>
      <c r="AC127" s="419"/>
      <c r="AD127" s="419" t="str">
        <f t="shared" si="33"/>
        <v/>
      </c>
      <c r="AE127" s="419" t="str">
        <f t="shared" si="34"/>
        <v/>
      </c>
      <c r="AF127" s="420" t="str">
        <f t="shared" si="35"/>
        <v/>
      </c>
      <c r="AG127" s="244">
        <f t="shared" si="36"/>
        <v>1</v>
      </c>
      <c r="AH127" s="244">
        <f t="shared" si="37"/>
        <v>1</v>
      </c>
      <c r="AI127" s="244">
        <f t="shared" si="38"/>
        <v>1</v>
      </c>
      <c r="AJ127" s="244">
        <f t="shared" si="39"/>
        <v>1</v>
      </c>
      <c r="AK127" s="244">
        <f t="shared" si="40"/>
        <v>1</v>
      </c>
      <c r="AL127" s="244">
        <f t="shared" si="41"/>
        <v>1</v>
      </c>
      <c r="AM127" s="244">
        <f t="shared" si="42"/>
        <v>1</v>
      </c>
      <c r="AN127" s="244">
        <f t="shared" si="43"/>
        <v>1</v>
      </c>
      <c r="AO127" s="244">
        <f t="shared" si="44"/>
        <v>1</v>
      </c>
      <c r="AP127" s="244">
        <f t="shared" si="45"/>
        <v>1</v>
      </c>
      <c r="AQ127" s="244">
        <f t="shared" si="46"/>
        <v>1</v>
      </c>
      <c r="AR127" s="244">
        <f t="shared" si="47"/>
        <v>1</v>
      </c>
      <c r="AS127" s="244">
        <f t="shared" si="48"/>
        <v>1</v>
      </c>
      <c r="AT127" s="244">
        <f t="shared" si="49"/>
        <v>1</v>
      </c>
      <c r="AU127" s="244">
        <f t="shared" si="50"/>
        <v>1</v>
      </c>
      <c r="AV127" s="244">
        <f t="shared" si="51"/>
        <v>1</v>
      </c>
      <c r="AW127" s="244">
        <f t="shared" si="52"/>
        <v>1</v>
      </c>
      <c r="AX127" s="244">
        <f t="shared" si="53"/>
        <v>1</v>
      </c>
      <c r="AY127" s="244">
        <f t="shared" si="54"/>
        <v>1</v>
      </c>
      <c r="AZ127" s="244">
        <f t="shared" si="55"/>
        <v>1</v>
      </c>
      <c r="BA127" s="244">
        <f t="shared" si="56"/>
        <v>1</v>
      </c>
      <c r="BB127" s="244">
        <f t="shared" si="57"/>
        <v>1</v>
      </c>
      <c r="BC127" s="244">
        <f t="shared" si="58"/>
        <v>1</v>
      </c>
      <c r="BD127" s="244">
        <f t="shared" si="59"/>
        <v>1</v>
      </c>
      <c r="BE127" s="244">
        <f t="shared" si="60"/>
        <v>1</v>
      </c>
      <c r="BF127" s="244">
        <f t="shared" si="61"/>
        <v>1</v>
      </c>
      <c r="BG127" s="244">
        <f t="shared" si="62"/>
        <v>1</v>
      </c>
    </row>
    <row r="128" spans="1:59" ht="15.75" x14ac:dyDescent="0.25">
      <c r="A128" s="415"/>
      <c r="B128" s="416" t="str">
        <f t="shared" si="32"/>
        <v/>
      </c>
      <c r="C128" s="421" t="str">
        <f>IF('תנאי סף'!AO128&lt;&gt;1,"",'תנאי סף'!F128)</f>
        <v/>
      </c>
      <c r="D128" s="418" t="str">
        <f>'מספר הרצות'!Z128</f>
        <v/>
      </c>
      <c r="E128" s="418" t="str">
        <f>'מספר מבצעים בתשלום'!Z128</f>
        <v/>
      </c>
      <c r="F128" s="418" t="str">
        <f>'מיקום ההרצות'!Z128</f>
        <v/>
      </c>
      <c r="G128" s="418" t="str">
        <f>'רמה מקצועית ואמנותית'!Z128</f>
        <v/>
      </c>
      <c r="H128" s="418" t="str">
        <f>'מיקום גיאוגרפי'!AB128</f>
        <v/>
      </c>
      <c r="I128" s="418" t="str">
        <f>תקציב!Z128</f>
        <v/>
      </c>
      <c r="J128" s="418" t="str">
        <f>'עידוד יצירה ישראלית'!Z128</f>
        <v/>
      </c>
      <c r="K128" s="418" t="str">
        <f>תיעוד!$Z128</f>
        <v/>
      </c>
      <c r="L128" s="418"/>
      <c r="M128" s="418"/>
      <c r="N128" s="418"/>
      <c r="O128" s="418"/>
      <c r="P128" s="418"/>
      <c r="Q128" s="418"/>
      <c r="R128" s="419"/>
      <c r="S128" s="419"/>
      <c r="T128" s="419"/>
      <c r="U128" s="419"/>
      <c r="V128" s="419"/>
      <c r="W128" s="419"/>
      <c r="X128" s="419"/>
      <c r="Y128" s="419"/>
      <c r="Z128" s="419"/>
      <c r="AA128" s="419"/>
      <c r="AB128" s="419"/>
      <c r="AC128" s="419"/>
      <c r="AD128" s="419" t="str">
        <f t="shared" si="33"/>
        <v/>
      </c>
      <c r="AE128" s="419" t="str">
        <f t="shared" si="34"/>
        <v/>
      </c>
      <c r="AF128" s="420" t="str">
        <f t="shared" si="35"/>
        <v/>
      </c>
      <c r="AG128" s="244">
        <f t="shared" si="36"/>
        <v>1</v>
      </c>
      <c r="AH128" s="244">
        <f t="shared" si="37"/>
        <v>1</v>
      </c>
      <c r="AI128" s="244">
        <f t="shared" si="38"/>
        <v>1</v>
      </c>
      <c r="AJ128" s="244">
        <f t="shared" si="39"/>
        <v>1</v>
      </c>
      <c r="AK128" s="244">
        <f t="shared" si="40"/>
        <v>1</v>
      </c>
      <c r="AL128" s="244">
        <f t="shared" si="41"/>
        <v>1</v>
      </c>
      <c r="AM128" s="244">
        <f t="shared" si="42"/>
        <v>1</v>
      </c>
      <c r="AN128" s="244">
        <f t="shared" si="43"/>
        <v>1</v>
      </c>
      <c r="AO128" s="244">
        <f t="shared" si="44"/>
        <v>1</v>
      </c>
      <c r="AP128" s="244">
        <f t="shared" si="45"/>
        <v>1</v>
      </c>
      <c r="AQ128" s="244">
        <f t="shared" si="46"/>
        <v>1</v>
      </c>
      <c r="AR128" s="244">
        <f t="shared" si="47"/>
        <v>1</v>
      </c>
      <c r="AS128" s="244">
        <f t="shared" si="48"/>
        <v>1</v>
      </c>
      <c r="AT128" s="244">
        <f t="shared" si="49"/>
        <v>1</v>
      </c>
      <c r="AU128" s="244">
        <f t="shared" si="50"/>
        <v>1</v>
      </c>
      <c r="AV128" s="244">
        <f t="shared" si="51"/>
        <v>1</v>
      </c>
      <c r="AW128" s="244">
        <f t="shared" si="52"/>
        <v>1</v>
      </c>
      <c r="AX128" s="244">
        <f t="shared" si="53"/>
        <v>1</v>
      </c>
      <c r="AY128" s="244">
        <f t="shared" si="54"/>
        <v>1</v>
      </c>
      <c r="AZ128" s="244">
        <f t="shared" si="55"/>
        <v>1</v>
      </c>
      <c r="BA128" s="244">
        <f t="shared" si="56"/>
        <v>1</v>
      </c>
      <c r="BB128" s="244">
        <f t="shared" si="57"/>
        <v>1</v>
      </c>
      <c r="BC128" s="244">
        <f t="shared" si="58"/>
        <v>1</v>
      </c>
      <c r="BD128" s="244">
        <f t="shared" si="59"/>
        <v>1</v>
      </c>
      <c r="BE128" s="244">
        <f t="shared" si="60"/>
        <v>1</v>
      </c>
      <c r="BF128" s="244">
        <f t="shared" si="61"/>
        <v>1</v>
      </c>
      <c r="BG128" s="244">
        <f t="shared" si="62"/>
        <v>1</v>
      </c>
    </row>
    <row r="129" spans="1:59" ht="15.75" x14ac:dyDescent="0.25">
      <c r="A129" s="415"/>
      <c r="B129" s="416" t="str">
        <f t="shared" si="32"/>
        <v/>
      </c>
      <c r="C129" s="421" t="str">
        <f>IF('תנאי סף'!AO129&lt;&gt;1,"",'תנאי סף'!F129)</f>
        <v/>
      </c>
      <c r="D129" s="418" t="str">
        <f>'מספר הרצות'!Z129</f>
        <v/>
      </c>
      <c r="E129" s="418" t="str">
        <f>'מספר מבצעים בתשלום'!Z129</f>
        <v/>
      </c>
      <c r="F129" s="418" t="str">
        <f>'מיקום ההרצות'!Z129</f>
        <v/>
      </c>
      <c r="G129" s="418" t="str">
        <f>'רמה מקצועית ואמנותית'!Z129</f>
        <v/>
      </c>
      <c r="H129" s="418" t="str">
        <f>'מיקום גיאוגרפי'!AB129</f>
        <v/>
      </c>
      <c r="I129" s="418" t="str">
        <f>תקציב!Z129</f>
        <v/>
      </c>
      <c r="J129" s="418" t="str">
        <f>'עידוד יצירה ישראלית'!Z129</f>
        <v/>
      </c>
      <c r="K129" s="418" t="str">
        <f>תיעוד!$Z129</f>
        <v/>
      </c>
      <c r="L129" s="418"/>
      <c r="M129" s="418"/>
      <c r="N129" s="418"/>
      <c r="O129" s="418"/>
      <c r="P129" s="418"/>
      <c r="Q129" s="418"/>
      <c r="R129" s="419"/>
      <c r="S129" s="419"/>
      <c r="T129" s="419"/>
      <c r="U129" s="419"/>
      <c r="V129" s="419"/>
      <c r="W129" s="419"/>
      <c r="X129" s="419"/>
      <c r="Y129" s="419"/>
      <c r="Z129" s="419"/>
      <c r="AA129" s="419"/>
      <c r="AB129" s="419"/>
      <c r="AC129" s="419"/>
      <c r="AD129" s="419" t="str">
        <f t="shared" si="33"/>
        <v/>
      </c>
      <c r="AE129" s="419" t="str">
        <f t="shared" si="34"/>
        <v/>
      </c>
      <c r="AF129" s="420" t="str">
        <f t="shared" si="35"/>
        <v/>
      </c>
      <c r="AG129" s="244">
        <f t="shared" si="36"/>
        <v>1</v>
      </c>
      <c r="AH129" s="244">
        <f t="shared" si="37"/>
        <v>1</v>
      </c>
      <c r="AI129" s="244">
        <f t="shared" si="38"/>
        <v>1</v>
      </c>
      <c r="AJ129" s="244">
        <f t="shared" si="39"/>
        <v>1</v>
      </c>
      <c r="AK129" s="244">
        <f t="shared" si="40"/>
        <v>1</v>
      </c>
      <c r="AL129" s="244">
        <f t="shared" si="41"/>
        <v>1</v>
      </c>
      <c r="AM129" s="244">
        <f t="shared" si="42"/>
        <v>1</v>
      </c>
      <c r="AN129" s="244">
        <f t="shared" si="43"/>
        <v>1</v>
      </c>
      <c r="AO129" s="244">
        <f t="shared" si="44"/>
        <v>1</v>
      </c>
      <c r="AP129" s="244">
        <f t="shared" si="45"/>
        <v>1</v>
      </c>
      <c r="AQ129" s="244">
        <f t="shared" si="46"/>
        <v>1</v>
      </c>
      <c r="AR129" s="244">
        <f t="shared" si="47"/>
        <v>1</v>
      </c>
      <c r="AS129" s="244">
        <f t="shared" si="48"/>
        <v>1</v>
      </c>
      <c r="AT129" s="244">
        <f t="shared" si="49"/>
        <v>1</v>
      </c>
      <c r="AU129" s="244">
        <f t="shared" si="50"/>
        <v>1</v>
      </c>
      <c r="AV129" s="244">
        <f t="shared" si="51"/>
        <v>1</v>
      </c>
      <c r="AW129" s="244">
        <f t="shared" si="52"/>
        <v>1</v>
      </c>
      <c r="AX129" s="244">
        <f t="shared" si="53"/>
        <v>1</v>
      </c>
      <c r="AY129" s="244">
        <f t="shared" si="54"/>
        <v>1</v>
      </c>
      <c r="AZ129" s="244">
        <f t="shared" si="55"/>
        <v>1</v>
      </c>
      <c r="BA129" s="244">
        <f t="shared" si="56"/>
        <v>1</v>
      </c>
      <c r="BB129" s="244">
        <f t="shared" si="57"/>
        <v>1</v>
      </c>
      <c r="BC129" s="244">
        <f t="shared" si="58"/>
        <v>1</v>
      </c>
      <c r="BD129" s="244">
        <f t="shared" si="59"/>
        <v>1</v>
      </c>
      <c r="BE129" s="244">
        <f t="shared" si="60"/>
        <v>1</v>
      </c>
      <c r="BF129" s="244">
        <f t="shared" si="61"/>
        <v>1</v>
      </c>
      <c r="BG129" s="244">
        <f t="shared" si="62"/>
        <v>1</v>
      </c>
    </row>
    <row r="130" spans="1:59" ht="18" customHeight="1" x14ac:dyDescent="0.25">
      <c r="A130" s="415"/>
      <c r="B130" s="416" t="str">
        <f t="shared" si="32"/>
        <v/>
      </c>
      <c r="C130" s="421" t="str">
        <f>IF('תנאי סף'!AO130&lt;&gt;1,"",'תנאי סף'!F130)</f>
        <v/>
      </c>
      <c r="D130" s="418" t="str">
        <f>'מספר הרצות'!Z130</f>
        <v/>
      </c>
      <c r="E130" s="418" t="str">
        <f>'מספר מבצעים בתשלום'!Z130</f>
        <v/>
      </c>
      <c r="F130" s="418" t="str">
        <f>'מיקום ההרצות'!Z130</f>
        <v/>
      </c>
      <c r="G130" s="418" t="str">
        <f>'רמה מקצועית ואמנותית'!Z130</f>
        <v/>
      </c>
      <c r="H130" s="418" t="str">
        <f>'מיקום גיאוגרפי'!AB130</f>
        <v/>
      </c>
      <c r="I130" s="418" t="str">
        <f>תקציב!Z130</f>
        <v/>
      </c>
      <c r="J130" s="418" t="str">
        <f>'עידוד יצירה ישראלית'!Z130</f>
        <v/>
      </c>
      <c r="K130" s="418" t="str">
        <f>תיעוד!$Z130</f>
        <v/>
      </c>
      <c r="L130" s="418"/>
      <c r="M130" s="418"/>
      <c r="N130" s="418"/>
      <c r="O130" s="418"/>
      <c r="P130" s="418"/>
      <c r="Q130" s="418"/>
      <c r="R130" s="419"/>
      <c r="S130" s="419"/>
      <c r="T130" s="419"/>
      <c r="U130" s="419"/>
      <c r="V130" s="419"/>
      <c r="W130" s="419"/>
      <c r="X130" s="419"/>
      <c r="Y130" s="419"/>
      <c r="Z130" s="419"/>
      <c r="AA130" s="419"/>
      <c r="AB130" s="419"/>
      <c r="AC130" s="419"/>
      <c r="AD130" s="419" t="str">
        <f t="shared" si="33"/>
        <v/>
      </c>
      <c r="AE130" s="419" t="str">
        <f t="shared" si="34"/>
        <v/>
      </c>
      <c r="AF130" s="420" t="str">
        <f t="shared" si="35"/>
        <v/>
      </c>
      <c r="AG130" s="244">
        <f t="shared" si="36"/>
        <v>1</v>
      </c>
      <c r="AH130" s="244">
        <f t="shared" si="37"/>
        <v>1</v>
      </c>
      <c r="AI130" s="244">
        <f t="shared" si="38"/>
        <v>1</v>
      </c>
      <c r="AJ130" s="244">
        <f t="shared" si="39"/>
        <v>1</v>
      </c>
      <c r="AK130" s="244">
        <f t="shared" si="40"/>
        <v>1</v>
      </c>
      <c r="AL130" s="244">
        <f t="shared" si="41"/>
        <v>1</v>
      </c>
      <c r="AM130" s="244">
        <f t="shared" si="42"/>
        <v>1</v>
      </c>
      <c r="AN130" s="244">
        <f t="shared" si="43"/>
        <v>1</v>
      </c>
      <c r="AO130" s="244">
        <f t="shared" si="44"/>
        <v>1</v>
      </c>
      <c r="AP130" s="244">
        <f t="shared" si="45"/>
        <v>1</v>
      </c>
      <c r="AQ130" s="244">
        <f t="shared" si="46"/>
        <v>1</v>
      </c>
      <c r="AR130" s="244">
        <f t="shared" si="47"/>
        <v>1</v>
      </c>
      <c r="AS130" s="244">
        <f t="shared" si="48"/>
        <v>1</v>
      </c>
      <c r="AT130" s="244">
        <f t="shared" si="49"/>
        <v>1</v>
      </c>
      <c r="AU130" s="244">
        <f t="shared" si="50"/>
        <v>1</v>
      </c>
      <c r="AV130" s="244">
        <f t="shared" si="51"/>
        <v>1</v>
      </c>
      <c r="AW130" s="244">
        <f t="shared" si="52"/>
        <v>1</v>
      </c>
      <c r="AX130" s="244">
        <f t="shared" si="53"/>
        <v>1</v>
      </c>
      <c r="AY130" s="244">
        <f t="shared" si="54"/>
        <v>1</v>
      </c>
      <c r="AZ130" s="244">
        <f t="shared" si="55"/>
        <v>1</v>
      </c>
      <c r="BA130" s="244">
        <f t="shared" si="56"/>
        <v>1</v>
      </c>
      <c r="BB130" s="244">
        <f t="shared" si="57"/>
        <v>1</v>
      </c>
      <c r="BC130" s="244">
        <f t="shared" si="58"/>
        <v>1</v>
      </c>
      <c r="BD130" s="244">
        <f t="shared" si="59"/>
        <v>1</v>
      </c>
      <c r="BE130" s="244">
        <f t="shared" si="60"/>
        <v>1</v>
      </c>
      <c r="BF130" s="244">
        <f t="shared" si="61"/>
        <v>1</v>
      </c>
      <c r="BG130" s="244">
        <f t="shared" si="62"/>
        <v>1</v>
      </c>
    </row>
    <row r="131" spans="1:59" ht="33.75" customHeight="1" thickBot="1" x14ac:dyDescent="0.3">
      <c r="A131" s="247"/>
      <c r="B131" s="568" t="s">
        <v>77</v>
      </c>
      <c r="C131" s="569"/>
      <c r="D131" s="81">
        <f t="shared" ref="D131:AD131" si="63">SUM(D31:D130)</f>
        <v>0.99999999999999956</v>
      </c>
      <c r="E131" s="81">
        <f t="shared" si="63"/>
        <v>1</v>
      </c>
      <c r="F131" s="81">
        <f t="shared" si="63"/>
        <v>1.0000000000000002</v>
      </c>
      <c r="G131" s="81">
        <f t="shared" si="63"/>
        <v>0.99999999999999978</v>
      </c>
      <c r="H131" s="81">
        <f t="shared" si="63"/>
        <v>1</v>
      </c>
      <c r="I131" s="81">
        <f t="shared" si="63"/>
        <v>1.0000000000000002</v>
      </c>
      <c r="J131" s="81">
        <f t="shared" si="63"/>
        <v>1</v>
      </c>
      <c r="K131" s="81">
        <f t="shared" si="63"/>
        <v>0.99999999999999944</v>
      </c>
      <c r="L131" s="81">
        <f t="shared" si="63"/>
        <v>0</v>
      </c>
      <c r="M131" s="81">
        <f t="shared" si="63"/>
        <v>0</v>
      </c>
      <c r="N131" s="81">
        <f t="shared" si="63"/>
        <v>0</v>
      </c>
      <c r="O131" s="81">
        <f t="shared" si="63"/>
        <v>0</v>
      </c>
      <c r="P131" s="81">
        <f t="shared" si="63"/>
        <v>0</v>
      </c>
      <c r="Q131" s="81">
        <f t="shared" si="63"/>
        <v>0</v>
      </c>
      <c r="R131" s="81">
        <f t="shared" si="63"/>
        <v>0</v>
      </c>
      <c r="S131" s="81">
        <f t="shared" si="63"/>
        <v>0</v>
      </c>
      <c r="T131" s="81">
        <f t="shared" si="63"/>
        <v>0</v>
      </c>
      <c r="U131" s="81">
        <f t="shared" si="63"/>
        <v>0</v>
      </c>
      <c r="V131" s="81">
        <f t="shared" si="63"/>
        <v>0</v>
      </c>
      <c r="W131" s="81">
        <f t="shared" si="63"/>
        <v>0</v>
      </c>
      <c r="X131" s="81">
        <f t="shared" si="63"/>
        <v>0</v>
      </c>
      <c r="Y131" s="81">
        <f t="shared" si="63"/>
        <v>0</v>
      </c>
      <c r="Z131" s="81">
        <f t="shared" si="63"/>
        <v>0</v>
      </c>
      <c r="AA131" s="81">
        <f t="shared" si="63"/>
        <v>0</v>
      </c>
      <c r="AB131" s="81">
        <f t="shared" si="63"/>
        <v>0</v>
      </c>
      <c r="AC131" s="81">
        <f t="shared" si="63"/>
        <v>0</v>
      </c>
      <c r="AD131" s="81">
        <f t="shared" si="63"/>
        <v>0.99999999999999967</v>
      </c>
      <c r="AE131" s="81">
        <f>SUM(AE31:AE130)</f>
        <v>1.0000000000000002</v>
      </c>
      <c r="AF131" s="122">
        <f>SUM(AF31:AF130)</f>
        <v>3076367.0000000019</v>
      </c>
    </row>
  </sheetData>
  <sheetProtection algorithmName="SHA-512" hashValue="qeLvmjdFknlVNUCn1icMzNETsAWFlxYGlbPxEAIBIp5uX5csoXHcdK2JjnY8q6h1ddXbj7NErryd7CPPZT4WNg==" saltValue="wGY2iZEAdNNxH4MPcV91Mg==" spinCount="100000" sheet="1" scenarios="1" formatCells="0" formatColumns="0" formatRows="0" autoFilter="0"/>
  <mergeCells count="4">
    <mergeCell ref="B28:AF28"/>
    <mergeCell ref="B29:B30"/>
    <mergeCell ref="C29:C30"/>
    <mergeCell ref="B131:C131"/>
  </mergeCells>
  <conditionalFormatting sqref="B31:AD31 K31:Q130 AF31:AF131 D32:AD131 D131:AF131 B32:C130">
    <cfRule type="containsBlanks" dxfId="98" priority="6">
      <formula>LEN(TRIM(B31))=0</formula>
    </cfRule>
  </conditionalFormatting>
  <conditionalFormatting sqref="D31:AF131">
    <cfRule type="cellIs" dxfId="97" priority="2" operator="equal">
      <formula>$AH$1</formula>
    </cfRule>
  </conditionalFormatting>
  <conditionalFormatting sqref="AE31:AE130">
    <cfRule type="containsBlanks" dxfId="96" priority="4">
      <formula>LEN(TRIM(AE31))=0</formula>
    </cfRule>
  </conditionalFormatting>
  <conditionalFormatting sqref="AF1:AF2">
    <cfRule type="containsBlanks" dxfId="95" priority="1">
      <formula>LEN(TRIM(AF1))=0</formula>
    </cfRule>
  </conditionalFormatting>
  <printOptions horizontalCentered="1"/>
  <pageMargins left="0.51181102362204722" right="0.51181102362204722" top="0.39370078740157483" bottom="0.39370078740157483" header="0.15748031496062992" footer="0.15748031496062992"/>
  <pageSetup paperSize="9" scale="26" orientation="landscape" r:id="rId1"/>
  <headerFooter>
    <oddHeader>&amp;C&amp;Uמבחנים לתמיכה של משרד התרבות והספורט</oddHeader>
    <oddFooter>&amp;Lא. חפץ ושות'
יעוץ כלכלי&amp;C&amp;P</oddFooter>
  </headerFooter>
  <colBreaks count="1" manualBreakCount="1">
    <brk id="32" max="3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tabColor theme="2" tint="-0.499984740745262"/>
  </sheetPr>
  <dimension ref="A1:H55"/>
  <sheetViews>
    <sheetView rightToLeft="1" view="pageBreakPreview" topLeftCell="B1" zoomScale="85" zoomScaleNormal="70" zoomScaleSheetLayoutView="85" workbookViewId="0">
      <selection activeCell="B1" sqref="B1"/>
    </sheetView>
  </sheetViews>
  <sheetFormatPr defaultColWidth="9" defaultRowHeight="12.75" x14ac:dyDescent="0.2"/>
  <cols>
    <col min="1" max="1" width="2.5703125" style="248" hidden="1" customWidth="1"/>
    <col min="2" max="2" width="20.85546875" style="248" customWidth="1"/>
    <col min="3" max="3" width="30" style="248" bestFit="1" customWidth="1"/>
    <col min="4" max="4" width="15.28515625" style="248" bestFit="1" customWidth="1"/>
    <col min="5" max="5" width="24.28515625" style="248" customWidth="1"/>
    <col min="6" max="6" width="16.28515625" style="248" customWidth="1"/>
    <col min="7" max="7" width="12.42578125" style="248" customWidth="1"/>
    <col min="8" max="8" width="19.42578125" style="248" customWidth="1"/>
    <col min="9" max="9" width="9.140625" style="248" customWidth="1"/>
    <col min="10" max="11" width="18.140625" style="248" customWidth="1"/>
    <col min="12" max="12" width="5.28515625" style="248" customWidth="1"/>
    <col min="13" max="13" width="11.140625" style="248" customWidth="1"/>
    <col min="14" max="14" width="11.42578125" style="248" customWidth="1"/>
    <col min="15" max="15" width="13.7109375" style="248" customWidth="1"/>
    <col min="16" max="16" width="13.28515625" style="248" customWidth="1"/>
    <col min="17" max="16384" width="9" style="248"/>
  </cols>
  <sheetData>
    <row r="1" spans="2:6" ht="18.75" x14ac:dyDescent="0.2">
      <c r="B1" s="249" t="s">
        <v>108</v>
      </c>
      <c r="C1" s="1">
        <f>'פרמטרים לקריטריונים'!C4</f>
        <v>2025</v>
      </c>
    </row>
    <row r="2" spans="2:6" ht="19.5" thickBot="1" x14ac:dyDescent="0.25">
      <c r="B2" s="250" t="s">
        <v>15</v>
      </c>
      <c r="C2" s="2">
        <f>'פרמטרים לקריטריונים'!C5</f>
        <v>3076367</v>
      </c>
    </row>
    <row r="3" spans="2:6" ht="37.5" hidden="1" customHeight="1" x14ac:dyDescent="0.2"/>
    <row r="4" spans="2:6" ht="16.5" thickBot="1" x14ac:dyDescent="0.25">
      <c r="B4" s="97"/>
      <c r="C4" s="97"/>
    </row>
    <row r="5" spans="2:6" ht="18.75" hidden="1" customHeight="1" x14ac:dyDescent="0.2">
      <c r="B5" s="97"/>
      <c r="C5" s="97"/>
    </row>
    <row r="6" spans="2:6" ht="16.5" hidden="1" customHeight="1" x14ac:dyDescent="0.2">
      <c r="B6" s="97"/>
      <c r="C6" s="97"/>
    </row>
    <row r="7" spans="2:6" ht="16.5" hidden="1" customHeight="1" thickBot="1" x14ac:dyDescent="0.25">
      <c r="B7" s="97"/>
      <c r="C7" s="97"/>
    </row>
    <row r="8" spans="2:6" ht="18.75" customHeight="1" thickBot="1" x14ac:dyDescent="0.25">
      <c r="B8" s="575" t="s">
        <v>222</v>
      </c>
      <c r="C8" s="581"/>
      <c r="D8" s="581"/>
      <c r="E8" s="581"/>
      <c r="F8" s="576"/>
    </row>
    <row r="9" spans="2:6" ht="16.5" customHeight="1" thickBot="1" x14ac:dyDescent="0.25">
      <c r="B9" s="582" t="s">
        <v>223</v>
      </c>
      <c r="C9" s="583"/>
      <c r="D9" s="584"/>
      <c r="E9" s="582" t="s">
        <v>224</v>
      </c>
      <c r="F9" s="584"/>
    </row>
    <row r="10" spans="2:6" ht="32.25" thickBot="1" x14ac:dyDescent="0.25">
      <c r="B10" s="101" t="s">
        <v>225</v>
      </c>
      <c r="C10" s="101" t="s">
        <v>226</v>
      </c>
      <c r="D10" s="101" t="s">
        <v>227</v>
      </c>
      <c r="E10" s="102" t="s">
        <v>228</v>
      </c>
      <c r="F10" s="103" t="s">
        <v>229</v>
      </c>
    </row>
    <row r="11" spans="2:6" ht="16.5" thickBot="1" x14ac:dyDescent="0.25">
      <c r="B11" s="104" t="s">
        <v>230</v>
      </c>
      <c r="C11" s="105">
        <v>0.5</v>
      </c>
      <c r="D11" s="106">
        <v>1</v>
      </c>
      <c r="E11" s="107">
        <v>2</v>
      </c>
      <c r="F11" s="108">
        <v>1</v>
      </c>
    </row>
    <row r="12" spans="2:6" ht="16.5" thickBot="1" x14ac:dyDescent="0.25">
      <c r="B12" s="109" t="s">
        <v>231</v>
      </c>
      <c r="C12" s="110">
        <v>0.85</v>
      </c>
      <c r="D12" s="111">
        <v>0</v>
      </c>
    </row>
    <row r="14" spans="2:6" ht="15.75" hidden="1" x14ac:dyDescent="0.2">
      <c r="B14" s="97"/>
      <c r="C14" s="97"/>
    </row>
    <row r="15" spans="2:6" ht="15.75" hidden="1" x14ac:dyDescent="0.2">
      <c r="B15" s="97"/>
      <c r="C15" s="97"/>
    </row>
    <row r="16" spans="2:6" ht="15.75" hidden="1" x14ac:dyDescent="0.2">
      <c r="B16" s="97"/>
      <c r="C16" s="97"/>
    </row>
    <row r="17" spans="2:4" ht="13.5" thickBot="1" x14ac:dyDescent="0.25"/>
    <row r="18" spans="2:4" ht="18.75" customHeight="1" thickBot="1" x14ac:dyDescent="0.25">
      <c r="B18" s="575" t="s">
        <v>232</v>
      </c>
      <c r="C18" s="576"/>
    </row>
    <row r="19" spans="2:4" ht="19.5" customHeight="1" thickBot="1" x14ac:dyDescent="0.25">
      <c r="B19" s="582" t="s">
        <v>233</v>
      </c>
      <c r="C19" s="584"/>
    </row>
    <row r="20" spans="2:4" ht="16.5" thickBot="1" x14ac:dyDescent="0.25">
      <c r="B20" s="112" t="s">
        <v>74</v>
      </c>
      <c r="C20" s="113" t="s">
        <v>234</v>
      </c>
      <c r="D20" s="251"/>
    </row>
    <row r="21" spans="2:4" ht="31.5" x14ac:dyDescent="0.2">
      <c r="B21" s="114" t="s">
        <v>235</v>
      </c>
      <c r="C21" s="115">
        <v>0.2</v>
      </c>
      <c r="D21" s="251"/>
    </row>
    <row r="22" spans="2:4" ht="54.75" customHeight="1" thickBot="1" x14ac:dyDescent="0.25">
      <c r="B22" s="109" t="s">
        <v>236</v>
      </c>
      <c r="C22" s="90">
        <v>0.8</v>
      </c>
      <c r="D22" s="251"/>
    </row>
    <row r="23" spans="2:4" x14ac:dyDescent="0.2">
      <c r="D23" s="251"/>
    </row>
    <row r="24" spans="2:4" hidden="1" x14ac:dyDescent="0.2">
      <c r="D24" s="251"/>
    </row>
    <row r="25" spans="2:4" ht="13.5" thickBot="1" x14ac:dyDescent="0.25">
      <c r="D25" s="251"/>
    </row>
    <row r="26" spans="2:4" ht="18.75" hidden="1" customHeight="1" thickBot="1" x14ac:dyDescent="0.25">
      <c r="B26" s="575" t="s">
        <v>237</v>
      </c>
      <c r="C26" s="576"/>
      <c r="D26" s="251"/>
    </row>
    <row r="27" spans="2:4" ht="16.5" hidden="1" thickBot="1" x14ac:dyDescent="0.25">
      <c r="B27" s="579" t="s">
        <v>238</v>
      </c>
      <c r="C27" s="580"/>
      <c r="D27" s="251"/>
    </row>
    <row r="28" spans="2:4" hidden="1" x14ac:dyDescent="0.2">
      <c r="D28" s="251"/>
    </row>
    <row r="29" spans="2:4" hidden="1" x14ac:dyDescent="0.2">
      <c r="D29" s="251"/>
    </row>
    <row r="30" spans="2:4" hidden="1" x14ac:dyDescent="0.2">
      <c r="D30" s="251"/>
    </row>
    <row r="31" spans="2:4" ht="16.5" hidden="1" customHeight="1" x14ac:dyDescent="0.2"/>
    <row r="32" spans="2:4" hidden="1" x14ac:dyDescent="0.2">
      <c r="D32" s="251"/>
    </row>
    <row r="33" spans="1:8" ht="22.5" hidden="1" customHeight="1" thickBot="1" x14ac:dyDescent="0.3">
      <c r="B33" s="575" t="s">
        <v>239</v>
      </c>
      <c r="C33" s="581"/>
      <c r="D33" s="576"/>
      <c r="E33" s="570" t="s">
        <v>240</v>
      </c>
      <c r="F33" s="571"/>
      <c r="G33" s="571"/>
      <c r="H33" s="572"/>
    </row>
    <row r="34" spans="1:8" ht="16.5" hidden="1" customHeight="1" thickBot="1" x14ac:dyDescent="0.25">
      <c r="B34" s="582" t="s">
        <v>241</v>
      </c>
      <c r="C34" s="583"/>
      <c r="D34" s="584"/>
      <c r="E34" s="161" t="s">
        <v>74</v>
      </c>
      <c r="F34" s="162" t="s">
        <v>242</v>
      </c>
      <c r="G34" s="573" t="s">
        <v>158</v>
      </c>
      <c r="H34" s="574"/>
    </row>
    <row r="35" spans="1:8" ht="16.5" hidden="1" customHeight="1" thickBot="1" x14ac:dyDescent="0.25">
      <c r="B35" s="116" t="s">
        <v>74</v>
      </c>
    </row>
    <row r="36" spans="1:8" ht="30.75" hidden="1" customHeight="1" x14ac:dyDescent="0.2">
      <c r="B36" s="104" t="s">
        <v>243</v>
      </c>
    </row>
    <row r="37" spans="1:8" ht="31.5" hidden="1" x14ac:dyDescent="0.2">
      <c r="B37" s="117" t="s">
        <v>244</v>
      </c>
    </row>
    <row r="38" spans="1:8" ht="16.5" hidden="1" thickBot="1" x14ac:dyDescent="0.25">
      <c r="B38" s="109" t="s">
        <v>245</v>
      </c>
    </row>
    <row r="39" spans="1:8" hidden="1" x14ac:dyDescent="0.2"/>
    <row r="40" spans="1:8" ht="16.5" hidden="1" customHeight="1" thickBot="1" x14ac:dyDescent="0.25"/>
    <row r="41" spans="1:8" ht="19.5" customHeight="1" thickBot="1" x14ac:dyDescent="0.25">
      <c r="B41" s="575" t="s">
        <v>246</v>
      </c>
      <c r="C41" s="576"/>
    </row>
    <row r="42" spans="1:8" ht="16.5" thickBot="1" x14ac:dyDescent="0.25">
      <c r="B42" s="577" t="s">
        <v>247</v>
      </c>
      <c r="C42" s="578"/>
    </row>
    <row r="43" spans="1:8" ht="78.75" x14ac:dyDescent="0.2">
      <c r="B43" s="118" t="s">
        <v>248</v>
      </c>
      <c r="C43" s="89">
        <v>0.3</v>
      </c>
    </row>
    <row r="44" spans="1:8" ht="33" customHeight="1" thickBot="1" x14ac:dyDescent="0.25">
      <c r="B44" s="119" t="s">
        <v>249</v>
      </c>
      <c r="C44" s="90">
        <v>0.02</v>
      </c>
    </row>
    <row r="45" spans="1:8" ht="15.75" x14ac:dyDescent="0.25">
      <c r="A45" s="193"/>
      <c r="B45" s="193"/>
      <c r="C45" s="193"/>
      <c r="D45" s="193"/>
      <c r="E45" s="193"/>
      <c r="F45" s="193"/>
      <c r="G45" s="193"/>
      <c r="H45" s="193"/>
    </row>
    <row r="46" spans="1:8" hidden="1" x14ac:dyDescent="0.2"/>
    <row r="47" spans="1:8" hidden="1" x14ac:dyDescent="0.2"/>
    <row r="48" spans="1:8" hidden="1" x14ac:dyDescent="0.2"/>
    <row r="49" spans="2:3" ht="32.25" hidden="1" thickBot="1" x14ac:dyDescent="0.25">
      <c r="B49" s="252" t="s">
        <v>250</v>
      </c>
      <c r="C49" s="163"/>
    </row>
    <row r="50" spans="2:3" hidden="1" x14ac:dyDescent="0.2"/>
    <row r="51" spans="2:3" hidden="1" x14ac:dyDescent="0.2"/>
    <row r="52" spans="2:3" ht="13.5" hidden="1" thickBot="1" x14ac:dyDescent="0.25"/>
    <row r="53" spans="2:3" ht="48" hidden="1" thickBot="1" x14ac:dyDescent="0.25">
      <c r="B53" s="252" t="s">
        <v>251</v>
      </c>
      <c r="C53" s="163"/>
    </row>
    <row r="54" spans="2:3" ht="13.5" thickBot="1" x14ac:dyDescent="0.25"/>
    <row r="55" spans="2:3" ht="91.5" customHeight="1" thickBot="1" x14ac:dyDescent="0.25">
      <c r="B55" s="252" t="s">
        <v>252</v>
      </c>
      <c r="C55" s="166">
        <f>INDEX('הוראת שעה'!$D$6:$D$20,MATCH($C$1,'הוראת שעה'!$A$6:$A$20,1))</f>
        <v>25000</v>
      </c>
    </row>
  </sheetData>
  <sheetProtection algorithmName="SHA-512" hashValue="cnoLAegdv0rRMm6R8YfAzuZGiK7Ofzv3u8KuRjXQIQ36Knkoyuj09mxZ5LJR8yyVGtfpskQ3iWFpSFw1YVaIHQ==" saltValue="R7QTpr8kD7SQtRqzIxBmZg==" spinCount="100000" sheet="1" scenarios="1" formatCells="0" formatColumns="0" formatRows="0" autoFilter="0"/>
  <mergeCells count="13">
    <mergeCell ref="B26:C26"/>
    <mergeCell ref="B8:F8"/>
    <mergeCell ref="B9:D9"/>
    <mergeCell ref="E9:F9"/>
    <mergeCell ref="B18:C18"/>
    <mergeCell ref="B19:C19"/>
    <mergeCell ref="E33:H33"/>
    <mergeCell ref="G34:H34"/>
    <mergeCell ref="B41:C41"/>
    <mergeCell ref="B42:C42"/>
    <mergeCell ref="B27:C27"/>
    <mergeCell ref="B33:D33"/>
    <mergeCell ref="B34:D34"/>
  </mergeCells>
  <conditionalFormatting sqref="B36:B38">
    <cfRule type="containsBlanks" dxfId="94" priority="13">
      <formula>LEN(TRIM(B36))=0</formula>
    </cfRule>
  </conditionalFormatting>
  <conditionalFormatting sqref="B4:C7 B14:C16">
    <cfRule type="containsBlanks" dxfId="93" priority="20">
      <formula>LEN(TRIM(B4))=0</formula>
    </cfRule>
  </conditionalFormatting>
  <conditionalFormatting sqref="B21:C22">
    <cfRule type="containsBlanks" dxfId="92" priority="9">
      <formula>LEN(TRIM(B21))=0</formula>
    </cfRule>
  </conditionalFormatting>
  <conditionalFormatting sqref="B11:D12">
    <cfRule type="containsBlanks" dxfId="91" priority="11">
      <formula>LEN(TRIM(B11))=0</formula>
    </cfRule>
  </conditionalFormatting>
  <conditionalFormatting sqref="C1:C2">
    <cfRule type="containsBlanks" dxfId="90" priority="4">
      <formula>LEN(TRIM(C1))=0</formula>
    </cfRule>
  </conditionalFormatting>
  <conditionalFormatting sqref="C43:C44">
    <cfRule type="containsBlanks" dxfId="89" priority="6">
      <formula>LEN(TRIM(C43))=0</formula>
    </cfRule>
  </conditionalFormatting>
  <conditionalFormatting sqref="C49">
    <cfRule type="containsBlanks" dxfId="88" priority="5">
      <formula>LEN(TRIM(C49))=0</formula>
    </cfRule>
  </conditionalFormatting>
  <conditionalFormatting sqref="C53">
    <cfRule type="containsBlanks" dxfId="87" priority="2">
      <formula>LEN(TRIM(C53))=0</formula>
    </cfRule>
  </conditionalFormatting>
  <conditionalFormatting sqref="C55">
    <cfRule type="containsBlanks" dxfId="86" priority="1">
      <formula>LEN(TRIM(C55))=0</formula>
    </cfRule>
  </conditionalFormatting>
  <conditionalFormatting sqref="E11:F11">
    <cfRule type="containsBlanks" dxfId="85" priority="10">
      <formula>LEN(TRIM(E11))=0</formula>
    </cfRule>
  </conditionalFormatting>
  <printOptions horizontalCentered="1"/>
  <pageMargins left="0.51181102362204722" right="0.51181102362204722" top="0.74803149606299213" bottom="0.74803149606299213" header="0.31496062992125984" footer="0.31496062992125984"/>
  <pageSetup paperSize="9" scale="69"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tabColor theme="4" tint="-0.249977111117893"/>
  </sheetPr>
  <dimension ref="A1:GR134"/>
  <sheetViews>
    <sheetView rightToLeft="1" view="pageBreakPreview" topLeftCell="B1" zoomScaleNormal="100" zoomScaleSheetLayoutView="100" workbookViewId="0">
      <selection activeCell="B1" sqref="B1"/>
    </sheetView>
  </sheetViews>
  <sheetFormatPr defaultColWidth="9" defaultRowHeight="15.75" x14ac:dyDescent="0.25"/>
  <cols>
    <col min="1" max="1" width="4" style="193" hidden="1" customWidth="1"/>
    <col min="2" max="2" width="7.42578125" style="193" bestFit="1" customWidth="1"/>
    <col min="3" max="3" width="32" style="193" customWidth="1"/>
    <col min="4" max="4" width="31.28515625" style="193" customWidth="1"/>
    <col min="5" max="5" width="28.42578125" style="193" customWidth="1"/>
    <col min="6" max="6" width="21" style="193" customWidth="1"/>
    <col min="7" max="7" width="16.42578125" style="193" customWidth="1"/>
    <col min="8" max="8" width="19.5703125" style="193" customWidth="1"/>
    <col min="9" max="9" width="5.5703125" style="193" hidden="1" customWidth="1"/>
    <col min="10" max="22" width="3.5703125" style="193" hidden="1" customWidth="1"/>
    <col min="23" max="23" width="0.85546875" style="193" hidden="1" customWidth="1"/>
    <col min="24" max="24" width="1.28515625" style="193" hidden="1" customWidth="1"/>
    <col min="25" max="25" width="19.28515625" style="193" customWidth="1"/>
    <col min="26" max="26" width="19.85546875" style="193" customWidth="1"/>
    <col min="27" max="27" width="4.42578125" style="193" hidden="1" customWidth="1"/>
    <col min="28" max="28" width="2" style="193" hidden="1" customWidth="1"/>
    <col min="29" max="29" width="9" style="193" hidden="1" customWidth="1"/>
    <col min="30" max="30" width="8" style="193" hidden="1" customWidth="1"/>
    <col min="31" max="31" width="10.140625" style="193" hidden="1" customWidth="1"/>
    <col min="32" max="32" width="6.42578125" style="193" hidden="1" customWidth="1"/>
    <col min="33" max="35" width="8" style="193" hidden="1" customWidth="1"/>
    <col min="36" max="200" width="9" style="193" hidden="1" customWidth="1"/>
    <col min="201" max="16384" width="9" style="193"/>
  </cols>
  <sheetData>
    <row r="1" spans="2:35" ht="18" customHeight="1" x14ac:dyDescent="0.25">
      <c r="B1" s="249" t="str">
        <f>'פרמטרים לעקרונות חישוב התמיכה'!$B$1</f>
        <v>שנה</v>
      </c>
      <c r="C1" s="1">
        <f>'פרמטרים לעקרונות חישוב התמיכה'!$C$1</f>
        <v>2025</v>
      </c>
      <c r="D1" s="589" t="str">
        <f>IF(E131&lt;=E6,""," סך התמיכה בשנה קודמת חורגת מתקציב שנה קודמת, בדוק נתוני הזנה")</f>
        <v/>
      </c>
      <c r="E1" s="590"/>
      <c r="F1" s="590"/>
      <c r="G1" s="590"/>
      <c r="H1" s="590"/>
      <c r="I1" s="590"/>
      <c r="J1" s="590"/>
      <c r="K1" s="590"/>
      <c r="L1" s="590"/>
      <c r="M1" s="590"/>
      <c r="N1" s="590"/>
      <c r="O1" s="590"/>
      <c r="P1" s="590"/>
      <c r="Q1" s="590"/>
      <c r="R1" s="590"/>
      <c r="S1" s="590"/>
      <c r="T1" s="590"/>
      <c r="U1" s="590"/>
      <c r="V1" s="590"/>
      <c r="W1" s="590"/>
      <c r="X1" s="590"/>
      <c r="Y1" s="590"/>
      <c r="Z1" s="590"/>
      <c r="AA1" s="187"/>
      <c r="AB1" s="187"/>
      <c r="AC1" s="187"/>
      <c r="AD1" s="187"/>
      <c r="AE1" s="187"/>
      <c r="AF1" s="187"/>
      <c r="AG1" s="187"/>
      <c r="AH1" s="187" t="s">
        <v>115</v>
      </c>
    </row>
    <row r="2" spans="2:35" ht="40.5" customHeight="1" thickBot="1" x14ac:dyDescent="0.3">
      <c r="B2" s="256" t="str">
        <f>'פרמטרים לעקרונות חישוב התמיכה'!$B$2</f>
        <v>תקציב</v>
      </c>
      <c r="C2" s="2">
        <f>'פרמטרים לעקרונות חישוב התמיכה'!$C$2</f>
        <v>3076367</v>
      </c>
      <c r="D2" s="591"/>
      <c r="E2" s="590"/>
      <c r="F2" s="590"/>
      <c r="G2" s="590"/>
      <c r="H2" s="590"/>
      <c r="I2" s="590"/>
      <c r="J2" s="590"/>
      <c r="K2" s="590"/>
      <c r="L2" s="590"/>
      <c r="M2" s="590"/>
      <c r="N2" s="590"/>
      <c r="O2" s="590"/>
      <c r="P2" s="590"/>
      <c r="Q2" s="590"/>
      <c r="R2" s="590"/>
      <c r="S2" s="590"/>
      <c r="T2" s="590"/>
      <c r="U2" s="590"/>
      <c r="V2" s="590"/>
      <c r="W2" s="590"/>
      <c r="X2" s="590"/>
      <c r="Y2" s="590"/>
      <c r="Z2" s="590"/>
      <c r="AA2" s="187"/>
      <c r="AB2" s="187"/>
      <c r="AC2" s="187"/>
      <c r="AD2" s="187"/>
      <c r="AE2" s="187"/>
      <c r="AF2" s="187"/>
      <c r="AG2" s="187"/>
      <c r="AH2" s="187"/>
      <c r="AI2" s="187"/>
    </row>
    <row r="3" spans="2:35" ht="13.5" customHeight="1" x14ac:dyDescent="0.25">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row>
    <row r="4" spans="2:35" x14ac:dyDescent="0.25">
      <c r="B4" s="187"/>
      <c r="C4" s="187"/>
      <c r="D4" s="187"/>
      <c r="E4" s="422" t="str">
        <f>"סך התקציב בשנת "&amp;C1-1</f>
        <v>סך התקציב בשנת 2024</v>
      </c>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row>
    <row r="5" spans="2:35" ht="16.5" thickBot="1" x14ac:dyDescent="0.3">
      <c r="B5" s="187"/>
      <c r="C5" s="187"/>
      <c r="D5" s="187"/>
      <c r="E5" s="255" t="s">
        <v>120</v>
      </c>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row>
    <row r="6" spans="2:35" x14ac:dyDescent="0.25">
      <c r="B6" s="187"/>
      <c r="C6" s="187"/>
      <c r="D6" s="187"/>
      <c r="E6" s="423">
        <v>3037775</v>
      </c>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row>
    <row r="7" spans="2:35" ht="16.5" thickBot="1" x14ac:dyDescent="0.3">
      <c r="B7" s="187"/>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row>
    <row r="8" spans="2:35" hidden="1" x14ac:dyDescent="0.25">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row>
    <row r="9" spans="2:35" hidden="1" x14ac:dyDescent="0.25">
      <c r="B9" s="187"/>
      <c r="C9" s="187"/>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row>
    <row r="10" spans="2:35" hidden="1" x14ac:dyDescent="0.25">
      <c r="B10" s="187"/>
      <c r="C10" s="187"/>
      <c r="D10" s="187"/>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row>
    <row r="11" spans="2:35" hidden="1" x14ac:dyDescent="0.25">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row>
    <row r="12" spans="2:35" hidden="1" x14ac:dyDescent="0.25">
      <c r="B12" s="187"/>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row>
    <row r="13" spans="2:35" hidden="1" x14ac:dyDescent="0.25">
      <c r="B13" s="187"/>
      <c r="C13" s="187"/>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row>
    <row r="14" spans="2:35" hidden="1" x14ac:dyDescent="0.25">
      <c r="B14" s="187"/>
      <c r="C14" s="187"/>
      <c r="D14" s="187"/>
      <c r="E14" s="187"/>
      <c r="F14" s="187"/>
      <c r="G14" s="187"/>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87"/>
      <c r="AG14" s="187"/>
      <c r="AH14" s="187"/>
      <c r="AI14" s="187"/>
    </row>
    <row r="15" spans="2:35" hidden="1" x14ac:dyDescent="0.25">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row>
    <row r="16" spans="2:35" hidden="1" x14ac:dyDescent="0.25">
      <c r="B16" s="187"/>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c r="AH16" s="187"/>
      <c r="AI16" s="187"/>
    </row>
    <row r="17" spans="2:35" hidden="1" x14ac:dyDescent="0.25">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row>
    <row r="18" spans="2:35" hidden="1" x14ac:dyDescent="0.25">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row>
    <row r="19" spans="2:35" hidden="1" x14ac:dyDescent="0.25">
      <c r="B19" s="187"/>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row>
    <row r="20" spans="2:35" hidden="1" x14ac:dyDescent="0.25">
      <c r="B20" s="187"/>
      <c r="C20" s="187"/>
      <c r="D20" s="187"/>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row>
    <row r="21" spans="2:35" hidden="1" x14ac:dyDescent="0.25">
      <c r="B21" s="187"/>
      <c r="C21" s="187"/>
      <c r="D21" s="187"/>
      <c r="E21" s="187"/>
      <c r="F21" s="187"/>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c r="AG21" s="187"/>
      <c r="AH21" s="187"/>
      <c r="AI21" s="187"/>
    </row>
    <row r="22" spans="2:35" hidden="1" x14ac:dyDescent="0.25">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row>
    <row r="23" spans="2:35" hidden="1" x14ac:dyDescent="0.25">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row>
    <row r="24" spans="2:35" hidden="1" x14ac:dyDescent="0.25">
      <c r="B24" s="187"/>
      <c r="C24" s="187"/>
      <c r="D24" s="187"/>
      <c r="E24" s="187"/>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row>
    <row r="25" spans="2:35" hidden="1" x14ac:dyDescent="0.25">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row>
    <row r="26" spans="2:35" hidden="1" x14ac:dyDescent="0.25">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c r="AI26" s="187"/>
    </row>
    <row r="27" spans="2:35" ht="16.5" hidden="1" thickBot="1" x14ac:dyDescent="0.3">
      <c r="B27" s="187"/>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row>
    <row r="28" spans="2:35" ht="19.5" thickBot="1" x14ac:dyDescent="0.35">
      <c r="B28" s="555" t="s">
        <v>253</v>
      </c>
      <c r="C28" s="556"/>
      <c r="D28" s="556"/>
      <c r="E28" s="556"/>
      <c r="F28" s="556"/>
      <c r="G28" s="556"/>
      <c r="H28" s="556"/>
      <c r="I28" s="556"/>
      <c r="J28" s="556"/>
      <c r="K28" s="556"/>
      <c r="L28" s="556"/>
      <c r="M28" s="556"/>
      <c r="N28" s="556"/>
      <c r="O28" s="556"/>
      <c r="P28" s="556"/>
      <c r="Q28" s="556"/>
      <c r="R28" s="556"/>
      <c r="S28" s="556"/>
      <c r="T28" s="556"/>
      <c r="U28" s="556"/>
      <c r="V28" s="556"/>
      <c r="W28" s="556"/>
      <c r="X28" s="556"/>
      <c r="Y28" s="556"/>
      <c r="Z28" s="556"/>
      <c r="AA28" s="187"/>
      <c r="AB28" s="187"/>
      <c r="AC28" s="187"/>
      <c r="AD28" s="187"/>
      <c r="AE28" s="187"/>
      <c r="AF28" s="187"/>
      <c r="AG28" s="187"/>
      <c r="AH28" s="187"/>
      <c r="AI28" s="186">
        <f>IF(AND(SUM(AI31:AI130)=COUNT(AI31:AI130),$E$131&lt;=$E$6),1,0)</f>
        <v>1</v>
      </c>
    </row>
    <row r="29" spans="2:35" ht="74.25" customHeight="1" x14ac:dyDescent="0.25">
      <c r="B29" s="592" t="s">
        <v>219</v>
      </c>
      <c r="C29" s="594" t="s">
        <v>133</v>
      </c>
      <c r="D29" s="594" t="s">
        <v>254</v>
      </c>
      <c r="E29" s="493" t="str">
        <f>"סכום תמיכה בשנת "&amp;C1-1</f>
        <v>סכום תמיכה בשנת 2024</v>
      </c>
      <c r="F29" s="253" t="s">
        <v>255</v>
      </c>
      <c r="G29" s="594" t="s">
        <v>256</v>
      </c>
      <c r="H29" s="594" t="s">
        <v>257</v>
      </c>
      <c r="I29" s="257"/>
      <c r="J29" s="257"/>
      <c r="K29" s="257"/>
      <c r="L29" s="257"/>
      <c r="M29" s="257"/>
      <c r="N29" s="257"/>
      <c r="O29" s="257"/>
      <c r="P29" s="257"/>
      <c r="Q29" s="257"/>
      <c r="R29" s="257"/>
      <c r="S29" s="257"/>
      <c r="T29" s="257"/>
      <c r="U29" s="257"/>
      <c r="V29" s="257"/>
      <c r="W29" s="257"/>
      <c r="X29" s="257"/>
      <c r="Y29" s="594" t="s">
        <v>258</v>
      </c>
      <c r="Z29" s="596" t="s">
        <v>259</v>
      </c>
      <c r="AA29" s="187"/>
      <c r="AB29" s="187"/>
      <c r="AC29" s="187"/>
      <c r="AD29" s="187"/>
      <c r="AE29" s="187"/>
      <c r="AF29" s="585" t="s">
        <v>260</v>
      </c>
      <c r="AG29" s="585" t="s">
        <v>261</v>
      </c>
      <c r="AH29" s="190" t="s">
        <v>262</v>
      </c>
      <c r="AI29" s="187"/>
    </row>
    <row r="30" spans="2:35" ht="16.5" customHeight="1" thickBot="1" x14ac:dyDescent="0.3">
      <c r="B30" s="593"/>
      <c r="C30" s="595"/>
      <c r="D30" s="595"/>
      <c r="E30" s="494" t="s">
        <v>120</v>
      </c>
      <c r="F30" s="255" t="s">
        <v>117</v>
      </c>
      <c r="G30" s="595"/>
      <c r="H30" s="595"/>
      <c r="I30" s="258"/>
      <c r="J30" s="258"/>
      <c r="K30" s="258"/>
      <c r="L30" s="258"/>
      <c r="M30" s="258"/>
      <c r="N30" s="258"/>
      <c r="O30" s="258"/>
      <c r="P30" s="258"/>
      <c r="Q30" s="258"/>
      <c r="R30" s="258"/>
      <c r="S30" s="258"/>
      <c r="T30" s="258"/>
      <c r="U30" s="258"/>
      <c r="V30" s="258"/>
      <c r="W30" s="258"/>
      <c r="X30" s="258"/>
      <c r="Y30" s="595"/>
      <c r="Z30" s="597"/>
      <c r="AA30" s="187"/>
      <c r="AB30" s="187"/>
      <c r="AC30" s="187"/>
      <c r="AD30" s="186">
        <v>0</v>
      </c>
      <c r="AE30" s="186">
        <v>1</v>
      </c>
      <c r="AF30" s="586"/>
      <c r="AG30" s="586"/>
      <c r="AH30" s="190"/>
      <c r="AI30" s="186" t="s">
        <v>263</v>
      </c>
    </row>
    <row r="31" spans="2:35" ht="31.5" customHeight="1" x14ac:dyDescent="0.25">
      <c r="B31" s="98">
        <f>IF(C31="","",ROW()-30)</f>
        <v>1</v>
      </c>
      <c r="C31" s="241" t="str">
        <f>IF('תנאי סף'!AO31&lt;&gt;1,"",'תנאי סף'!F31)</f>
        <v>אנסמבל פרץ אליהו</v>
      </c>
      <c r="D31" s="344">
        <f>'התחשיב הבסיסי'!AE31</f>
        <v>3.7596571050770765E-2</v>
      </c>
      <c r="E31" s="492">
        <f>IF(C31="","",'סיכום לועדה- הזנת נתונים'!O31)</f>
        <v>90000</v>
      </c>
      <c r="F31" s="360">
        <v>0</v>
      </c>
      <c r="G31" s="183">
        <f>IF(C31="","",IFERROR(E31/$E$6,$AH$1))</f>
        <v>2.9626947354560493E-2</v>
      </c>
      <c r="H31" s="184">
        <f t="shared" ref="H31:H62" si="0">IF(C31="","",IF(AI31&lt;&gt;1,$AH$1,IF(F31=1,D31,AVERAGE($G31,$D31))))</f>
        <v>3.3611759202665625E-2</v>
      </c>
      <c r="I31" s="178"/>
      <c r="J31" s="179"/>
      <c r="K31" s="179"/>
      <c r="L31" s="179"/>
      <c r="M31" s="179"/>
      <c r="N31" s="179"/>
      <c r="O31" s="179"/>
      <c r="P31" s="179"/>
      <c r="Q31" s="179"/>
      <c r="R31" s="179"/>
      <c r="S31" s="179"/>
      <c r="T31" s="179"/>
      <c r="U31" s="179"/>
      <c r="V31" s="179"/>
      <c r="W31" s="179"/>
      <c r="X31" s="179"/>
      <c r="Y31" s="345">
        <f t="shared" ref="Y31:Y62" si="1">IF(C31="","",IF($AI$28&lt;&gt;1,$AH$1,H31/$H$131*100%))</f>
        <v>3.4287693138951809E-2</v>
      </c>
      <c r="Z31" s="180">
        <f>IF(C31="","",IF(AND($AI$28&lt;&gt;1),$AH$1,Y31*$C$2))</f>
        <v>105481.52767879776</v>
      </c>
      <c r="AA31" s="187"/>
      <c r="AB31" s="187"/>
      <c r="AC31" s="187"/>
      <c r="AD31" s="186">
        <f>IF($C31="","",AD$30)</f>
        <v>0</v>
      </c>
      <c r="AE31" s="186">
        <f>IF($C31="","",AE$30)</f>
        <v>1</v>
      </c>
      <c r="AF31" s="187">
        <f t="shared" ref="AF31:AF62" si="2">IF(D31=$AH$1,0,1)</f>
        <v>1</v>
      </c>
      <c r="AG31" s="187">
        <f>IF(E31="",0,IFERROR(IF(E31&gt;=0,1,0),0))</f>
        <v>1</v>
      </c>
      <c r="AH31" s="187"/>
      <c r="AI31" s="187">
        <f>IF($C31="",1,IFERROR(IF(SUM(AF31:AG31)=COUNT(AF31:AG31),1,0),0))</f>
        <v>1</v>
      </c>
    </row>
    <row r="32" spans="2:35" ht="31.5" customHeight="1" x14ac:dyDescent="0.25">
      <c r="B32" s="98" t="str">
        <f t="shared" ref="B32:B95" si="3">IF(C32="","",ROW()-30)</f>
        <v/>
      </c>
      <c r="C32" s="99" t="str">
        <f>IF('תנאי סף'!AO32&lt;&gt;1,"",'תנאי סף'!F32)</f>
        <v/>
      </c>
      <c r="D32" s="344" t="str">
        <f>'התחשיב הבסיסי'!AE32</f>
        <v/>
      </c>
      <c r="E32" s="492" t="str">
        <f>IF(C32="","",'סיכום לועדה- הזנת נתונים'!O32)</f>
        <v/>
      </c>
      <c r="F32" s="360"/>
      <c r="G32" s="424" t="str">
        <f>IF(C32="","",IFERROR(E32/$E$6,$AH$1))</f>
        <v/>
      </c>
      <c r="H32" s="184" t="str">
        <f t="shared" si="0"/>
        <v/>
      </c>
      <c r="I32" s="425"/>
      <c r="J32" s="179"/>
      <c r="K32" s="179"/>
      <c r="L32" s="179"/>
      <c r="M32" s="179"/>
      <c r="N32" s="179"/>
      <c r="O32" s="179"/>
      <c r="P32" s="179"/>
      <c r="Q32" s="179"/>
      <c r="R32" s="179"/>
      <c r="S32" s="179"/>
      <c r="T32" s="179"/>
      <c r="U32" s="179"/>
      <c r="V32" s="179"/>
      <c r="W32" s="179"/>
      <c r="X32" s="179"/>
      <c r="Y32" s="345" t="str">
        <f t="shared" si="1"/>
        <v/>
      </c>
      <c r="Z32" s="181" t="str">
        <f t="shared" ref="Z32:Z62" si="4">IF(C32="","",IF(AND($AI$28&lt;&gt;1),$AH$1,Y32*$C$2))</f>
        <v/>
      </c>
      <c r="AA32" s="187"/>
      <c r="AB32" s="187"/>
      <c r="AC32" s="187"/>
      <c r="AD32" s="186" t="str">
        <f t="shared" ref="AD32:AE63" si="5">IF($C32="","",AD$30)</f>
        <v/>
      </c>
      <c r="AE32" s="186" t="str">
        <f t="shared" si="5"/>
        <v/>
      </c>
      <c r="AF32" s="187">
        <f t="shared" si="2"/>
        <v>1</v>
      </c>
      <c r="AG32" s="187">
        <f t="shared" ref="AG32:AG95" si="6">IF(E32="",0,IFERROR(IF(E32&gt;=0,1,0),0))</f>
        <v>0</v>
      </c>
      <c r="AH32" s="186"/>
      <c r="AI32" s="187">
        <f t="shared" ref="AI32:AI95" si="7">IF($C32="",1,IFERROR(IF(SUM(AF32:AG32)=COUNT(AF32:AG32),1,0),0))</f>
        <v>1</v>
      </c>
    </row>
    <row r="33" spans="2:35" ht="31.5" customHeight="1" x14ac:dyDescent="0.25">
      <c r="B33" s="98" t="str">
        <f t="shared" si="3"/>
        <v/>
      </c>
      <c r="C33" s="99" t="str">
        <f>IF('תנאי סף'!AO33&lt;&gt;1,"",'תנאי סף'!F33)</f>
        <v/>
      </c>
      <c r="D33" s="344" t="str">
        <f>'התחשיב הבסיסי'!AE33</f>
        <v/>
      </c>
      <c r="E33" s="492" t="str">
        <f>IF(C33="","",'סיכום לועדה- הזנת נתונים'!O33)</f>
        <v/>
      </c>
      <c r="F33" s="360"/>
      <c r="G33" s="424" t="str">
        <f t="shared" ref="G33:G96" si="8">IF(C33="","",IFERROR(E33/$E$6,$AH$1))</f>
        <v/>
      </c>
      <c r="H33" s="184" t="str">
        <f t="shared" si="0"/>
        <v/>
      </c>
      <c r="I33" s="425"/>
      <c r="J33" s="179"/>
      <c r="K33" s="179"/>
      <c r="L33" s="179"/>
      <c r="M33" s="179"/>
      <c r="N33" s="179"/>
      <c r="O33" s="179"/>
      <c r="P33" s="179"/>
      <c r="Q33" s="179"/>
      <c r="R33" s="179"/>
      <c r="S33" s="179"/>
      <c r="T33" s="179"/>
      <c r="U33" s="179"/>
      <c r="V33" s="179"/>
      <c r="W33" s="179"/>
      <c r="X33" s="179"/>
      <c r="Y33" s="345" t="str">
        <f t="shared" si="1"/>
        <v/>
      </c>
      <c r="Z33" s="181" t="str">
        <f t="shared" si="4"/>
        <v/>
      </c>
      <c r="AA33" s="187"/>
      <c r="AB33" s="187"/>
      <c r="AC33" s="187"/>
      <c r="AD33" s="186" t="str">
        <f t="shared" si="5"/>
        <v/>
      </c>
      <c r="AE33" s="186" t="str">
        <f t="shared" si="5"/>
        <v/>
      </c>
      <c r="AF33" s="187">
        <f t="shared" si="2"/>
        <v>1</v>
      </c>
      <c r="AG33" s="187">
        <f t="shared" si="6"/>
        <v>0</v>
      </c>
      <c r="AH33" s="186"/>
      <c r="AI33" s="187">
        <f t="shared" si="7"/>
        <v>1</v>
      </c>
    </row>
    <row r="34" spans="2:35" ht="31.5" customHeight="1" x14ac:dyDescent="0.25">
      <c r="B34" s="98">
        <f t="shared" si="3"/>
        <v>4</v>
      </c>
      <c r="C34" s="99" t="str">
        <f>IF('תנאי סף'!AO34&lt;&gt;1,"",'תנאי סף'!F34)</f>
        <v>יניב ד'אור - אנסמבל נאיה</v>
      </c>
      <c r="D34" s="344">
        <f>'התחשיב הבסיסי'!AE34</f>
        <v>2.2705653272580308E-2</v>
      </c>
      <c r="E34" s="492">
        <f>IF(C34="","",'סיכום לועדה- הזנת נתונים'!O34)</f>
        <v>65368</v>
      </c>
      <c r="F34" s="360">
        <v>0</v>
      </c>
      <c r="G34" s="424">
        <f t="shared" si="8"/>
        <v>2.1518381051921224E-2</v>
      </c>
      <c r="H34" s="184">
        <f t="shared" si="0"/>
        <v>2.2112017162250766E-2</v>
      </c>
      <c r="I34" s="425"/>
      <c r="J34" s="179"/>
      <c r="K34" s="179"/>
      <c r="L34" s="179"/>
      <c r="M34" s="179"/>
      <c r="N34" s="179"/>
      <c r="O34" s="179"/>
      <c r="P34" s="179"/>
      <c r="Q34" s="179"/>
      <c r="R34" s="179"/>
      <c r="S34" s="179"/>
      <c r="T34" s="179"/>
      <c r="U34" s="179"/>
      <c r="V34" s="179"/>
      <c r="W34" s="179"/>
      <c r="X34" s="179"/>
      <c r="Y34" s="345">
        <f t="shared" si="1"/>
        <v>2.2556690787025591E-2</v>
      </c>
      <c r="Z34" s="181">
        <f t="shared" si="4"/>
        <v>69392.659166409561</v>
      </c>
      <c r="AA34" s="187"/>
      <c r="AB34" s="187"/>
      <c r="AC34" s="187"/>
      <c r="AD34" s="186">
        <f t="shared" si="5"/>
        <v>0</v>
      </c>
      <c r="AE34" s="186">
        <f t="shared" si="5"/>
        <v>1</v>
      </c>
      <c r="AF34" s="187">
        <f t="shared" si="2"/>
        <v>1</v>
      </c>
      <c r="AG34" s="187">
        <f t="shared" si="6"/>
        <v>1</v>
      </c>
      <c r="AH34" s="186"/>
      <c r="AI34" s="187">
        <f t="shared" si="7"/>
        <v>1</v>
      </c>
    </row>
    <row r="35" spans="2:35" ht="31.5" customHeight="1" x14ac:dyDescent="0.25">
      <c r="B35" s="98" t="str">
        <f t="shared" si="3"/>
        <v/>
      </c>
      <c r="C35" s="99" t="str">
        <f>IF('תנאי סף'!AO35&lt;&gt;1,"",'תנאי סף'!F35)</f>
        <v/>
      </c>
      <c r="D35" s="344" t="str">
        <f>'התחשיב הבסיסי'!AE35</f>
        <v/>
      </c>
      <c r="E35" s="492" t="str">
        <f>IF(C35="","",'סיכום לועדה- הזנת נתונים'!O35)</f>
        <v/>
      </c>
      <c r="F35" s="360"/>
      <c r="G35" s="424" t="str">
        <f t="shared" si="8"/>
        <v/>
      </c>
      <c r="H35" s="184" t="str">
        <f t="shared" si="0"/>
        <v/>
      </c>
      <c r="I35" s="425"/>
      <c r="J35" s="179"/>
      <c r="K35" s="179"/>
      <c r="L35" s="179"/>
      <c r="M35" s="179"/>
      <c r="N35" s="179"/>
      <c r="O35" s="179"/>
      <c r="P35" s="179"/>
      <c r="Q35" s="179"/>
      <c r="R35" s="179"/>
      <c r="S35" s="179"/>
      <c r="T35" s="179"/>
      <c r="U35" s="179"/>
      <c r="V35" s="179"/>
      <c r="W35" s="179"/>
      <c r="X35" s="179"/>
      <c r="Y35" s="345" t="str">
        <f t="shared" si="1"/>
        <v/>
      </c>
      <c r="Z35" s="181" t="str">
        <f t="shared" si="4"/>
        <v/>
      </c>
      <c r="AA35" s="187"/>
      <c r="AB35" s="187"/>
      <c r="AC35" s="187"/>
      <c r="AD35" s="186" t="str">
        <f t="shared" si="5"/>
        <v/>
      </c>
      <c r="AE35" s="186" t="str">
        <f t="shared" si="5"/>
        <v/>
      </c>
      <c r="AF35" s="187">
        <f t="shared" si="2"/>
        <v>1</v>
      </c>
      <c r="AG35" s="187">
        <f t="shared" si="6"/>
        <v>0</v>
      </c>
      <c r="AH35" s="186"/>
      <c r="AI35" s="187">
        <f t="shared" si="7"/>
        <v>1</v>
      </c>
    </row>
    <row r="36" spans="2:35" ht="31.5" customHeight="1" x14ac:dyDescent="0.25">
      <c r="B36" s="98">
        <f t="shared" si="3"/>
        <v>6</v>
      </c>
      <c r="C36" s="99" t="str">
        <f>IF('תנאי סף'!AO36&lt;&gt;1,"",'תנאי סף'!F36)</f>
        <v>הפרויקט הקאמרי הישראלי</v>
      </c>
      <c r="D36" s="344">
        <f>'התחשיב הבסיסי'!AE36</f>
        <v>2.3758207969482498E-2</v>
      </c>
      <c r="E36" s="492">
        <f>IF(C36="","",'סיכום לועדה- הזנת נתונים'!O36)</f>
        <v>87848</v>
      </c>
      <c r="F36" s="360">
        <v>0</v>
      </c>
      <c r="G36" s="424">
        <f t="shared" si="8"/>
        <v>2.8918534124482555E-2</v>
      </c>
      <c r="H36" s="184">
        <f t="shared" si="0"/>
        <v>2.6338371046982528E-2</v>
      </c>
      <c r="I36" s="425"/>
      <c r="J36" s="179"/>
      <c r="K36" s="179"/>
      <c r="L36" s="179"/>
      <c r="M36" s="179"/>
      <c r="N36" s="179"/>
      <c r="O36" s="179"/>
      <c r="P36" s="179"/>
      <c r="Q36" s="179"/>
      <c r="R36" s="179"/>
      <c r="S36" s="179"/>
      <c r="T36" s="179"/>
      <c r="U36" s="179"/>
      <c r="V36" s="179"/>
      <c r="W36" s="179"/>
      <c r="X36" s="179"/>
      <c r="Y36" s="345">
        <f t="shared" si="1"/>
        <v>2.6868036831799322E-2</v>
      </c>
      <c r="Z36" s="181">
        <f t="shared" si="4"/>
        <v>82655.941864131979</v>
      </c>
      <c r="AA36" s="187"/>
      <c r="AB36" s="187"/>
      <c r="AC36" s="187"/>
      <c r="AD36" s="186">
        <f t="shared" si="5"/>
        <v>0</v>
      </c>
      <c r="AE36" s="186">
        <f t="shared" si="5"/>
        <v>1</v>
      </c>
      <c r="AF36" s="187">
        <f t="shared" si="2"/>
        <v>1</v>
      </c>
      <c r="AG36" s="187">
        <f t="shared" si="6"/>
        <v>1</v>
      </c>
      <c r="AH36" s="186"/>
      <c r="AI36" s="187">
        <f t="shared" si="7"/>
        <v>1</v>
      </c>
    </row>
    <row r="37" spans="2:35" ht="31.5" customHeight="1" x14ac:dyDescent="0.25">
      <c r="B37" s="98">
        <f t="shared" si="3"/>
        <v>7</v>
      </c>
      <c r="C37" s="99" t="str">
        <f>IF('תנאי סף'!AO37&lt;&gt;1,"",'תנאי סף'!F37)</f>
        <v>מארש דונדורמה</v>
      </c>
      <c r="D37" s="344">
        <f>'התחשיב הבסיסי'!AE37</f>
        <v>4.5022465131486576E-2</v>
      </c>
      <c r="E37" s="492">
        <f>IF(C37="","",'סיכום לועדה- הזנת נתונים'!O37)</f>
        <v>130000</v>
      </c>
      <c r="F37" s="360">
        <v>0</v>
      </c>
      <c r="G37" s="424">
        <f t="shared" si="8"/>
        <v>4.2794479512142936E-2</v>
      </c>
      <c r="H37" s="184">
        <f t="shared" si="0"/>
        <v>4.3908472321814759E-2</v>
      </c>
      <c r="I37" s="425"/>
      <c r="J37" s="179"/>
      <c r="K37" s="179"/>
      <c r="L37" s="179"/>
      <c r="M37" s="179"/>
      <c r="N37" s="179"/>
      <c r="O37" s="179"/>
      <c r="P37" s="179"/>
      <c r="Q37" s="179"/>
      <c r="R37" s="179"/>
      <c r="S37" s="179"/>
      <c r="T37" s="179"/>
      <c r="U37" s="179"/>
      <c r="V37" s="179"/>
      <c r="W37" s="179"/>
      <c r="X37" s="179"/>
      <c r="Y37" s="345">
        <f t="shared" si="1"/>
        <v>4.4791473605795266E-2</v>
      </c>
      <c r="Z37" s="181">
        <f t="shared" si="4"/>
        <v>137795.01128223957</v>
      </c>
      <c r="AA37" s="187"/>
      <c r="AB37" s="187"/>
      <c r="AC37" s="187"/>
      <c r="AD37" s="186">
        <f t="shared" si="5"/>
        <v>0</v>
      </c>
      <c r="AE37" s="186">
        <f t="shared" si="5"/>
        <v>1</v>
      </c>
      <c r="AF37" s="187">
        <f t="shared" si="2"/>
        <v>1</v>
      </c>
      <c r="AG37" s="187">
        <f t="shared" si="6"/>
        <v>1</v>
      </c>
      <c r="AH37" s="186"/>
      <c r="AI37" s="187">
        <f t="shared" si="7"/>
        <v>1</v>
      </c>
    </row>
    <row r="38" spans="2:35" ht="31.5" customHeight="1" x14ac:dyDescent="0.25">
      <c r="B38" s="98">
        <f t="shared" si="3"/>
        <v>8</v>
      </c>
      <c r="C38" s="99" t="str">
        <f>IF('תנאי סף'!AO38&lt;&gt;1,"",'תנאי סף'!F38)</f>
        <v>להקת מורין נהדר</v>
      </c>
      <c r="D38" s="344">
        <f>'התחשיב הבסיסי'!AE38</f>
        <v>7.5986883511043176E-3</v>
      </c>
      <c r="E38" s="492">
        <f>IF(C38="","",'סיכום לועדה- הזנת נתונים'!O38)</f>
        <v>38495</v>
      </c>
      <c r="F38" s="360">
        <v>0</v>
      </c>
      <c r="G38" s="424">
        <f t="shared" si="8"/>
        <v>1.2672103760153403E-2</v>
      </c>
      <c r="H38" s="184">
        <f t="shared" si="0"/>
        <v>1.0135396055628861E-2</v>
      </c>
      <c r="I38" s="425"/>
      <c r="J38" s="179"/>
      <c r="K38" s="179"/>
      <c r="L38" s="179"/>
      <c r="M38" s="179"/>
      <c r="N38" s="179"/>
      <c r="O38" s="179"/>
      <c r="P38" s="179"/>
      <c r="Q38" s="179"/>
      <c r="R38" s="179"/>
      <c r="S38" s="179"/>
      <c r="T38" s="179"/>
      <c r="U38" s="179"/>
      <c r="V38" s="179"/>
      <c r="W38" s="179"/>
      <c r="X38" s="179"/>
      <c r="Y38" s="345">
        <f t="shared" si="1"/>
        <v>1.033921931017477E-2</v>
      </c>
      <c r="Z38" s="181">
        <f t="shared" si="4"/>
        <v>31807.233091584425</v>
      </c>
      <c r="AA38" s="187"/>
      <c r="AB38" s="187"/>
      <c r="AC38" s="187"/>
      <c r="AD38" s="186">
        <f t="shared" si="5"/>
        <v>0</v>
      </c>
      <c r="AE38" s="186">
        <f t="shared" si="5"/>
        <v>1</v>
      </c>
      <c r="AF38" s="187">
        <f t="shared" si="2"/>
        <v>1</v>
      </c>
      <c r="AG38" s="187">
        <f t="shared" si="6"/>
        <v>1</v>
      </c>
      <c r="AH38" s="186"/>
      <c r="AI38" s="187">
        <f t="shared" si="7"/>
        <v>1</v>
      </c>
    </row>
    <row r="39" spans="2:35" ht="31.5" customHeight="1" x14ac:dyDescent="0.25">
      <c r="B39" s="98" t="str">
        <f t="shared" si="3"/>
        <v/>
      </c>
      <c r="C39" s="99" t="str">
        <f>IF('תנאי סף'!AO39&lt;&gt;1,"",'תנאי סף'!F39)</f>
        <v/>
      </c>
      <c r="D39" s="344" t="str">
        <f>'התחשיב הבסיסי'!AE39</f>
        <v/>
      </c>
      <c r="E39" s="492" t="str">
        <f>IF(C39="","",'סיכום לועדה- הזנת נתונים'!O39)</f>
        <v/>
      </c>
      <c r="F39" s="360"/>
      <c r="G39" s="424" t="str">
        <f t="shared" si="8"/>
        <v/>
      </c>
      <c r="H39" s="184" t="str">
        <f t="shared" si="0"/>
        <v/>
      </c>
      <c r="I39" s="425"/>
      <c r="J39" s="179"/>
      <c r="K39" s="179"/>
      <c r="L39" s="179"/>
      <c r="M39" s="179"/>
      <c r="N39" s="179"/>
      <c r="O39" s="179"/>
      <c r="P39" s="179"/>
      <c r="Q39" s="179"/>
      <c r="R39" s="179"/>
      <c r="S39" s="179"/>
      <c r="T39" s="179"/>
      <c r="U39" s="179"/>
      <c r="V39" s="179"/>
      <c r="W39" s="179"/>
      <c r="X39" s="179"/>
      <c r="Y39" s="345" t="str">
        <f t="shared" si="1"/>
        <v/>
      </c>
      <c r="Z39" s="181" t="str">
        <f t="shared" si="4"/>
        <v/>
      </c>
      <c r="AA39" s="187"/>
      <c r="AB39" s="187"/>
      <c r="AC39" s="187"/>
      <c r="AD39" s="186" t="str">
        <f t="shared" si="5"/>
        <v/>
      </c>
      <c r="AE39" s="186" t="str">
        <f t="shared" si="5"/>
        <v/>
      </c>
      <c r="AF39" s="187">
        <f t="shared" si="2"/>
        <v>1</v>
      </c>
      <c r="AG39" s="187">
        <f t="shared" si="6"/>
        <v>0</v>
      </c>
      <c r="AH39" s="186"/>
      <c r="AI39" s="187">
        <f t="shared" si="7"/>
        <v>1</v>
      </c>
    </row>
    <row r="40" spans="2:35" ht="31.5" customHeight="1" x14ac:dyDescent="0.25">
      <c r="B40" s="98">
        <f t="shared" si="3"/>
        <v>10</v>
      </c>
      <c r="C40" s="99" t="str">
        <f>IF('תנאי סף'!AO40&lt;&gt;1,"",'תנאי סף'!F40)</f>
        <v>אנסמבל גלעד אפרת</v>
      </c>
      <c r="D40" s="344">
        <f>'התחשיב הבסיסי'!AE40</f>
        <v>2.3283793339155388E-2</v>
      </c>
      <c r="E40" s="492">
        <f>IF(C40="","",'סיכום לועדה- הזנת נתונים'!O40)</f>
        <v>53364</v>
      </c>
      <c r="F40" s="360">
        <v>0</v>
      </c>
      <c r="G40" s="424">
        <f t="shared" si="8"/>
        <v>1.7566804651430734E-2</v>
      </c>
      <c r="H40" s="184">
        <f t="shared" si="0"/>
        <v>2.0425298995293061E-2</v>
      </c>
      <c r="I40" s="425"/>
      <c r="J40" s="179"/>
      <c r="K40" s="179"/>
      <c r="L40" s="179"/>
      <c r="M40" s="179"/>
      <c r="N40" s="179"/>
      <c r="O40" s="179"/>
      <c r="P40" s="179"/>
      <c r="Q40" s="179"/>
      <c r="R40" s="179"/>
      <c r="S40" s="179"/>
      <c r="T40" s="179"/>
      <c r="U40" s="179"/>
      <c r="V40" s="179"/>
      <c r="W40" s="179"/>
      <c r="X40" s="179"/>
      <c r="Y40" s="345">
        <f t="shared" si="1"/>
        <v>2.0836052644528293E-2</v>
      </c>
      <c r="Z40" s="181">
        <f t="shared" si="4"/>
        <v>64099.344765889567</v>
      </c>
      <c r="AA40" s="187"/>
      <c r="AB40" s="187"/>
      <c r="AC40" s="187"/>
      <c r="AD40" s="186">
        <f t="shared" si="5"/>
        <v>0</v>
      </c>
      <c r="AE40" s="186">
        <f t="shared" si="5"/>
        <v>1</v>
      </c>
      <c r="AF40" s="187">
        <f t="shared" si="2"/>
        <v>1</v>
      </c>
      <c r="AG40" s="187">
        <f t="shared" si="6"/>
        <v>1</v>
      </c>
      <c r="AH40" s="186"/>
      <c r="AI40" s="187">
        <f t="shared" si="7"/>
        <v>1</v>
      </c>
    </row>
    <row r="41" spans="2:35" ht="31.5" customHeight="1" x14ac:dyDescent="0.25">
      <c r="B41" s="98">
        <f t="shared" si="3"/>
        <v>11</v>
      </c>
      <c r="C41" s="99" t="str">
        <f>IF('תנאי סף'!AO41&lt;&gt;1,"",'תנאי סף'!F41)</f>
        <v>רביעיית כרמל</v>
      </c>
      <c r="D41" s="344">
        <f>'התחשיב הבסיסי'!AE41</f>
        <v>4.4213011832538583E-2</v>
      </c>
      <c r="E41" s="492">
        <f>IF(C41="","",'סיכום לועדה- הזנת נתונים'!O41)</f>
        <v>119821</v>
      </c>
      <c r="F41" s="360">
        <v>0</v>
      </c>
      <c r="G41" s="424">
        <f t="shared" si="8"/>
        <v>3.9443671766342142E-2</v>
      </c>
      <c r="H41" s="184">
        <f t="shared" si="0"/>
        <v>4.1828341799440366E-2</v>
      </c>
      <c r="I41" s="425"/>
      <c r="J41" s="179"/>
      <c r="K41" s="179"/>
      <c r="L41" s="179"/>
      <c r="M41" s="179"/>
      <c r="N41" s="179"/>
      <c r="O41" s="179"/>
      <c r="P41" s="179"/>
      <c r="Q41" s="179"/>
      <c r="R41" s="179"/>
      <c r="S41" s="179"/>
      <c r="T41" s="179"/>
      <c r="U41" s="179"/>
      <c r="V41" s="179"/>
      <c r="W41" s="179"/>
      <c r="X41" s="179"/>
      <c r="Y41" s="345">
        <f t="shared" si="1"/>
        <v>4.2669511568340097E-2</v>
      </c>
      <c r="Z41" s="181">
        <f t="shared" si="4"/>
        <v>131267.07729495972</v>
      </c>
      <c r="AA41" s="187"/>
      <c r="AB41" s="187"/>
      <c r="AC41" s="187"/>
      <c r="AD41" s="186">
        <f t="shared" si="5"/>
        <v>0</v>
      </c>
      <c r="AE41" s="186">
        <f t="shared" si="5"/>
        <v>1</v>
      </c>
      <c r="AF41" s="187">
        <f t="shared" si="2"/>
        <v>1</v>
      </c>
      <c r="AG41" s="187">
        <f t="shared" si="6"/>
        <v>1</v>
      </c>
      <c r="AH41" s="186"/>
      <c r="AI41" s="187">
        <f t="shared" si="7"/>
        <v>1</v>
      </c>
    </row>
    <row r="42" spans="2:35" ht="31.5" customHeight="1" x14ac:dyDescent="0.25">
      <c r="B42" s="98">
        <f t="shared" si="3"/>
        <v>12</v>
      </c>
      <c r="C42" s="99" t="str">
        <f>IF('תנאי סף'!AO42&lt;&gt;1,"",'תנאי סף'!F42)</f>
        <v>שורולה</v>
      </c>
      <c r="D42" s="344">
        <f>'התחשיב הבסיסי'!AE42</f>
        <v>1.2811853929951426E-2</v>
      </c>
      <c r="E42" s="492">
        <f>IF(C42="","",'סיכום לועדה- הזנת נתונים'!O42)</f>
        <v>35739</v>
      </c>
      <c r="F42" s="360">
        <v>0</v>
      </c>
      <c r="G42" s="424">
        <f t="shared" si="8"/>
        <v>1.1764860794495971E-2</v>
      </c>
      <c r="H42" s="184">
        <f t="shared" si="0"/>
        <v>1.2288357362223699E-2</v>
      </c>
      <c r="I42" s="425"/>
      <c r="J42" s="179"/>
      <c r="K42" s="179"/>
      <c r="L42" s="179"/>
      <c r="M42" s="179"/>
      <c r="N42" s="179"/>
      <c r="O42" s="179"/>
      <c r="P42" s="179"/>
      <c r="Q42" s="179"/>
      <c r="R42" s="179"/>
      <c r="S42" s="179"/>
      <c r="T42" s="179"/>
      <c r="U42" s="179"/>
      <c r="V42" s="179"/>
      <c r="W42" s="179"/>
      <c r="X42" s="179"/>
      <c r="Y42" s="345">
        <f t="shared" si="1"/>
        <v>1.2535476762081844E-2</v>
      </c>
      <c r="Z42" s="181">
        <f t="shared" si="4"/>
        <v>38563.72704013544</v>
      </c>
      <c r="AA42" s="187"/>
      <c r="AB42" s="187"/>
      <c r="AC42" s="187"/>
      <c r="AD42" s="186">
        <f t="shared" si="5"/>
        <v>0</v>
      </c>
      <c r="AE42" s="186">
        <f t="shared" si="5"/>
        <v>1</v>
      </c>
      <c r="AF42" s="187">
        <f t="shared" si="2"/>
        <v>1</v>
      </c>
      <c r="AG42" s="187">
        <f t="shared" si="6"/>
        <v>1</v>
      </c>
      <c r="AH42" s="186"/>
      <c r="AI42" s="187">
        <f t="shared" si="7"/>
        <v>1</v>
      </c>
    </row>
    <row r="43" spans="2:35" ht="31.5" customHeight="1" x14ac:dyDescent="0.25">
      <c r="B43" s="98" t="str">
        <f t="shared" si="3"/>
        <v/>
      </c>
      <c r="C43" s="99" t="str">
        <f>IF('תנאי סף'!AO43&lt;&gt;1,"",'תנאי סף'!F43)</f>
        <v/>
      </c>
      <c r="D43" s="344" t="str">
        <f>'התחשיב הבסיסי'!AE43</f>
        <v/>
      </c>
      <c r="E43" s="492" t="str">
        <f>IF(C43="","",'סיכום לועדה- הזנת נתונים'!O43)</f>
        <v/>
      </c>
      <c r="F43" s="360"/>
      <c r="G43" s="424" t="str">
        <f t="shared" si="8"/>
        <v/>
      </c>
      <c r="H43" s="184" t="str">
        <f t="shared" si="0"/>
        <v/>
      </c>
      <c r="I43" s="425"/>
      <c r="J43" s="179"/>
      <c r="K43" s="179"/>
      <c r="L43" s="179"/>
      <c r="M43" s="179"/>
      <c r="N43" s="179"/>
      <c r="O43" s="179"/>
      <c r="P43" s="179"/>
      <c r="Q43" s="179"/>
      <c r="R43" s="179"/>
      <c r="S43" s="179"/>
      <c r="T43" s="179"/>
      <c r="U43" s="179"/>
      <c r="V43" s="179"/>
      <c r="W43" s="179"/>
      <c r="X43" s="179"/>
      <c r="Y43" s="345" t="str">
        <f t="shared" si="1"/>
        <v/>
      </c>
      <c r="Z43" s="181" t="str">
        <f t="shared" si="4"/>
        <v/>
      </c>
      <c r="AA43" s="187"/>
      <c r="AB43" s="187"/>
      <c r="AC43" s="187"/>
      <c r="AD43" s="186" t="str">
        <f t="shared" si="5"/>
        <v/>
      </c>
      <c r="AE43" s="186" t="str">
        <f t="shared" si="5"/>
        <v/>
      </c>
      <c r="AF43" s="187">
        <f t="shared" si="2"/>
        <v>1</v>
      </c>
      <c r="AG43" s="187">
        <f t="shared" si="6"/>
        <v>0</v>
      </c>
      <c r="AH43" s="186"/>
      <c r="AI43" s="187">
        <f t="shared" si="7"/>
        <v>1</v>
      </c>
    </row>
    <row r="44" spans="2:35" ht="31.5" customHeight="1" x14ac:dyDescent="0.25">
      <c r="B44" s="98" t="str">
        <f t="shared" si="3"/>
        <v/>
      </c>
      <c r="C44" s="99" t="str">
        <f>IF('תנאי סף'!AO44&lt;&gt;1,"",'תנאי סף'!F44)</f>
        <v/>
      </c>
      <c r="D44" s="344" t="str">
        <f>'התחשיב הבסיסי'!AE44</f>
        <v/>
      </c>
      <c r="E44" s="492" t="str">
        <f>IF(C44="","",'סיכום לועדה- הזנת נתונים'!O44)</f>
        <v/>
      </c>
      <c r="F44" s="360"/>
      <c r="G44" s="424" t="str">
        <f t="shared" si="8"/>
        <v/>
      </c>
      <c r="H44" s="184" t="str">
        <f t="shared" si="0"/>
        <v/>
      </c>
      <c r="I44" s="425"/>
      <c r="J44" s="179"/>
      <c r="K44" s="179"/>
      <c r="L44" s="179"/>
      <c r="M44" s="179"/>
      <c r="N44" s="179"/>
      <c r="O44" s="179"/>
      <c r="P44" s="179"/>
      <c r="Q44" s="179"/>
      <c r="R44" s="179"/>
      <c r="S44" s="179"/>
      <c r="T44" s="179"/>
      <c r="U44" s="179"/>
      <c r="V44" s="179"/>
      <c r="W44" s="179"/>
      <c r="X44" s="179"/>
      <c r="Y44" s="345" t="str">
        <f t="shared" si="1"/>
        <v/>
      </c>
      <c r="Z44" s="181" t="str">
        <f t="shared" si="4"/>
        <v/>
      </c>
      <c r="AA44" s="187"/>
      <c r="AB44" s="187"/>
      <c r="AC44" s="187"/>
      <c r="AD44" s="186" t="str">
        <f t="shared" si="5"/>
        <v/>
      </c>
      <c r="AE44" s="186" t="str">
        <f t="shared" si="5"/>
        <v/>
      </c>
      <c r="AF44" s="187">
        <f t="shared" si="2"/>
        <v>1</v>
      </c>
      <c r="AG44" s="187">
        <f t="shared" si="6"/>
        <v>0</v>
      </c>
      <c r="AH44" s="186"/>
      <c r="AI44" s="187">
        <f t="shared" si="7"/>
        <v>1</v>
      </c>
    </row>
    <row r="45" spans="2:35" ht="31.5" customHeight="1" x14ac:dyDescent="0.25">
      <c r="B45" s="98" t="str">
        <f t="shared" si="3"/>
        <v/>
      </c>
      <c r="C45" s="99" t="str">
        <f>IF('תנאי סף'!AO45&lt;&gt;1,"",'תנאי סף'!F45)</f>
        <v/>
      </c>
      <c r="D45" s="344" t="str">
        <f>'התחשיב הבסיסי'!AE45</f>
        <v/>
      </c>
      <c r="E45" s="492" t="str">
        <f>IF(C45="","",'סיכום לועדה- הזנת נתונים'!O45)</f>
        <v/>
      </c>
      <c r="F45" s="360"/>
      <c r="G45" s="424" t="str">
        <f t="shared" si="8"/>
        <v/>
      </c>
      <c r="H45" s="184" t="str">
        <f t="shared" si="0"/>
        <v/>
      </c>
      <c r="I45" s="425"/>
      <c r="J45" s="179"/>
      <c r="K45" s="179"/>
      <c r="L45" s="179"/>
      <c r="M45" s="179"/>
      <c r="N45" s="179"/>
      <c r="O45" s="179"/>
      <c r="P45" s="179"/>
      <c r="Q45" s="179"/>
      <c r="R45" s="179"/>
      <c r="S45" s="179"/>
      <c r="T45" s="179"/>
      <c r="U45" s="179"/>
      <c r="V45" s="179"/>
      <c r="W45" s="179"/>
      <c r="X45" s="179"/>
      <c r="Y45" s="345" t="str">
        <f t="shared" si="1"/>
        <v/>
      </c>
      <c r="Z45" s="181" t="str">
        <f t="shared" si="4"/>
        <v/>
      </c>
      <c r="AA45" s="187"/>
      <c r="AB45" s="187"/>
      <c r="AC45" s="187"/>
      <c r="AD45" s="186" t="str">
        <f t="shared" si="5"/>
        <v/>
      </c>
      <c r="AE45" s="186" t="str">
        <f t="shared" si="5"/>
        <v/>
      </c>
      <c r="AF45" s="187">
        <f t="shared" si="2"/>
        <v>1</v>
      </c>
      <c r="AG45" s="187">
        <f t="shared" si="6"/>
        <v>0</v>
      </c>
      <c r="AH45" s="186"/>
      <c r="AI45" s="187">
        <f t="shared" si="7"/>
        <v>1</v>
      </c>
    </row>
    <row r="46" spans="2:35" ht="31.5" customHeight="1" x14ac:dyDescent="0.25">
      <c r="B46" s="98" t="str">
        <f t="shared" si="3"/>
        <v/>
      </c>
      <c r="C46" s="99" t="str">
        <f>IF('תנאי סף'!AO46&lt;&gt;1,"",'תנאי סף'!F46)</f>
        <v/>
      </c>
      <c r="D46" s="344" t="str">
        <f>'התחשיב הבסיסי'!AE46</f>
        <v/>
      </c>
      <c r="E46" s="492" t="str">
        <f>IF(C46="","",'סיכום לועדה- הזנת נתונים'!O46)</f>
        <v/>
      </c>
      <c r="F46" s="360"/>
      <c r="G46" s="424" t="str">
        <f t="shared" si="8"/>
        <v/>
      </c>
      <c r="H46" s="184" t="str">
        <f t="shared" si="0"/>
        <v/>
      </c>
      <c r="I46" s="425"/>
      <c r="J46" s="179"/>
      <c r="K46" s="179"/>
      <c r="L46" s="179"/>
      <c r="M46" s="179"/>
      <c r="N46" s="179"/>
      <c r="O46" s="179"/>
      <c r="P46" s="179"/>
      <c r="Q46" s="179"/>
      <c r="R46" s="179"/>
      <c r="S46" s="179"/>
      <c r="T46" s="179"/>
      <c r="U46" s="179"/>
      <c r="V46" s="179"/>
      <c r="W46" s="179"/>
      <c r="X46" s="179"/>
      <c r="Y46" s="345" t="str">
        <f t="shared" si="1"/>
        <v/>
      </c>
      <c r="Z46" s="181" t="str">
        <f t="shared" si="4"/>
        <v/>
      </c>
      <c r="AA46" s="187"/>
      <c r="AB46" s="187"/>
      <c r="AC46" s="187"/>
      <c r="AD46" s="186" t="str">
        <f t="shared" si="5"/>
        <v/>
      </c>
      <c r="AE46" s="186" t="str">
        <f t="shared" si="5"/>
        <v/>
      </c>
      <c r="AF46" s="187">
        <f t="shared" si="2"/>
        <v>1</v>
      </c>
      <c r="AG46" s="187">
        <f t="shared" si="6"/>
        <v>0</v>
      </c>
      <c r="AH46" s="186"/>
      <c r="AI46" s="187">
        <f t="shared" si="7"/>
        <v>1</v>
      </c>
    </row>
    <row r="47" spans="2:35" ht="31.5" customHeight="1" x14ac:dyDescent="0.25">
      <c r="B47" s="98">
        <f t="shared" si="3"/>
        <v>17</v>
      </c>
      <c r="C47" s="99" t="str">
        <f>IF('תנאי סף'!AO47&lt;&gt;1,"",'תנאי סף'!F47)</f>
        <v>הרכב עמית פרידמן</v>
      </c>
      <c r="D47" s="344">
        <f>'התחשיב הבסיסי'!AE47</f>
        <v>2.6970528505308171E-2</v>
      </c>
      <c r="E47" s="492">
        <f>IF(C47="","",'סיכום לועדה- הזנת נתונים'!O47)</f>
        <v>65000</v>
      </c>
      <c r="F47" s="360">
        <v>0</v>
      </c>
      <c r="G47" s="424">
        <f t="shared" si="8"/>
        <v>2.1397239756071468E-2</v>
      </c>
      <c r="H47" s="184">
        <f t="shared" si="0"/>
        <v>2.4183884130689819E-2</v>
      </c>
      <c r="I47" s="425"/>
      <c r="J47" s="179"/>
      <c r="K47" s="179"/>
      <c r="L47" s="179"/>
      <c r="M47" s="179"/>
      <c r="N47" s="179"/>
      <c r="O47" s="179"/>
      <c r="P47" s="179"/>
      <c r="Q47" s="179"/>
      <c r="R47" s="179"/>
      <c r="S47" s="179"/>
      <c r="T47" s="179"/>
      <c r="U47" s="179"/>
      <c r="V47" s="179"/>
      <c r="W47" s="179"/>
      <c r="X47" s="179"/>
      <c r="Y47" s="345">
        <f t="shared" si="1"/>
        <v>2.4670223090117144E-2</v>
      </c>
      <c r="Z47" s="181">
        <f t="shared" si="4"/>
        <v>75894.660197074409</v>
      </c>
      <c r="AA47" s="187"/>
      <c r="AB47" s="187"/>
      <c r="AC47" s="187"/>
      <c r="AD47" s="186">
        <f t="shared" si="5"/>
        <v>0</v>
      </c>
      <c r="AE47" s="186">
        <f t="shared" si="5"/>
        <v>1</v>
      </c>
      <c r="AF47" s="187">
        <f t="shared" si="2"/>
        <v>1</v>
      </c>
      <c r="AG47" s="187">
        <f t="shared" si="6"/>
        <v>1</v>
      </c>
      <c r="AH47" s="186"/>
      <c r="AI47" s="187">
        <f t="shared" si="7"/>
        <v>1</v>
      </c>
    </row>
    <row r="48" spans="2:35" ht="31.5" customHeight="1" x14ac:dyDescent="0.25">
      <c r="B48" s="98" t="str">
        <f t="shared" si="3"/>
        <v/>
      </c>
      <c r="C48" s="99" t="str">
        <f>IF('תנאי סף'!AO48&lt;&gt;1,"",'תנאי סף'!F48)</f>
        <v/>
      </c>
      <c r="D48" s="344" t="str">
        <f>'התחשיב הבסיסי'!AE48</f>
        <v/>
      </c>
      <c r="E48" s="492" t="str">
        <f>IF(C48="","",'סיכום לועדה- הזנת נתונים'!O48)</f>
        <v/>
      </c>
      <c r="F48" s="360"/>
      <c r="G48" s="424" t="str">
        <f t="shared" si="8"/>
        <v/>
      </c>
      <c r="H48" s="184" t="str">
        <f t="shared" si="0"/>
        <v/>
      </c>
      <c r="I48" s="425"/>
      <c r="J48" s="179"/>
      <c r="K48" s="179"/>
      <c r="L48" s="179"/>
      <c r="M48" s="179"/>
      <c r="N48" s="179"/>
      <c r="O48" s="179"/>
      <c r="P48" s="179"/>
      <c r="Q48" s="179"/>
      <c r="R48" s="179"/>
      <c r="S48" s="179"/>
      <c r="T48" s="179"/>
      <c r="U48" s="179"/>
      <c r="V48" s="179"/>
      <c r="W48" s="179"/>
      <c r="X48" s="179"/>
      <c r="Y48" s="345" t="str">
        <f t="shared" si="1"/>
        <v/>
      </c>
      <c r="Z48" s="181" t="str">
        <f t="shared" si="4"/>
        <v/>
      </c>
      <c r="AA48" s="187"/>
      <c r="AB48" s="187"/>
      <c r="AC48" s="187"/>
      <c r="AD48" s="186" t="str">
        <f t="shared" si="5"/>
        <v/>
      </c>
      <c r="AE48" s="186" t="str">
        <f t="shared" si="5"/>
        <v/>
      </c>
      <c r="AF48" s="187">
        <f t="shared" si="2"/>
        <v>1</v>
      </c>
      <c r="AG48" s="187">
        <f t="shared" si="6"/>
        <v>0</v>
      </c>
      <c r="AH48" s="186"/>
      <c r="AI48" s="187">
        <f t="shared" si="7"/>
        <v>1</v>
      </c>
    </row>
    <row r="49" spans="2:35" ht="31.5" customHeight="1" x14ac:dyDescent="0.25">
      <c r="B49" s="98" t="str">
        <f t="shared" si="3"/>
        <v/>
      </c>
      <c r="C49" s="99" t="str">
        <f>IF('תנאי סף'!AO49&lt;&gt;1,"",'תנאי סף'!F49)</f>
        <v/>
      </c>
      <c r="D49" s="344" t="str">
        <f>'התחשיב הבסיסי'!AE49</f>
        <v/>
      </c>
      <c r="E49" s="492" t="str">
        <f>IF(C49="","",'סיכום לועדה- הזנת נתונים'!O49)</f>
        <v/>
      </c>
      <c r="F49" s="360"/>
      <c r="G49" s="424" t="str">
        <f t="shared" si="8"/>
        <v/>
      </c>
      <c r="H49" s="184" t="str">
        <f t="shared" si="0"/>
        <v/>
      </c>
      <c r="I49" s="425"/>
      <c r="J49" s="179"/>
      <c r="K49" s="179"/>
      <c r="L49" s="179"/>
      <c r="M49" s="179"/>
      <c r="N49" s="179"/>
      <c r="O49" s="179"/>
      <c r="P49" s="179"/>
      <c r="Q49" s="179"/>
      <c r="R49" s="179"/>
      <c r="S49" s="179"/>
      <c r="T49" s="179"/>
      <c r="U49" s="179"/>
      <c r="V49" s="179"/>
      <c r="W49" s="179"/>
      <c r="X49" s="179"/>
      <c r="Y49" s="345" t="str">
        <f t="shared" si="1"/>
        <v/>
      </c>
      <c r="Z49" s="181" t="str">
        <f t="shared" si="4"/>
        <v/>
      </c>
      <c r="AA49" s="187"/>
      <c r="AB49" s="187"/>
      <c r="AC49" s="187"/>
      <c r="AD49" s="186" t="str">
        <f t="shared" si="5"/>
        <v/>
      </c>
      <c r="AE49" s="186" t="str">
        <f t="shared" si="5"/>
        <v/>
      </c>
      <c r="AF49" s="187">
        <f t="shared" si="2"/>
        <v>1</v>
      </c>
      <c r="AG49" s="187">
        <f t="shared" si="6"/>
        <v>0</v>
      </c>
      <c r="AH49" s="186"/>
      <c r="AI49" s="187">
        <f t="shared" si="7"/>
        <v>1</v>
      </c>
    </row>
    <row r="50" spans="2:35" ht="31.5" customHeight="1" x14ac:dyDescent="0.25">
      <c r="B50" s="98" t="str">
        <f t="shared" si="3"/>
        <v/>
      </c>
      <c r="C50" s="99" t="str">
        <f>IF('תנאי סף'!AO50&lt;&gt;1,"",'תנאי סף'!F50)</f>
        <v/>
      </c>
      <c r="D50" s="344" t="str">
        <f>'התחשיב הבסיסי'!AE50</f>
        <v/>
      </c>
      <c r="E50" s="492" t="str">
        <f>IF(C50="","",'סיכום לועדה- הזנת נתונים'!O50)</f>
        <v/>
      </c>
      <c r="F50" s="360"/>
      <c r="G50" s="424" t="str">
        <f t="shared" si="8"/>
        <v/>
      </c>
      <c r="H50" s="184" t="str">
        <f t="shared" si="0"/>
        <v/>
      </c>
      <c r="I50" s="425"/>
      <c r="J50" s="179"/>
      <c r="K50" s="179"/>
      <c r="L50" s="179"/>
      <c r="M50" s="179"/>
      <c r="N50" s="179"/>
      <c r="O50" s="179"/>
      <c r="P50" s="179"/>
      <c r="Q50" s="179"/>
      <c r="R50" s="179"/>
      <c r="S50" s="179"/>
      <c r="T50" s="179"/>
      <c r="U50" s="179"/>
      <c r="V50" s="179"/>
      <c r="W50" s="179"/>
      <c r="X50" s="179"/>
      <c r="Y50" s="345" t="str">
        <f t="shared" si="1"/>
        <v/>
      </c>
      <c r="Z50" s="181" t="str">
        <f t="shared" si="4"/>
        <v/>
      </c>
      <c r="AA50" s="187"/>
      <c r="AB50" s="187"/>
      <c r="AC50" s="187"/>
      <c r="AD50" s="186" t="str">
        <f t="shared" si="5"/>
        <v/>
      </c>
      <c r="AE50" s="186" t="str">
        <f t="shared" si="5"/>
        <v/>
      </c>
      <c r="AF50" s="187">
        <f t="shared" si="2"/>
        <v>1</v>
      </c>
      <c r="AG50" s="187">
        <f t="shared" si="6"/>
        <v>0</v>
      </c>
      <c r="AH50" s="186"/>
      <c r="AI50" s="187">
        <f t="shared" si="7"/>
        <v>1</v>
      </c>
    </row>
    <row r="51" spans="2:35" ht="31.5" customHeight="1" x14ac:dyDescent="0.25">
      <c r="B51" s="98">
        <f t="shared" si="3"/>
        <v>21</v>
      </c>
      <c r="C51" s="99" t="str">
        <f>IF('תנאי סף'!AO51&lt;&gt;1,"",'תנאי סף'!F51)</f>
        <v>חמישיית תל אביב לכלי נשיפה</v>
      </c>
      <c r="D51" s="344">
        <f>'התחשיב הבסיסי'!AE51</f>
        <v>3.8912318688077367E-2</v>
      </c>
      <c r="E51" s="492">
        <f>IF(C51="","",'סיכום לועדה- הזנת נתונים'!O51)</f>
        <v>80000</v>
      </c>
      <c r="F51" s="360">
        <v>0</v>
      </c>
      <c r="G51" s="424">
        <f t="shared" si="8"/>
        <v>2.6335064315164882E-2</v>
      </c>
      <c r="H51" s="184">
        <f t="shared" si="0"/>
        <v>3.2623691501621123E-2</v>
      </c>
      <c r="I51" s="425"/>
      <c r="J51" s="179"/>
      <c r="K51" s="179"/>
      <c r="L51" s="179"/>
      <c r="M51" s="179"/>
      <c r="N51" s="179"/>
      <c r="O51" s="179"/>
      <c r="P51" s="179"/>
      <c r="Q51" s="179"/>
      <c r="R51" s="179"/>
      <c r="S51" s="179"/>
      <c r="T51" s="179"/>
      <c r="U51" s="179"/>
      <c r="V51" s="179"/>
      <c r="W51" s="179"/>
      <c r="X51" s="179"/>
      <c r="Y51" s="345">
        <f t="shared" si="1"/>
        <v>3.3279755353558038E-2</v>
      </c>
      <c r="Z51" s="181">
        <f t="shared" si="4"/>
        <v>102380.74113775928</v>
      </c>
      <c r="AA51" s="187"/>
      <c r="AB51" s="187"/>
      <c r="AC51" s="187"/>
      <c r="AD51" s="186">
        <f t="shared" si="5"/>
        <v>0</v>
      </c>
      <c r="AE51" s="186">
        <f t="shared" si="5"/>
        <v>1</v>
      </c>
      <c r="AF51" s="187">
        <f t="shared" si="2"/>
        <v>1</v>
      </c>
      <c r="AG51" s="187">
        <f t="shared" si="6"/>
        <v>1</v>
      </c>
      <c r="AH51" s="186"/>
      <c r="AI51" s="187">
        <f t="shared" si="7"/>
        <v>1</v>
      </c>
    </row>
    <row r="52" spans="2:35" ht="31.5" customHeight="1" x14ac:dyDescent="0.25">
      <c r="B52" s="98">
        <f t="shared" si="3"/>
        <v>22</v>
      </c>
      <c r="C52" s="99" t="str">
        <f>IF('תנאי סף'!AO52&lt;&gt;1,"",'תנאי סף'!F52)</f>
        <v>הרכב אקוט</v>
      </c>
      <c r="D52" s="344">
        <f>'התחשיב הבסיסי'!AE52</f>
        <v>3.9913899292780365E-2</v>
      </c>
      <c r="E52" s="492">
        <f>IF(C52="","",'סיכום לועדה- הזנת נתונים'!O52)</f>
        <v>110000</v>
      </c>
      <c r="F52" s="360">
        <v>0</v>
      </c>
      <c r="G52" s="424">
        <f t="shared" si="8"/>
        <v>3.6210713433351714E-2</v>
      </c>
      <c r="H52" s="184">
        <f t="shared" si="0"/>
        <v>3.806230636306604E-2</v>
      </c>
      <c r="I52" s="425"/>
      <c r="J52" s="179"/>
      <c r="K52" s="179"/>
      <c r="L52" s="179"/>
      <c r="M52" s="179"/>
      <c r="N52" s="179"/>
      <c r="O52" s="179"/>
      <c r="P52" s="179"/>
      <c r="Q52" s="179"/>
      <c r="R52" s="179"/>
      <c r="S52" s="179"/>
      <c r="T52" s="179"/>
      <c r="U52" s="179"/>
      <c r="V52" s="179"/>
      <c r="W52" s="179"/>
      <c r="X52" s="179"/>
      <c r="Y52" s="345">
        <f t="shared" si="1"/>
        <v>3.8827740995897683E-2</v>
      </c>
      <c r="Z52" s="181">
        <f t="shared" si="4"/>
        <v>119448.38108432677</v>
      </c>
      <c r="AA52" s="187"/>
      <c r="AB52" s="187"/>
      <c r="AC52" s="187"/>
      <c r="AD52" s="186">
        <f t="shared" si="5"/>
        <v>0</v>
      </c>
      <c r="AE52" s="186">
        <f t="shared" si="5"/>
        <v>1</v>
      </c>
      <c r="AF52" s="187">
        <f t="shared" si="2"/>
        <v>1</v>
      </c>
      <c r="AG52" s="187">
        <f t="shared" si="6"/>
        <v>1</v>
      </c>
      <c r="AH52" s="186"/>
      <c r="AI52" s="187">
        <f t="shared" si="7"/>
        <v>1</v>
      </c>
    </row>
    <row r="53" spans="2:35" ht="31.5" customHeight="1" x14ac:dyDescent="0.25">
      <c r="B53" s="98">
        <f t="shared" si="3"/>
        <v>23</v>
      </c>
      <c r="C53" s="99" t="str">
        <f>IF('תנאי סף'!AO53&lt;&gt;1,"",'תנאי סף'!F53)</f>
        <v>שלישיית עתר</v>
      </c>
      <c r="D53" s="344">
        <f>'התחשיב הבסיסי'!AE53</f>
        <v>2.8990372379831039E-2</v>
      </c>
      <c r="E53" s="492">
        <f>IF(C53="","",'סיכום לועדה- הזנת נתונים'!O53)</f>
        <v>70000</v>
      </c>
      <c r="F53" s="360">
        <v>0</v>
      </c>
      <c r="G53" s="424">
        <f t="shared" si="8"/>
        <v>2.3043181275769271E-2</v>
      </c>
      <c r="H53" s="184">
        <f t="shared" si="0"/>
        <v>2.6016776827800153E-2</v>
      </c>
      <c r="I53" s="425"/>
      <c r="J53" s="179"/>
      <c r="K53" s="179"/>
      <c r="L53" s="179"/>
      <c r="M53" s="179"/>
      <c r="N53" s="179"/>
      <c r="O53" s="179"/>
      <c r="P53" s="179"/>
      <c r="Q53" s="179"/>
      <c r="R53" s="179"/>
      <c r="S53" s="179"/>
      <c r="T53" s="179"/>
      <c r="U53" s="179"/>
      <c r="V53" s="179"/>
      <c r="W53" s="179"/>
      <c r="X53" s="179"/>
      <c r="Y53" s="345">
        <f t="shared" si="1"/>
        <v>2.6539975338912287E-2</v>
      </c>
      <c r="Z53" s="181">
        <f t="shared" si="4"/>
        <v>81646.704313443581</v>
      </c>
      <c r="AA53" s="187"/>
      <c r="AB53" s="187"/>
      <c r="AC53" s="187"/>
      <c r="AD53" s="186">
        <f t="shared" si="5"/>
        <v>0</v>
      </c>
      <c r="AE53" s="186">
        <f t="shared" si="5"/>
        <v>1</v>
      </c>
      <c r="AF53" s="187">
        <f t="shared" si="2"/>
        <v>1</v>
      </c>
      <c r="AG53" s="187">
        <f t="shared" si="6"/>
        <v>1</v>
      </c>
      <c r="AH53" s="186"/>
      <c r="AI53" s="187">
        <f t="shared" si="7"/>
        <v>1</v>
      </c>
    </row>
    <row r="54" spans="2:35" ht="31.5" customHeight="1" x14ac:dyDescent="0.25">
      <c r="B54" s="98" t="str">
        <f t="shared" si="3"/>
        <v/>
      </c>
      <c r="C54" s="99" t="str">
        <f>IF('תנאי סף'!AO54&lt;&gt;1,"",'תנאי סף'!F54)</f>
        <v/>
      </c>
      <c r="D54" s="344" t="str">
        <f>'התחשיב הבסיסי'!AE54</f>
        <v/>
      </c>
      <c r="E54" s="492" t="str">
        <f>IF(C54="","",'סיכום לועדה- הזנת נתונים'!O54)</f>
        <v/>
      </c>
      <c r="F54" s="360"/>
      <c r="G54" s="424" t="str">
        <f t="shared" si="8"/>
        <v/>
      </c>
      <c r="H54" s="184" t="str">
        <f t="shared" si="0"/>
        <v/>
      </c>
      <c r="I54" s="425"/>
      <c r="J54" s="179"/>
      <c r="K54" s="179"/>
      <c r="L54" s="179"/>
      <c r="M54" s="179"/>
      <c r="N54" s="179"/>
      <c r="O54" s="179"/>
      <c r="P54" s="179"/>
      <c r="Q54" s="179"/>
      <c r="R54" s="179"/>
      <c r="S54" s="179"/>
      <c r="T54" s="179"/>
      <c r="U54" s="179"/>
      <c r="V54" s="179"/>
      <c r="W54" s="179"/>
      <c r="X54" s="179"/>
      <c r="Y54" s="345" t="str">
        <f t="shared" si="1"/>
        <v/>
      </c>
      <c r="Z54" s="181" t="str">
        <f t="shared" si="4"/>
        <v/>
      </c>
      <c r="AA54" s="187"/>
      <c r="AB54" s="187"/>
      <c r="AC54" s="187"/>
      <c r="AD54" s="186" t="str">
        <f t="shared" si="5"/>
        <v/>
      </c>
      <c r="AE54" s="186" t="str">
        <f t="shared" si="5"/>
        <v/>
      </c>
      <c r="AF54" s="187">
        <f t="shared" si="2"/>
        <v>1</v>
      </c>
      <c r="AG54" s="187">
        <f t="shared" si="6"/>
        <v>0</v>
      </c>
      <c r="AH54" s="186"/>
      <c r="AI54" s="187">
        <f t="shared" si="7"/>
        <v>1</v>
      </c>
    </row>
    <row r="55" spans="2:35" ht="31.5" customHeight="1" x14ac:dyDescent="0.25">
      <c r="B55" s="98" t="str">
        <f t="shared" si="3"/>
        <v/>
      </c>
      <c r="C55" s="99" t="str">
        <f>IF('תנאי סף'!AO55&lt;&gt;1,"",'תנאי סף'!F55)</f>
        <v/>
      </c>
      <c r="D55" s="344" t="str">
        <f>'התחשיב הבסיסי'!AE55</f>
        <v/>
      </c>
      <c r="E55" s="492" t="str">
        <f>IF(C55="","",'סיכום לועדה- הזנת נתונים'!O55)</f>
        <v/>
      </c>
      <c r="F55" s="360"/>
      <c r="G55" s="424" t="str">
        <f t="shared" si="8"/>
        <v/>
      </c>
      <c r="H55" s="184" t="str">
        <f t="shared" si="0"/>
        <v/>
      </c>
      <c r="I55" s="425"/>
      <c r="J55" s="179"/>
      <c r="K55" s="179"/>
      <c r="L55" s="179"/>
      <c r="M55" s="179"/>
      <c r="N55" s="179"/>
      <c r="O55" s="179"/>
      <c r="P55" s="179"/>
      <c r="Q55" s="179"/>
      <c r="R55" s="179"/>
      <c r="S55" s="179"/>
      <c r="T55" s="179"/>
      <c r="U55" s="179"/>
      <c r="V55" s="179"/>
      <c r="W55" s="179"/>
      <c r="X55" s="179"/>
      <c r="Y55" s="345" t="str">
        <f t="shared" si="1"/>
        <v/>
      </c>
      <c r="Z55" s="181" t="str">
        <f t="shared" si="4"/>
        <v/>
      </c>
      <c r="AA55" s="187"/>
      <c r="AB55" s="187"/>
      <c r="AC55" s="187"/>
      <c r="AD55" s="186" t="str">
        <f t="shared" si="5"/>
        <v/>
      </c>
      <c r="AE55" s="186" t="str">
        <f t="shared" si="5"/>
        <v/>
      </c>
      <c r="AF55" s="187">
        <f t="shared" si="2"/>
        <v>1</v>
      </c>
      <c r="AG55" s="187">
        <f t="shared" si="6"/>
        <v>0</v>
      </c>
      <c r="AH55" s="186"/>
      <c r="AI55" s="187">
        <f t="shared" si="7"/>
        <v>1</v>
      </c>
    </row>
    <row r="56" spans="2:35" ht="31.5" customHeight="1" x14ac:dyDescent="0.25">
      <c r="B56" s="98">
        <f t="shared" si="3"/>
        <v>26</v>
      </c>
      <c r="C56" s="99" t="str">
        <f>IF('תנאי סף'!AO56&lt;&gt;1,"",'תנאי סף'!F56)</f>
        <v>אנסמבל מצו</v>
      </c>
      <c r="D56" s="344">
        <f>'התחשיב הבסיסי'!AE56</f>
        <v>3.3965561779138641E-2</v>
      </c>
      <c r="E56" s="492">
        <f>IF(C56="","",'סיכום לועדה- הזנת נתונים'!O56)</f>
        <v>75000</v>
      </c>
      <c r="F56" s="360">
        <v>0</v>
      </c>
      <c r="G56" s="424">
        <f t="shared" si="8"/>
        <v>2.4689122795467078E-2</v>
      </c>
      <c r="H56" s="184">
        <f t="shared" si="0"/>
        <v>2.9327342287302861E-2</v>
      </c>
      <c r="I56" s="425"/>
      <c r="J56" s="179"/>
      <c r="K56" s="179"/>
      <c r="L56" s="179"/>
      <c r="M56" s="179"/>
      <c r="N56" s="179"/>
      <c r="O56" s="179"/>
      <c r="P56" s="179"/>
      <c r="Q56" s="179"/>
      <c r="R56" s="179"/>
      <c r="S56" s="179"/>
      <c r="T56" s="179"/>
      <c r="U56" s="179"/>
      <c r="V56" s="179"/>
      <c r="W56" s="179"/>
      <c r="X56" s="179"/>
      <c r="Y56" s="345">
        <f t="shared" si="1"/>
        <v>2.9917116413481201E-2</v>
      </c>
      <c r="Z56" s="181">
        <f t="shared" si="4"/>
        <v>92036.029669591924</v>
      </c>
      <c r="AA56" s="187"/>
      <c r="AB56" s="187"/>
      <c r="AC56" s="187"/>
      <c r="AD56" s="186">
        <f t="shared" si="5"/>
        <v>0</v>
      </c>
      <c r="AE56" s="186">
        <f t="shared" si="5"/>
        <v>1</v>
      </c>
      <c r="AF56" s="187">
        <f t="shared" si="2"/>
        <v>1</v>
      </c>
      <c r="AG56" s="187">
        <f t="shared" si="6"/>
        <v>1</v>
      </c>
      <c r="AH56" s="186"/>
      <c r="AI56" s="187">
        <f t="shared" si="7"/>
        <v>1</v>
      </c>
    </row>
    <row r="57" spans="2:35" ht="31.5" customHeight="1" x14ac:dyDescent="0.25">
      <c r="B57" s="98" t="str">
        <f t="shared" si="3"/>
        <v/>
      </c>
      <c r="C57" s="99" t="str">
        <f>IF('תנאי סף'!AO57&lt;&gt;1,"",'תנאי סף'!F57)</f>
        <v/>
      </c>
      <c r="D57" s="344" t="str">
        <f>'התחשיב הבסיסי'!AE57</f>
        <v/>
      </c>
      <c r="E57" s="492" t="str">
        <f>IF(C57="","",'סיכום לועדה- הזנת נתונים'!O57)</f>
        <v/>
      </c>
      <c r="F57" s="360"/>
      <c r="G57" s="424" t="str">
        <f t="shared" si="8"/>
        <v/>
      </c>
      <c r="H57" s="184" t="str">
        <f t="shared" si="0"/>
        <v/>
      </c>
      <c r="I57" s="425"/>
      <c r="J57" s="179"/>
      <c r="K57" s="179"/>
      <c r="L57" s="179"/>
      <c r="M57" s="179"/>
      <c r="N57" s="179"/>
      <c r="O57" s="179"/>
      <c r="P57" s="179"/>
      <c r="Q57" s="179"/>
      <c r="R57" s="179"/>
      <c r="S57" s="179"/>
      <c r="T57" s="179"/>
      <c r="U57" s="179"/>
      <c r="V57" s="179"/>
      <c r="W57" s="179"/>
      <c r="X57" s="179"/>
      <c r="Y57" s="345" t="str">
        <f t="shared" si="1"/>
        <v/>
      </c>
      <c r="Z57" s="181" t="str">
        <f t="shared" si="4"/>
        <v/>
      </c>
      <c r="AA57" s="187"/>
      <c r="AB57" s="187"/>
      <c r="AC57" s="187"/>
      <c r="AD57" s="186" t="str">
        <f t="shared" si="5"/>
        <v/>
      </c>
      <c r="AE57" s="186" t="str">
        <f t="shared" si="5"/>
        <v/>
      </c>
      <c r="AF57" s="187">
        <f t="shared" si="2"/>
        <v>1</v>
      </c>
      <c r="AG57" s="187">
        <f t="shared" si="6"/>
        <v>0</v>
      </c>
      <c r="AH57" s="186"/>
      <c r="AI57" s="187">
        <f t="shared" si="7"/>
        <v>1</v>
      </c>
    </row>
    <row r="58" spans="2:35" ht="31.5" customHeight="1" x14ac:dyDescent="0.25">
      <c r="B58" s="98">
        <f t="shared" si="3"/>
        <v>28</v>
      </c>
      <c r="C58" s="99" t="str">
        <f>IF('תנאי סף'!AO58&lt;&gt;1,"",'תנאי סף'!F58)</f>
        <v>תמיכה שותפת- קבוצת מוסיקה נובה</v>
      </c>
      <c r="D58" s="344">
        <f>'התחשיב הבסיסי'!AE58</f>
        <v>2.4886685572469164E-2</v>
      </c>
      <c r="E58" s="492">
        <f>IF(C58="","",'סיכום לועדה- הזנת נתונים'!O58)</f>
        <v>93743</v>
      </c>
      <c r="F58" s="360">
        <v>0</v>
      </c>
      <c r="G58" s="424">
        <f t="shared" si="8"/>
        <v>3.0859099176206269E-2</v>
      </c>
      <c r="H58" s="184">
        <f t="shared" si="0"/>
        <v>2.7872892374337717E-2</v>
      </c>
      <c r="I58" s="425"/>
      <c r="J58" s="179"/>
      <c r="K58" s="179"/>
      <c r="L58" s="179"/>
      <c r="M58" s="179"/>
      <c r="N58" s="179"/>
      <c r="O58" s="179"/>
      <c r="P58" s="179"/>
      <c r="Q58" s="179"/>
      <c r="R58" s="179"/>
      <c r="S58" s="179"/>
      <c r="T58" s="179"/>
      <c r="U58" s="179"/>
      <c r="V58" s="179"/>
      <c r="W58" s="179"/>
      <c r="X58" s="179"/>
      <c r="Y58" s="345">
        <f t="shared" si="1"/>
        <v>2.8433417449644491E-2</v>
      </c>
      <c r="Z58" s="181">
        <f t="shared" si="4"/>
        <v>87471.627139310469</v>
      </c>
      <c r="AA58" s="187"/>
      <c r="AB58" s="187"/>
      <c r="AC58" s="187"/>
      <c r="AD58" s="186">
        <f t="shared" si="5"/>
        <v>0</v>
      </c>
      <c r="AE58" s="186">
        <f t="shared" si="5"/>
        <v>1</v>
      </c>
      <c r="AF58" s="187">
        <f t="shared" si="2"/>
        <v>1</v>
      </c>
      <c r="AG58" s="187">
        <f t="shared" si="6"/>
        <v>1</v>
      </c>
      <c r="AH58" s="186"/>
      <c r="AI58" s="187">
        <f t="shared" si="7"/>
        <v>1</v>
      </c>
    </row>
    <row r="59" spans="2:35" ht="31.5" hidden="1" customHeight="1" x14ac:dyDescent="0.25">
      <c r="B59" s="98" t="str">
        <f t="shared" si="3"/>
        <v/>
      </c>
      <c r="C59" s="99" t="str">
        <f>IF('תנאי סף'!AO59&lt;&gt;1,"",'תנאי סף'!F59)</f>
        <v/>
      </c>
      <c r="D59" s="344" t="str">
        <f>'התחשיב הבסיסי'!AE59</f>
        <v/>
      </c>
      <c r="E59" s="492" t="str">
        <f>IF(C59="","",'סיכום לועדה- הזנת נתונים'!O59)</f>
        <v/>
      </c>
      <c r="F59" s="360"/>
      <c r="G59" s="424" t="str">
        <f t="shared" si="8"/>
        <v/>
      </c>
      <c r="H59" s="184" t="str">
        <f t="shared" si="0"/>
        <v/>
      </c>
      <c r="I59" s="425"/>
      <c r="J59" s="179"/>
      <c r="K59" s="179"/>
      <c r="L59" s="179"/>
      <c r="M59" s="179"/>
      <c r="N59" s="179"/>
      <c r="O59" s="179"/>
      <c r="P59" s="179"/>
      <c r="Q59" s="179"/>
      <c r="R59" s="179"/>
      <c r="S59" s="179"/>
      <c r="T59" s="179"/>
      <c r="U59" s="179"/>
      <c r="V59" s="179"/>
      <c r="W59" s="179"/>
      <c r="X59" s="179"/>
      <c r="Y59" s="345" t="str">
        <f t="shared" si="1"/>
        <v/>
      </c>
      <c r="Z59" s="181" t="str">
        <f t="shared" si="4"/>
        <v/>
      </c>
      <c r="AA59" s="187"/>
      <c r="AB59" s="187"/>
      <c r="AC59" s="187"/>
      <c r="AD59" s="186" t="str">
        <f t="shared" si="5"/>
        <v/>
      </c>
      <c r="AE59" s="186" t="str">
        <f t="shared" si="5"/>
        <v/>
      </c>
      <c r="AF59" s="187">
        <f t="shared" si="2"/>
        <v>1</v>
      </c>
      <c r="AG59" s="187">
        <f t="shared" si="6"/>
        <v>0</v>
      </c>
      <c r="AH59" s="186"/>
      <c r="AI59" s="187">
        <f t="shared" si="7"/>
        <v>1</v>
      </c>
    </row>
    <row r="60" spans="2:35" ht="31.5" hidden="1" customHeight="1" x14ac:dyDescent="0.25">
      <c r="B60" s="98" t="str">
        <f t="shared" si="3"/>
        <v/>
      </c>
      <c r="C60" s="99" t="str">
        <f>IF('תנאי סף'!AO60&lt;&gt;1,"",'תנאי סף'!F60)</f>
        <v/>
      </c>
      <c r="D60" s="344" t="str">
        <f>'התחשיב הבסיסי'!AE60</f>
        <v/>
      </c>
      <c r="E60" s="492" t="str">
        <f>IF(C60="","",'סיכום לועדה- הזנת נתונים'!O60)</f>
        <v/>
      </c>
      <c r="F60" s="360"/>
      <c r="G60" s="424" t="str">
        <f t="shared" si="8"/>
        <v/>
      </c>
      <c r="H60" s="184" t="str">
        <f t="shared" si="0"/>
        <v/>
      </c>
      <c r="I60" s="425"/>
      <c r="J60" s="179"/>
      <c r="K60" s="179"/>
      <c r="L60" s="179"/>
      <c r="M60" s="179"/>
      <c r="N60" s="179"/>
      <c r="O60" s="179"/>
      <c r="P60" s="179"/>
      <c r="Q60" s="179"/>
      <c r="R60" s="179"/>
      <c r="S60" s="179"/>
      <c r="T60" s="179"/>
      <c r="U60" s="179"/>
      <c r="V60" s="179"/>
      <c r="W60" s="179"/>
      <c r="X60" s="179"/>
      <c r="Y60" s="345" t="str">
        <f t="shared" si="1"/>
        <v/>
      </c>
      <c r="Z60" s="181" t="str">
        <f t="shared" si="4"/>
        <v/>
      </c>
      <c r="AA60" s="187"/>
      <c r="AB60" s="187"/>
      <c r="AC60" s="187"/>
      <c r="AD60" s="186" t="str">
        <f t="shared" si="5"/>
        <v/>
      </c>
      <c r="AE60" s="186" t="str">
        <f t="shared" si="5"/>
        <v/>
      </c>
      <c r="AF60" s="187">
        <f t="shared" si="2"/>
        <v>1</v>
      </c>
      <c r="AG60" s="187">
        <f t="shared" si="6"/>
        <v>0</v>
      </c>
      <c r="AH60" s="186"/>
      <c r="AI60" s="187">
        <f t="shared" si="7"/>
        <v>1</v>
      </c>
    </row>
    <row r="61" spans="2:35" ht="31.5" hidden="1" customHeight="1" x14ac:dyDescent="0.25">
      <c r="B61" s="98" t="str">
        <f t="shared" si="3"/>
        <v/>
      </c>
      <c r="C61" s="99" t="str">
        <f>IF('תנאי סף'!AO61&lt;&gt;1,"",'תנאי סף'!F61)</f>
        <v/>
      </c>
      <c r="D61" s="344" t="str">
        <f>'התחשיב הבסיסי'!AE61</f>
        <v/>
      </c>
      <c r="E61" s="492" t="str">
        <f>IF(C61="","",'סיכום לועדה- הזנת נתונים'!O61)</f>
        <v/>
      </c>
      <c r="F61" s="360"/>
      <c r="G61" s="424" t="str">
        <f t="shared" si="8"/>
        <v/>
      </c>
      <c r="H61" s="184" t="str">
        <f t="shared" si="0"/>
        <v/>
      </c>
      <c r="I61" s="425"/>
      <c r="J61" s="179"/>
      <c r="K61" s="179"/>
      <c r="L61" s="179"/>
      <c r="M61" s="179"/>
      <c r="N61" s="179"/>
      <c r="O61" s="179"/>
      <c r="P61" s="179"/>
      <c r="Q61" s="179"/>
      <c r="R61" s="179"/>
      <c r="S61" s="179"/>
      <c r="T61" s="179"/>
      <c r="U61" s="179"/>
      <c r="V61" s="179"/>
      <c r="W61" s="179"/>
      <c r="X61" s="179"/>
      <c r="Y61" s="345" t="str">
        <f t="shared" si="1"/>
        <v/>
      </c>
      <c r="Z61" s="181" t="str">
        <f t="shared" si="4"/>
        <v/>
      </c>
      <c r="AA61" s="187"/>
      <c r="AB61" s="187"/>
      <c r="AC61" s="187"/>
      <c r="AD61" s="186" t="str">
        <f t="shared" si="5"/>
        <v/>
      </c>
      <c r="AE61" s="186" t="str">
        <f t="shared" si="5"/>
        <v/>
      </c>
      <c r="AF61" s="187">
        <f t="shared" si="2"/>
        <v>1</v>
      </c>
      <c r="AG61" s="187">
        <f t="shared" si="6"/>
        <v>0</v>
      </c>
      <c r="AH61" s="186"/>
      <c r="AI61" s="187">
        <f t="shared" si="7"/>
        <v>1</v>
      </c>
    </row>
    <row r="62" spans="2:35" ht="31.5" hidden="1" customHeight="1" x14ac:dyDescent="0.25">
      <c r="B62" s="98" t="str">
        <f t="shared" si="3"/>
        <v/>
      </c>
      <c r="C62" s="99" t="str">
        <f>IF('תנאי סף'!AO62&lt;&gt;1,"",'תנאי סף'!F62)</f>
        <v/>
      </c>
      <c r="D62" s="344" t="str">
        <f>'התחשיב הבסיסי'!AE62</f>
        <v/>
      </c>
      <c r="E62" s="492" t="str">
        <f>IF(C62="","",'סיכום לועדה- הזנת נתונים'!O62)</f>
        <v/>
      </c>
      <c r="F62" s="360"/>
      <c r="G62" s="424" t="str">
        <f t="shared" si="8"/>
        <v/>
      </c>
      <c r="H62" s="184" t="str">
        <f t="shared" si="0"/>
        <v/>
      </c>
      <c r="I62" s="425"/>
      <c r="J62" s="179"/>
      <c r="K62" s="179"/>
      <c r="L62" s="179"/>
      <c r="M62" s="179"/>
      <c r="N62" s="179"/>
      <c r="O62" s="179"/>
      <c r="P62" s="179"/>
      <c r="Q62" s="179"/>
      <c r="R62" s="179"/>
      <c r="S62" s="179"/>
      <c r="T62" s="179"/>
      <c r="U62" s="179"/>
      <c r="V62" s="179"/>
      <c r="W62" s="179"/>
      <c r="X62" s="179"/>
      <c r="Y62" s="345" t="str">
        <f t="shared" si="1"/>
        <v/>
      </c>
      <c r="Z62" s="181" t="str">
        <f t="shared" si="4"/>
        <v/>
      </c>
      <c r="AA62" s="187"/>
      <c r="AB62" s="187"/>
      <c r="AC62" s="187"/>
      <c r="AD62" s="186" t="str">
        <f t="shared" si="5"/>
        <v/>
      </c>
      <c r="AE62" s="186" t="str">
        <f t="shared" si="5"/>
        <v/>
      </c>
      <c r="AF62" s="187">
        <f t="shared" si="2"/>
        <v>1</v>
      </c>
      <c r="AG62" s="187">
        <f t="shared" si="6"/>
        <v>0</v>
      </c>
      <c r="AH62" s="186"/>
      <c r="AI62" s="187">
        <f t="shared" si="7"/>
        <v>1</v>
      </c>
    </row>
    <row r="63" spans="2:35" ht="31.5" hidden="1" customHeight="1" x14ac:dyDescent="0.25">
      <c r="B63" s="98" t="str">
        <f t="shared" si="3"/>
        <v/>
      </c>
      <c r="C63" s="99" t="str">
        <f>IF('תנאי סף'!AO63&lt;&gt;1,"",'תנאי סף'!F63)</f>
        <v/>
      </c>
      <c r="D63" s="344" t="str">
        <f>'התחשיב הבסיסי'!AE63</f>
        <v/>
      </c>
      <c r="E63" s="492" t="str">
        <f>IF(C63="","",'סיכום לועדה- הזנת נתונים'!O63)</f>
        <v/>
      </c>
      <c r="F63" s="360"/>
      <c r="G63" s="424" t="str">
        <f t="shared" si="8"/>
        <v/>
      </c>
      <c r="H63" s="184" t="str">
        <f t="shared" ref="H63:H94" si="9">IF(C63="","",IF(AI63&lt;&gt;1,$AH$1,IF(F63=1,D63,AVERAGE($G63,$D63))))</f>
        <v/>
      </c>
      <c r="I63" s="425"/>
      <c r="J63" s="179"/>
      <c r="K63" s="179"/>
      <c r="L63" s="179"/>
      <c r="M63" s="179"/>
      <c r="N63" s="179"/>
      <c r="O63" s="179"/>
      <c r="P63" s="179"/>
      <c r="Q63" s="179"/>
      <c r="R63" s="179"/>
      <c r="S63" s="179"/>
      <c r="T63" s="179"/>
      <c r="U63" s="179"/>
      <c r="V63" s="179"/>
      <c r="W63" s="179"/>
      <c r="X63" s="179"/>
      <c r="Y63" s="345" t="str">
        <f t="shared" ref="Y63:Y94" si="10">IF(C63="","",IF($AI$28&lt;&gt;1,$AH$1,H63/$H$131*100%))</f>
        <v/>
      </c>
      <c r="Z63" s="181" t="str">
        <f t="shared" ref="Z63:Z94" si="11">IF(C63="","",IF(AND($AI$28&lt;&gt;1),$AH$1,Y63*$C$2))</f>
        <v/>
      </c>
      <c r="AA63" s="187"/>
      <c r="AB63" s="187"/>
      <c r="AC63" s="187"/>
      <c r="AD63" s="186" t="str">
        <f t="shared" si="5"/>
        <v/>
      </c>
      <c r="AE63" s="186" t="str">
        <f t="shared" si="5"/>
        <v/>
      </c>
      <c r="AF63" s="187">
        <f t="shared" ref="AF63:AF94" si="12">IF(D63=$AH$1,0,1)</f>
        <v>1</v>
      </c>
      <c r="AG63" s="187">
        <f t="shared" si="6"/>
        <v>0</v>
      </c>
      <c r="AH63" s="186"/>
      <c r="AI63" s="187">
        <f t="shared" si="7"/>
        <v>1</v>
      </c>
    </row>
    <row r="64" spans="2:35" ht="31.5" hidden="1" customHeight="1" x14ac:dyDescent="0.25">
      <c r="B64" s="98" t="str">
        <f t="shared" si="3"/>
        <v/>
      </c>
      <c r="C64" s="99" t="str">
        <f>IF('תנאי סף'!AO64&lt;&gt;1,"",'תנאי סף'!F64)</f>
        <v/>
      </c>
      <c r="D64" s="344" t="str">
        <f>'התחשיב הבסיסי'!AE64</f>
        <v/>
      </c>
      <c r="E64" s="492" t="str">
        <f>IF(C64="","",'סיכום לועדה- הזנת נתונים'!O64)</f>
        <v/>
      </c>
      <c r="F64" s="360"/>
      <c r="G64" s="424" t="str">
        <f t="shared" si="8"/>
        <v/>
      </c>
      <c r="H64" s="184" t="str">
        <f t="shared" si="9"/>
        <v/>
      </c>
      <c r="I64" s="425"/>
      <c r="J64" s="179"/>
      <c r="K64" s="179"/>
      <c r="L64" s="179"/>
      <c r="M64" s="179"/>
      <c r="N64" s="179"/>
      <c r="O64" s="179"/>
      <c r="P64" s="179"/>
      <c r="Q64" s="179"/>
      <c r="R64" s="179"/>
      <c r="S64" s="179"/>
      <c r="T64" s="179"/>
      <c r="U64" s="179"/>
      <c r="V64" s="179"/>
      <c r="W64" s="179"/>
      <c r="X64" s="179"/>
      <c r="Y64" s="345" t="str">
        <f t="shared" si="10"/>
        <v/>
      </c>
      <c r="Z64" s="181" t="str">
        <f t="shared" si="11"/>
        <v/>
      </c>
      <c r="AA64" s="187"/>
      <c r="AB64" s="187"/>
      <c r="AC64" s="187"/>
      <c r="AD64" s="186" t="str">
        <f t="shared" ref="AD64:AE95" si="13">IF($C64="","",AD$30)</f>
        <v/>
      </c>
      <c r="AE64" s="186" t="str">
        <f t="shared" si="13"/>
        <v/>
      </c>
      <c r="AF64" s="187">
        <f t="shared" si="12"/>
        <v>1</v>
      </c>
      <c r="AG64" s="187">
        <f t="shared" si="6"/>
        <v>0</v>
      </c>
      <c r="AH64" s="186"/>
      <c r="AI64" s="187">
        <f t="shared" si="7"/>
        <v>1</v>
      </c>
    </row>
    <row r="65" spans="2:35" ht="31.5" customHeight="1" x14ac:dyDescent="0.25">
      <c r="B65" s="98">
        <f t="shared" si="3"/>
        <v>35</v>
      </c>
      <c r="C65" s="99" t="str">
        <f>IF('תנאי סף'!AO65&lt;&gt;1,"",'תנאי סף'!F65)</f>
        <v>אנסמבל מיתר</v>
      </c>
      <c r="D65" s="344">
        <f>'התחשיב הבסיסי'!AE65</f>
        <v>7.2454427255791806E-2</v>
      </c>
      <c r="E65" s="492">
        <f>IF(C65="","",'סיכום לועדה- הזנת נתונים'!O65)</f>
        <v>167540</v>
      </c>
      <c r="F65" s="360">
        <v>0</v>
      </c>
      <c r="G65" s="424">
        <f t="shared" si="8"/>
        <v>5.5152208442034056E-2</v>
      </c>
      <c r="H65" s="184">
        <f t="shared" si="9"/>
        <v>6.3803317848912938E-2</v>
      </c>
      <c r="I65" s="425"/>
      <c r="J65" s="179"/>
      <c r="K65" s="179"/>
      <c r="L65" s="179"/>
      <c r="M65" s="179"/>
      <c r="N65" s="179"/>
      <c r="O65" s="179"/>
      <c r="P65" s="179"/>
      <c r="Q65" s="179"/>
      <c r="R65" s="179"/>
      <c r="S65" s="179"/>
      <c r="T65" s="179"/>
      <c r="U65" s="179"/>
      <c r="V65" s="179"/>
      <c r="W65" s="179"/>
      <c r="X65" s="179"/>
      <c r="Y65" s="345">
        <f t="shared" si="10"/>
        <v>6.5086405339862069E-2</v>
      </c>
      <c r="Z65" s="181">
        <f t="shared" si="11"/>
        <v>200229.66953617544</v>
      </c>
      <c r="AA65" s="187"/>
      <c r="AB65" s="187"/>
      <c r="AC65" s="187"/>
      <c r="AD65" s="186">
        <f t="shared" si="13"/>
        <v>0</v>
      </c>
      <c r="AE65" s="186">
        <f t="shared" si="13"/>
        <v>1</v>
      </c>
      <c r="AF65" s="187">
        <f t="shared" si="12"/>
        <v>1</v>
      </c>
      <c r="AG65" s="187">
        <f t="shared" si="6"/>
        <v>1</v>
      </c>
      <c r="AH65" s="186"/>
      <c r="AI65" s="187">
        <f t="shared" si="7"/>
        <v>1</v>
      </c>
    </row>
    <row r="66" spans="2:35" ht="31.5" hidden="1" customHeight="1" x14ac:dyDescent="0.25">
      <c r="B66" s="98" t="str">
        <f t="shared" si="3"/>
        <v/>
      </c>
      <c r="C66" s="99" t="str">
        <f>IF('תנאי סף'!AO66&lt;&gt;1,"",'תנאי סף'!F66)</f>
        <v/>
      </c>
      <c r="D66" s="344" t="str">
        <f>'התחשיב הבסיסי'!AE66</f>
        <v/>
      </c>
      <c r="E66" s="492" t="str">
        <f>IF(C66="","",'סיכום לועדה- הזנת נתונים'!O66)</f>
        <v/>
      </c>
      <c r="F66" s="360"/>
      <c r="G66" s="424" t="str">
        <f t="shared" si="8"/>
        <v/>
      </c>
      <c r="H66" s="184" t="str">
        <f t="shared" si="9"/>
        <v/>
      </c>
      <c r="I66" s="425"/>
      <c r="J66" s="179"/>
      <c r="K66" s="179"/>
      <c r="L66" s="179"/>
      <c r="M66" s="179"/>
      <c r="N66" s="179"/>
      <c r="O66" s="179"/>
      <c r="P66" s="179"/>
      <c r="Q66" s="179"/>
      <c r="R66" s="179"/>
      <c r="S66" s="179"/>
      <c r="T66" s="179"/>
      <c r="U66" s="179"/>
      <c r="V66" s="179"/>
      <c r="W66" s="179"/>
      <c r="X66" s="179"/>
      <c r="Y66" s="345" t="str">
        <f t="shared" si="10"/>
        <v/>
      </c>
      <c r="Z66" s="181" t="str">
        <f t="shared" si="11"/>
        <v/>
      </c>
      <c r="AA66" s="187"/>
      <c r="AB66" s="187"/>
      <c r="AC66" s="187"/>
      <c r="AD66" s="186" t="str">
        <f t="shared" si="13"/>
        <v/>
      </c>
      <c r="AE66" s="186" t="str">
        <f t="shared" si="13"/>
        <v/>
      </c>
      <c r="AF66" s="187">
        <f t="shared" si="12"/>
        <v>1</v>
      </c>
      <c r="AG66" s="187">
        <f t="shared" si="6"/>
        <v>0</v>
      </c>
      <c r="AH66" s="186"/>
      <c r="AI66" s="187">
        <f t="shared" si="7"/>
        <v>1</v>
      </c>
    </row>
    <row r="67" spans="2:35" ht="31.5" customHeight="1" x14ac:dyDescent="0.25">
      <c r="B67" s="98">
        <f t="shared" si="3"/>
        <v>37</v>
      </c>
      <c r="C67" s="99" t="str">
        <f>IF('תנאי סף'!AO67&lt;&gt;1,"",'תנאי סף'!F67)</f>
        <v>אנסמבל ארז נטף</v>
      </c>
      <c r="D67" s="344">
        <f>'התחשיב הבסיסי'!AE67</f>
        <v>3.4862779137650957E-2</v>
      </c>
      <c r="E67" s="492">
        <f>IF(C67="","",'סיכום לועדה- הזנת נתונים'!O67)</f>
        <v>75166</v>
      </c>
      <c r="F67" s="360">
        <v>0</v>
      </c>
      <c r="G67" s="424">
        <f t="shared" si="8"/>
        <v>2.4743768053921044E-2</v>
      </c>
      <c r="H67" s="184">
        <f t="shared" si="9"/>
        <v>2.9803273595786002E-2</v>
      </c>
      <c r="I67" s="425"/>
      <c r="J67" s="179"/>
      <c r="K67" s="179"/>
      <c r="L67" s="179"/>
      <c r="M67" s="179"/>
      <c r="N67" s="179"/>
      <c r="O67" s="179"/>
      <c r="P67" s="179"/>
      <c r="Q67" s="179"/>
      <c r="R67" s="179"/>
      <c r="S67" s="179"/>
      <c r="T67" s="179"/>
      <c r="U67" s="179"/>
      <c r="V67" s="179"/>
      <c r="W67" s="179"/>
      <c r="X67" s="179"/>
      <c r="Y67" s="345">
        <f t="shared" si="10"/>
        <v>3.0402618721232937E-2</v>
      </c>
      <c r="Z67" s="181">
        <f t="shared" si="11"/>
        <v>93529.612947583213</v>
      </c>
      <c r="AA67" s="187"/>
      <c r="AB67" s="187"/>
      <c r="AC67" s="187"/>
      <c r="AD67" s="186">
        <f t="shared" si="13"/>
        <v>0</v>
      </c>
      <c r="AE67" s="186">
        <f t="shared" si="13"/>
        <v>1</v>
      </c>
      <c r="AF67" s="187">
        <f t="shared" si="12"/>
        <v>1</v>
      </c>
      <c r="AG67" s="187">
        <f t="shared" si="6"/>
        <v>1</v>
      </c>
      <c r="AH67" s="186"/>
      <c r="AI67" s="187">
        <f t="shared" si="7"/>
        <v>1</v>
      </c>
    </row>
    <row r="68" spans="2:35" ht="31.5" hidden="1" customHeight="1" x14ac:dyDescent="0.25">
      <c r="B68" s="98" t="str">
        <f t="shared" si="3"/>
        <v/>
      </c>
      <c r="C68" s="99" t="str">
        <f>IF('תנאי סף'!AO68&lt;&gt;1,"",'תנאי סף'!F68)</f>
        <v/>
      </c>
      <c r="D68" s="344" t="str">
        <f>'התחשיב הבסיסי'!AE68</f>
        <v/>
      </c>
      <c r="E68" s="492" t="str">
        <f>IF(C68="","",'סיכום לועדה- הזנת נתונים'!O68)</f>
        <v/>
      </c>
      <c r="F68" s="360"/>
      <c r="G68" s="424" t="str">
        <f t="shared" si="8"/>
        <v/>
      </c>
      <c r="H68" s="184" t="str">
        <f t="shared" si="9"/>
        <v/>
      </c>
      <c r="I68" s="425"/>
      <c r="J68" s="179"/>
      <c r="K68" s="179"/>
      <c r="L68" s="179"/>
      <c r="M68" s="179"/>
      <c r="N68" s="179"/>
      <c r="O68" s="179"/>
      <c r="P68" s="179"/>
      <c r="Q68" s="179"/>
      <c r="R68" s="179"/>
      <c r="S68" s="179"/>
      <c r="T68" s="179"/>
      <c r="U68" s="179"/>
      <c r="V68" s="179"/>
      <c r="W68" s="179"/>
      <c r="X68" s="179"/>
      <c r="Y68" s="345" t="str">
        <f t="shared" si="10"/>
        <v/>
      </c>
      <c r="Z68" s="181" t="str">
        <f t="shared" si="11"/>
        <v/>
      </c>
      <c r="AA68" s="187"/>
      <c r="AB68" s="187"/>
      <c r="AC68" s="187"/>
      <c r="AD68" s="186" t="str">
        <f t="shared" si="13"/>
        <v/>
      </c>
      <c r="AE68" s="186" t="str">
        <f t="shared" si="13"/>
        <v/>
      </c>
      <c r="AF68" s="187">
        <f t="shared" si="12"/>
        <v>1</v>
      </c>
      <c r="AG68" s="187">
        <f t="shared" si="6"/>
        <v>0</v>
      </c>
      <c r="AH68" s="186"/>
      <c r="AI68" s="187">
        <f t="shared" si="7"/>
        <v>1</v>
      </c>
    </row>
    <row r="69" spans="2:35" ht="31.5" hidden="1" customHeight="1" x14ac:dyDescent="0.25">
      <c r="B69" s="98" t="str">
        <f t="shared" si="3"/>
        <v/>
      </c>
      <c r="C69" s="99" t="str">
        <f>IF('תנאי סף'!AO69&lt;&gt;1,"",'תנאי סף'!F69)</f>
        <v/>
      </c>
      <c r="D69" s="344" t="str">
        <f>'התחשיב הבסיסי'!AE69</f>
        <v/>
      </c>
      <c r="E69" s="492" t="str">
        <f>IF(C69="","",'סיכום לועדה- הזנת נתונים'!O69)</f>
        <v/>
      </c>
      <c r="F69" s="360"/>
      <c r="G69" s="424" t="str">
        <f t="shared" si="8"/>
        <v/>
      </c>
      <c r="H69" s="184" t="str">
        <f t="shared" si="9"/>
        <v/>
      </c>
      <c r="I69" s="425"/>
      <c r="J69" s="179"/>
      <c r="K69" s="179"/>
      <c r="L69" s="179"/>
      <c r="M69" s="179"/>
      <c r="N69" s="179"/>
      <c r="O69" s="179"/>
      <c r="P69" s="179"/>
      <c r="Q69" s="179"/>
      <c r="R69" s="179"/>
      <c r="S69" s="179"/>
      <c r="T69" s="179"/>
      <c r="U69" s="179"/>
      <c r="V69" s="179"/>
      <c r="W69" s="179"/>
      <c r="X69" s="179"/>
      <c r="Y69" s="345" t="str">
        <f t="shared" si="10"/>
        <v/>
      </c>
      <c r="Z69" s="181" t="str">
        <f t="shared" si="11"/>
        <v/>
      </c>
      <c r="AA69" s="187"/>
      <c r="AB69" s="187"/>
      <c r="AC69" s="187"/>
      <c r="AD69" s="186" t="str">
        <f t="shared" si="13"/>
        <v/>
      </c>
      <c r="AE69" s="186" t="str">
        <f t="shared" si="13"/>
        <v/>
      </c>
      <c r="AF69" s="187">
        <f t="shared" si="12"/>
        <v>1</v>
      </c>
      <c r="AG69" s="187">
        <f t="shared" si="6"/>
        <v>0</v>
      </c>
      <c r="AH69" s="186"/>
      <c r="AI69" s="187">
        <f t="shared" si="7"/>
        <v>1</v>
      </c>
    </row>
    <row r="70" spans="2:35" ht="31.5" customHeight="1" x14ac:dyDescent="0.25">
      <c r="B70" s="98">
        <f t="shared" si="3"/>
        <v>40</v>
      </c>
      <c r="C70" s="99" t="str">
        <f>IF('תנאי סף'!AO70&lt;&gt;1,"",'תנאי סף'!F70)</f>
        <v>תו המשווה (ע"ר)</v>
      </c>
      <c r="D70" s="344">
        <f>'התחשיב הבסיסי'!AE70</f>
        <v>3.5717495145249203E-2</v>
      </c>
      <c r="E70" s="492">
        <f>IF(C70="","",'סיכום לועדה- הזנת נתונים'!O70)</f>
        <v>101872</v>
      </c>
      <c r="F70" s="360">
        <v>0</v>
      </c>
      <c r="G70" s="424">
        <f t="shared" si="8"/>
        <v>3.3535070898930958E-2</v>
      </c>
      <c r="H70" s="184">
        <f t="shared" si="9"/>
        <v>3.4626283022090081E-2</v>
      </c>
      <c r="I70" s="425"/>
      <c r="J70" s="179"/>
      <c r="K70" s="179"/>
      <c r="L70" s="179"/>
      <c r="M70" s="179"/>
      <c r="N70" s="179"/>
      <c r="O70" s="179"/>
      <c r="P70" s="179"/>
      <c r="Q70" s="179"/>
      <c r="R70" s="179"/>
      <c r="S70" s="179"/>
      <c r="T70" s="179"/>
      <c r="U70" s="179"/>
      <c r="V70" s="179"/>
      <c r="W70" s="179"/>
      <c r="X70" s="179"/>
      <c r="Y70" s="345">
        <f t="shared" si="10"/>
        <v>3.5322619076414326E-2</v>
      </c>
      <c r="Z70" s="181">
        <f t="shared" si="11"/>
        <v>108665.33968025151</v>
      </c>
      <c r="AA70" s="187"/>
      <c r="AB70" s="187"/>
      <c r="AC70" s="187"/>
      <c r="AD70" s="186">
        <f t="shared" si="13"/>
        <v>0</v>
      </c>
      <c r="AE70" s="186">
        <f t="shared" si="13"/>
        <v>1</v>
      </c>
      <c r="AF70" s="187">
        <f t="shared" si="12"/>
        <v>1</v>
      </c>
      <c r="AG70" s="187">
        <f t="shared" si="6"/>
        <v>1</v>
      </c>
      <c r="AH70" s="186"/>
      <c r="AI70" s="187">
        <f t="shared" si="7"/>
        <v>1</v>
      </c>
    </row>
    <row r="71" spans="2:35" ht="31.5" hidden="1" customHeight="1" x14ac:dyDescent="0.25">
      <c r="B71" s="98" t="str">
        <f t="shared" si="3"/>
        <v/>
      </c>
      <c r="C71" s="99" t="str">
        <f>IF('תנאי סף'!AO71&lt;&gt;1,"",'תנאי סף'!F71)</f>
        <v/>
      </c>
      <c r="D71" s="344" t="str">
        <f>'התחשיב הבסיסי'!AE71</f>
        <v/>
      </c>
      <c r="E71" s="492" t="str">
        <f>IF(C71="","",'סיכום לועדה- הזנת נתונים'!O71)</f>
        <v/>
      </c>
      <c r="F71" s="360"/>
      <c r="G71" s="424" t="str">
        <f t="shared" si="8"/>
        <v/>
      </c>
      <c r="H71" s="184" t="str">
        <f t="shared" si="9"/>
        <v/>
      </c>
      <c r="I71" s="425"/>
      <c r="J71" s="179"/>
      <c r="K71" s="179"/>
      <c r="L71" s="179"/>
      <c r="M71" s="179"/>
      <c r="N71" s="179"/>
      <c r="O71" s="179"/>
      <c r="P71" s="179"/>
      <c r="Q71" s="179"/>
      <c r="R71" s="179"/>
      <c r="S71" s="179"/>
      <c r="T71" s="179"/>
      <c r="U71" s="179"/>
      <c r="V71" s="179"/>
      <c r="W71" s="179"/>
      <c r="X71" s="179"/>
      <c r="Y71" s="345" t="str">
        <f t="shared" si="10"/>
        <v/>
      </c>
      <c r="Z71" s="181" t="str">
        <f t="shared" si="11"/>
        <v/>
      </c>
      <c r="AA71" s="187"/>
      <c r="AB71" s="187"/>
      <c r="AC71" s="187"/>
      <c r="AD71" s="186" t="str">
        <f t="shared" si="13"/>
        <v/>
      </c>
      <c r="AE71" s="186" t="str">
        <f t="shared" si="13"/>
        <v/>
      </c>
      <c r="AF71" s="187">
        <f t="shared" si="12"/>
        <v>1</v>
      </c>
      <c r="AG71" s="187">
        <f t="shared" si="6"/>
        <v>0</v>
      </c>
      <c r="AH71" s="186"/>
      <c r="AI71" s="187">
        <f t="shared" si="7"/>
        <v>1</v>
      </c>
    </row>
    <row r="72" spans="2:35" ht="31.5" hidden="1" customHeight="1" x14ac:dyDescent="0.25">
      <c r="B72" s="98" t="str">
        <f t="shared" si="3"/>
        <v/>
      </c>
      <c r="C72" s="99" t="str">
        <f>IF('תנאי סף'!AO72&lt;&gt;1,"",'תנאי סף'!F72)</f>
        <v/>
      </c>
      <c r="D72" s="344" t="str">
        <f>'התחשיב הבסיסי'!AE72</f>
        <v/>
      </c>
      <c r="E72" s="492" t="str">
        <f>IF(C72="","",'סיכום לועדה- הזנת נתונים'!O72)</f>
        <v/>
      </c>
      <c r="F72" s="360"/>
      <c r="G72" s="424" t="str">
        <f t="shared" si="8"/>
        <v/>
      </c>
      <c r="H72" s="184" t="str">
        <f t="shared" si="9"/>
        <v/>
      </c>
      <c r="I72" s="425"/>
      <c r="J72" s="179"/>
      <c r="K72" s="179"/>
      <c r="L72" s="179"/>
      <c r="M72" s="179"/>
      <c r="N72" s="179"/>
      <c r="O72" s="179"/>
      <c r="P72" s="179"/>
      <c r="Q72" s="179"/>
      <c r="R72" s="179"/>
      <c r="S72" s="179"/>
      <c r="T72" s="179"/>
      <c r="U72" s="179"/>
      <c r="V72" s="179"/>
      <c r="W72" s="179"/>
      <c r="X72" s="179"/>
      <c r="Y72" s="345" t="str">
        <f t="shared" si="10"/>
        <v/>
      </c>
      <c r="Z72" s="181" t="str">
        <f t="shared" si="11"/>
        <v/>
      </c>
      <c r="AA72" s="187"/>
      <c r="AB72" s="187"/>
      <c r="AC72" s="187"/>
      <c r="AD72" s="186" t="str">
        <f t="shared" si="13"/>
        <v/>
      </c>
      <c r="AE72" s="186" t="str">
        <f t="shared" si="13"/>
        <v/>
      </c>
      <c r="AF72" s="187">
        <f t="shared" si="12"/>
        <v>1</v>
      </c>
      <c r="AG72" s="187">
        <f t="shared" si="6"/>
        <v>0</v>
      </c>
      <c r="AH72" s="186"/>
      <c r="AI72" s="187">
        <f t="shared" si="7"/>
        <v>1</v>
      </c>
    </row>
    <row r="73" spans="2:35" ht="31.5" customHeight="1" x14ac:dyDescent="0.25">
      <c r="B73" s="98">
        <f t="shared" si="3"/>
        <v>43</v>
      </c>
      <c r="C73" s="99" t="str">
        <f>IF('תנאי סף'!AO73&lt;&gt;1,"",'תנאי סף'!F73)</f>
        <v>בר קיימא ואקלקוטנטקט</v>
      </c>
      <c r="D73" s="344">
        <f>'התחשיב הבסיסי'!AE73</f>
        <v>4.1445485138929886E-2</v>
      </c>
      <c r="E73" s="492">
        <f>IF(C73="","",'סיכום לועדה- הזנת נתונים'!O73)</f>
        <v>120651</v>
      </c>
      <c r="F73" s="360">
        <v>0</v>
      </c>
      <c r="G73" s="424">
        <f t="shared" si="8"/>
        <v>3.9716898058611977E-2</v>
      </c>
      <c r="H73" s="184">
        <f t="shared" si="9"/>
        <v>4.0581191598770931E-2</v>
      </c>
      <c r="I73" s="425"/>
      <c r="J73" s="179"/>
      <c r="K73" s="179"/>
      <c r="L73" s="179"/>
      <c r="M73" s="179"/>
      <c r="N73" s="179"/>
      <c r="O73" s="179"/>
      <c r="P73" s="179"/>
      <c r="Q73" s="179"/>
      <c r="R73" s="179"/>
      <c r="S73" s="179"/>
      <c r="T73" s="179"/>
      <c r="U73" s="179"/>
      <c r="V73" s="179"/>
      <c r="W73" s="179"/>
      <c r="X73" s="179"/>
      <c r="Y73" s="345">
        <f t="shared" si="10"/>
        <v>4.1397281123009985E-2</v>
      </c>
      <c r="Z73" s="181">
        <f t="shared" si="11"/>
        <v>127353.22953655086</v>
      </c>
      <c r="AA73" s="187"/>
      <c r="AB73" s="187"/>
      <c r="AC73" s="187"/>
      <c r="AD73" s="186">
        <f t="shared" si="13"/>
        <v>0</v>
      </c>
      <c r="AE73" s="186">
        <f t="shared" si="13"/>
        <v>1</v>
      </c>
      <c r="AF73" s="187">
        <f t="shared" si="12"/>
        <v>1</v>
      </c>
      <c r="AG73" s="187">
        <f t="shared" si="6"/>
        <v>1</v>
      </c>
      <c r="AH73" s="186"/>
      <c r="AI73" s="187">
        <f t="shared" si="7"/>
        <v>1</v>
      </c>
    </row>
    <row r="74" spans="2:35" ht="31.5" hidden="1" customHeight="1" x14ac:dyDescent="0.25">
      <c r="B74" s="98" t="str">
        <f t="shared" si="3"/>
        <v/>
      </c>
      <c r="C74" s="99" t="str">
        <f>IF('תנאי סף'!AO74&lt;&gt;1,"",'תנאי סף'!F74)</f>
        <v/>
      </c>
      <c r="D74" s="344" t="str">
        <f>'התחשיב הבסיסי'!AE74</f>
        <v/>
      </c>
      <c r="E74" s="492" t="str">
        <f>IF(C74="","",'סיכום לועדה- הזנת נתונים'!O74)</f>
        <v/>
      </c>
      <c r="F74" s="360"/>
      <c r="G74" s="424" t="str">
        <f t="shared" si="8"/>
        <v/>
      </c>
      <c r="H74" s="184" t="str">
        <f t="shared" si="9"/>
        <v/>
      </c>
      <c r="I74" s="425"/>
      <c r="J74" s="179"/>
      <c r="K74" s="179"/>
      <c r="L74" s="179"/>
      <c r="M74" s="179"/>
      <c r="N74" s="179"/>
      <c r="O74" s="179"/>
      <c r="P74" s="179"/>
      <c r="Q74" s="179"/>
      <c r="R74" s="179"/>
      <c r="S74" s="179"/>
      <c r="T74" s="179"/>
      <c r="U74" s="179"/>
      <c r="V74" s="179"/>
      <c r="W74" s="179"/>
      <c r="X74" s="179"/>
      <c r="Y74" s="345" t="str">
        <f t="shared" si="10"/>
        <v/>
      </c>
      <c r="Z74" s="181" t="str">
        <f t="shared" si="11"/>
        <v/>
      </c>
      <c r="AA74" s="187"/>
      <c r="AB74" s="187"/>
      <c r="AC74" s="187"/>
      <c r="AD74" s="186" t="str">
        <f t="shared" si="13"/>
        <v/>
      </c>
      <c r="AE74" s="186" t="str">
        <f t="shared" si="13"/>
        <v/>
      </c>
      <c r="AF74" s="187">
        <f t="shared" si="12"/>
        <v>1</v>
      </c>
      <c r="AG74" s="187">
        <f t="shared" si="6"/>
        <v>0</v>
      </c>
      <c r="AH74" s="186"/>
      <c r="AI74" s="187">
        <f t="shared" si="7"/>
        <v>1</v>
      </c>
    </row>
    <row r="75" spans="2:35" ht="31.5" customHeight="1" x14ac:dyDescent="0.25">
      <c r="B75" s="98">
        <f t="shared" si="3"/>
        <v>45</v>
      </c>
      <c r="C75" s="99" t="str">
        <f>IF('תנאי סף'!AO75&lt;&gt;1,"",'תנאי סף'!F75)</f>
        <v>אלקאת התזמורת התימנית</v>
      </c>
      <c r="D75" s="344">
        <f>'התחשיב הבסיסי'!AE75</f>
        <v>2.5333355618487607E-2</v>
      </c>
      <c r="E75" s="492">
        <f>IF(C75="","",'סיכום לועדה- הזנת נתונים'!O75)</f>
        <v>57326</v>
      </c>
      <c r="F75" s="360">
        <v>0</v>
      </c>
      <c r="G75" s="424">
        <f t="shared" si="8"/>
        <v>1.8871048711639277E-2</v>
      </c>
      <c r="H75" s="184">
        <f t="shared" si="9"/>
        <v>2.2102202165063443E-2</v>
      </c>
      <c r="I75" s="425"/>
      <c r="J75" s="179"/>
      <c r="K75" s="179"/>
      <c r="L75" s="179"/>
      <c r="M75" s="179"/>
      <c r="N75" s="179"/>
      <c r="O75" s="179"/>
      <c r="P75" s="179"/>
      <c r="Q75" s="179"/>
      <c r="R75" s="179"/>
      <c r="S75" s="179"/>
      <c r="T75" s="179"/>
      <c r="U75" s="179"/>
      <c r="V75" s="179"/>
      <c r="W75" s="179"/>
      <c r="X75" s="179"/>
      <c r="Y75" s="345">
        <f t="shared" si="10"/>
        <v>2.2546678409818867E-2</v>
      </c>
      <c r="Z75" s="181">
        <f t="shared" si="11"/>
        <v>69361.857419579232</v>
      </c>
      <c r="AA75" s="187"/>
      <c r="AB75" s="187"/>
      <c r="AC75" s="187"/>
      <c r="AD75" s="186">
        <f t="shared" si="13"/>
        <v>0</v>
      </c>
      <c r="AE75" s="186">
        <f t="shared" si="13"/>
        <v>1</v>
      </c>
      <c r="AF75" s="187">
        <f t="shared" si="12"/>
        <v>1</v>
      </c>
      <c r="AG75" s="187">
        <f t="shared" si="6"/>
        <v>1</v>
      </c>
      <c r="AH75" s="186"/>
      <c r="AI75" s="187">
        <f t="shared" si="7"/>
        <v>1</v>
      </c>
    </row>
    <row r="76" spans="2:35" ht="31.5" hidden="1" customHeight="1" x14ac:dyDescent="0.25">
      <c r="B76" s="98" t="str">
        <f t="shared" si="3"/>
        <v/>
      </c>
      <c r="C76" s="99" t="str">
        <f>IF('תנאי סף'!AO76&lt;&gt;1,"",'תנאי סף'!F76)</f>
        <v/>
      </c>
      <c r="D76" s="344" t="str">
        <f>'התחשיב הבסיסי'!AE76</f>
        <v/>
      </c>
      <c r="E76" s="492" t="str">
        <f>IF(C76="","",'סיכום לועדה- הזנת נתונים'!O76)</f>
        <v/>
      </c>
      <c r="F76" s="360"/>
      <c r="G76" s="424" t="str">
        <f t="shared" si="8"/>
        <v/>
      </c>
      <c r="H76" s="184" t="str">
        <f t="shared" si="9"/>
        <v/>
      </c>
      <c r="I76" s="425"/>
      <c r="J76" s="179"/>
      <c r="K76" s="179"/>
      <c r="L76" s="179"/>
      <c r="M76" s="179"/>
      <c r="N76" s="179"/>
      <c r="O76" s="179"/>
      <c r="P76" s="179"/>
      <c r="Q76" s="179"/>
      <c r="R76" s="179"/>
      <c r="S76" s="179"/>
      <c r="T76" s="179"/>
      <c r="U76" s="179"/>
      <c r="V76" s="179"/>
      <c r="W76" s="179"/>
      <c r="X76" s="179"/>
      <c r="Y76" s="345" t="str">
        <f t="shared" si="10"/>
        <v/>
      </c>
      <c r="Z76" s="181" t="str">
        <f t="shared" si="11"/>
        <v/>
      </c>
      <c r="AA76" s="187"/>
      <c r="AB76" s="187"/>
      <c r="AC76" s="187"/>
      <c r="AD76" s="186" t="str">
        <f t="shared" si="13"/>
        <v/>
      </c>
      <c r="AE76" s="186" t="str">
        <f t="shared" si="13"/>
        <v/>
      </c>
      <c r="AF76" s="187">
        <f t="shared" si="12"/>
        <v>1</v>
      </c>
      <c r="AG76" s="187">
        <f t="shared" si="6"/>
        <v>0</v>
      </c>
      <c r="AH76" s="186"/>
      <c r="AI76" s="187">
        <f t="shared" si="7"/>
        <v>1</v>
      </c>
    </row>
    <row r="77" spans="2:35" ht="31.5" hidden="1" customHeight="1" x14ac:dyDescent="0.25">
      <c r="B77" s="98" t="str">
        <f t="shared" si="3"/>
        <v/>
      </c>
      <c r="C77" s="99" t="str">
        <f>IF('תנאי סף'!AO77&lt;&gt;1,"",'תנאי סף'!F77)</f>
        <v/>
      </c>
      <c r="D77" s="344" t="str">
        <f>'התחשיב הבסיסי'!AE77</f>
        <v/>
      </c>
      <c r="E77" s="492" t="str">
        <f>IF(C77="","",'סיכום לועדה- הזנת נתונים'!O77)</f>
        <v/>
      </c>
      <c r="F77" s="360"/>
      <c r="G77" s="424" t="str">
        <f t="shared" si="8"/>
        <v/>
      </c>
      <c r="H77" s="184" t="str">
        <f t="shared" si="9"/>
        <v/>
      </c>
      <c r="I77" s="425"/>
      <c r="J77" s="179"/>
      <c r="K77" s="179"/>
      <c r="L77" s="179"/>
      <c r="M77" s="179"/>
      <c r="N77" s="179"/>
      <c r="O77" s="179"/>
      <c r="P77" s="179"/>
      <c r="Q77" s="179"/>
      <c r="R77" s="179"/>
      <c r="S77" s="179"/>
      <c r="T77" s="179"/>
      <c r="U77" s="179"/>
      <c r="V77" s="179"/>
      <c r="W77" s="179"/>
      <c r="X77" s="179"/>
      <c r="Y77" s="345" t="str">
        <f t="shared" si="10"/>
        <v/>
      </c>
      <c r="Z77" s="181" t="str">
        <f t="shared" si="11"/>
        <v/>
      </c>
      <c r="AA77" s="187"/>
      <c r="AB77" s="187"/>
      <c r="AC77" s="187"/>
      <c r="AD77" s="186" t="str">
        <f t="shared" si="13"/>
        <v/>
      </c>
      <c r="AE77" s="186" t="str">
        <f t="shared" si="13"/>
        <v/>
      </c>
      <c r="AF77" s="187">
        <f t="shared" si="12"/>
        <v>1</v>
      </c>
      <c r="AG77" s="187">
        <f t="shared" si="6"/>
        <v>0</v>
      </c>
      <c r="AH77" s="186"/>
      <c r="AI77" s="187">
        <f t="shared" si="7"/>
        <v>1</v>
      </c>
    </row>
    <row r="78" spans="2:35" ht="31.5" customHeight="1" x14ac:dyDescent="0.25">
      <c r="B78" s="98">
        <f t="shared" si="3"/>
        <v>48</v>
      </c>
      <c r="C78" s="99" t="str">
        <f>IF('תנאי סף'!AO78&lt;&gt;1,"",'תנאי סף'!F78)</f>
        <v>גיא מינטוס- טריו</v>
      </c>
      <c r="D78" s="344">
        <f>'התחשיב הבסיסי'!AE78</f>
        <v>3.1675317370744055E-2</v>
      </c>
      <c r="E78" s="492">
        <f>IF(C78="","",'סיכום לועדה- הזנת נתונים'!O78)</f>
        <v>70000</v>
      </c>
      <c r="F78" s="360">
        <v>0</v>
      </c>
      <c r="G78" s="424">
        <f t="shared" si="8"/>
        <v>2.3043181275769271E-2</v>
      </c>
      <c r="H78" s="184">
        <f t="shared" si="9"/>
        <v>2.7359249323256663E-2</v>
      </c>
      <c r="I78" s="425"/>
      <c r="J78" s="179"/>
      <c r="K78" s="179"/>
      <c r="L78" s="179"/>
      <c r="M78" s="179"/>
      <c r="N78" s="179"/>
      <c r="O78" s="179"/>
      <c r="P78" s="179"/>
      <c r="Q78" s="179"/>
      <c r="R78" s="179"/>
      <c r="S78" s="179"/>
      <c r="T78" s="179"/>
      <c r="U78" s="179"/>
      <c r="V78" s="179"/>
      <c r="W78" s="179"/>
      <c r="X78" s="179"/>
      <c r="Y78" s="345">
        <f t="shared" si="10"/>
        <v>2.7909445014514544E-2</v>
      </c>
      <c r="Z78" s="181">
        <f t="shared" si="11"/>
        <v>85859.695630967064</v>
      </c>
      <c r="AA78" s="187"/>
      <c r="AB78" s="187"/>
      <c r="AC78" s="187"/>
      <c r="AD78" s="186">
        <f t="shared" si="13"/>
        <v>0</v>
      </c>
      <c r="AE78" s="186">
        <f t="shared" si="13"/>
        <v>1</v>
      </c>
      <c r="AF78" s="187">
        <f t="shared" si="12"/>
        <v>1</v>
      </c>
      <c r="AG78" s="187">
        <f t="shared" si="6"/>
        <v>1</v>
      </c>
      <c r="AH78" s="186"/>
      <c r="AI78" s="187">
        <f t="shared" si="7"/>
        <v>1</v>
      </c>
    </row>
    <row r="79" spans="2:35" ht="31.5" hidden="1" customHeight="1" x14ac:dyDescent="0.25">
      <c r="B79" s="98" t="str">
        <f t="shared" si="3"/>
        <v/>
      </c>
      <c r="C79" s="99" t="str">
        <f>IF('תנאי סף'!AO79&lt;&gt;1,"",'תנאי סף'!F79)</f>
        <v/>
      </c>
      <c r="D79" s="344" t="str">
        <f>'התחשיב הבסיסי'!AE79</f>
        <v/>
      </c>
      <c r="E79" s="492" t="str">
        <f>IF(C79="","",'סיכום לועדה- הזנת נתונים'!O79)</f>
        <v/>
      </c>
      <c r="F79" s="360"/>
      <c r="G79" s="424" t="str">
        <f t="shared" si="8"/>
        <v/>
      </c>
      <c r="H79" s="184" t="str">
        <f t="shared" si="9"/>
        <v/>
      </c>
      <c r="I79" s="425"/>
      <c r="J79" s="179"/>
      <c r="K79" s="179"/>
      <c r="L79" s="179"/>
      <c r="M79" s="179"/>
      <c r="N79" s="179"/>
      <c r="O79" s="179"/>
      <c r="P79" s="179"/>
      <c r="Q79" s="179"/>
      <c r="R79" s="179"/>
      <c r="S79" s="179"/>
      <c r="T79" s="179"/>
      <c r="U79" s="179"/>
      <c r="V79" s="179"/>
      <c r="W79" s="179"/>
      <c r="X79" s="179"/>
      <c r="Y79" s="345" t="str">
        <f t="shared" si="10"/>
        <v/>
      </c>
      <c r="Z79" s="181" t="str">
        <f t="shared" si="11"/>
        <v/>
      </c>
      <c r="AA79" s="187"/>
      <c r="AB79" s="187"/>
      <c r="AC79" s="187"/>
      <c r="AD79" s="186" t="str">
        <f t="shared" si="13"/>
        <v/>
      </c>
      <c r="AE79" s="186" t="str">
        <f t="shared" si="13"/>
        <v/>
      </c>
      <c r="AF79" s="187">
        <f t="shared" si="12"/>
        <v>1</v>
      </c>
      <c r="AG79" s="187">
        <f t="shared" si="6"/>
        <v>0</v>
      </c>
      <c r="AH79" s="186"/>
      <c r="AI79" s="187">
        <f t="shared" si="7"/>
        <v>1</v>
      </c>
    </row>
    <row r="80" spans="2:35" ht="31.5" hidden="1" customHeight="1" x14ac:dyDescent="0.25">
      <c r="B80" s="98" t="str">
        <f t="shared" si="3"/>
        <v/>
      </c>
      <c r="C80" s="99" t="str">
        <f>IF('תנאי סף'!AO80&lt;&gt;1,"",'תנאי סף'!F80)</f>
        <v/>
      </c>
      <c r="D80" s="344" t="str">
        <f>'התחשיב הבסיסי'!AE80</f>
        <v/>
      </c>
      <c r="E80" s="492" t="str">
        <f>IF(C80="","",'סיכום לועדה- הזנת נתונים'!O80)</f>
        <v/>
      </c>
      <c r="F80" s="360"/>
      <c r="G80" s="424" t="str">
        <f t="shared" si="8"/>
        <v/>
      </c>
      <c r="H80" s="184" t="str">
        <f t="shared" si="9"/>
        <v/>
      </c>
      <c r="I80" s="425"/>
      <c r="J80" s="179"/>
      <c r="K80" s="179"/>
      <c r="L80" s="179"/>
      <c r="M80" s="179"/>
      <c r="N80" s="179"/>
      <c r="O80" s="179"/>
      <c r="P80" s="179"/>
      <c r="Q80" s="179"/>
      <c r="R80" s="179"/>
      <c r="S80" s="179"/>
      <c r="T80" s="179"/>
      <c r="U80" s="179"/>
      <c r="V80" s="179"/>
      <c r="W80" s="179"/>
      <c r="X80" s="179"/>
      <c r="Y80" s="345" t="str">
        <f t="shared" si="10"/>
        <v/>
      </c>
      <c r="Z80" s="181" t="str">
        <f t="shared" si="11"/>
        <v/>
      </c>
      <c r="AA80" s="187"/>
      <c r="AB80" s="187"/>
      <c r="AC80" s="187"/>
      <c r="AD80" s="186" t="str">
        <f t="shared" si="13"/>
        <v/>
      </c>
      <c r="AE80" s="186" t="str">
        <f t="shared" si="13"/>
        <v/>
      </c>
      <c r="AF80" s="187">
        <f t="shared" si="12"/>
        <v>1</v>
      </c>
      <c r="AG80" s="187">
        <f t="shared" si="6"/>
        <v>0</v>
      </c>
      <c r="AH80" s="186"/>
      <c r="AI80" s="187">
        <f t="shared" si="7"/>
        <v>1</v>
      </c>
    </row>
    <row r="81" spans="2:35" ht="31.5" hidden="1" customHeight="1" x14ac:dyDescent="0.25">
      <c r="B81" s="98" t="str">
        <f t="shared" si="3"/>
        <v/>
      </c>
      <c r="C81" s="99" t="str">
        <f>IF('תנאי סף'!AO81&lt;&gt;1,"",'תנאי סף'!F81)</f>
        <v/>
      </c>
      <c r="D81" s="344" t="str">
        <f>'התחשיב הבסיסי'!AE81</f>
        <v/>
      </c>
      <c r="E81" s="492" t="str">
        <f>IF(C81="","",'סיכום לועדה- הזנת נתונים'!O81)</f>
        <v/>
      </c>
      <c r="F81" s="360"/>
      <c r="G81" s="424" t="str">
        <f t="shared" si="8"/>
        <v/>
      </c>
      <c r="H81" s="184" t="str">
        <f t="shared" si="9"/>
        <v/>
      </c>
      <c r="I81" s="425"/>
      <c r="J81" s="179"/>
      <c r="K81" s="179"/>
      <c r="L81" s="179"/>
      <c r="M81" s="179"/>
      <c r="N81" s="179"/>
      <c r="O81" s="179"/>
      <c r="P81" s="179"/>
      <c r="Q81" s="179"/>
      <c r="R81" s="179"/>
      <c r="S81" s="179"/>
      <c r="T81" s="179"/>
      <c r="U81" s="179"/>
      <c r="V81" s="179"/>
      <c r="W81" s="179"/>
      <c r="X81" s="179"/>
      <c r="Y81" s="345" t="str">
        <f t="shared" si="10"/>
        <v/>
      </c>
      <c r="Z81" s="181" t="str">
        <f t="shared" si="11"/>
        <v/>
      </c>
      <c r="AA81" s="187"/>
      <c r="AB81" s="187"/>
      <c r="AC81" s="187"/>
      <c r="AD81" s="186" t="str">
        <f t="shared" si="13"/>
        <v/>
      </c>
      <c r="AE81" s="186" t="str">
        <f t="shared" si="13"/>
        <v/>
      </c>
      <c r="AF81" s="187">
        <f t="shared" si="12"/>
        <v>1</v>
      </c>
      <c r="AG81" s="187">
        <f t="shared" si="6"/>
        <v>0</v>
      </c>
      <c r="AH81" s="186"/>
      <c r="AI81" s="187">
        <f t="shared" si="7"/>
        <v>1</v>
      </c>
    </row>
    <row r="82" spans="2:35" ht="31.5" customHeight="1" x14ac:dyDescent="0.25">
      <c r="B82" s="98">
        <f t="shared" si="3"/>
        <v>52</v>
      </c>
      <c r="C82" s="99" t="str">
        <f>IF('תנאי סף'!AO82&lt;&gt;1,"",'תנאי סף'!F82)</f>
        <v xml:space="preserve">פולקעס - בר-קיימא לתרבות </v>
      </c>
      <c r="D82" s="344">
        <f>'התחשיב הבסיסי'!AE82</f>
        <v>4.1177739663312105E-2</v>
      </c>
      <c r="E82" s="492">
        <f>IF(C82="","",'סיכום לועדה- הזנת נתונים'!O82)</f>
        <v>130173</v>
      </c>
      <c r="F82" s="360">
        <v>0</v>
      </c>
      <c r="G82" s="424">
        <f t="shared" si="8"/>
        <v>4.2851429088724476E-2</v>
      </c>
      <c r="H82" s="184">
        <f t="shared" si="9"/>
        <v>4.2014584376018294E-2</v>
      </c>
      <c r="I82" s="425"/>
      <c r="J82" s="179"/>
      <c r="K82" s="179"/>
      <c r="L82" s="179"/>
      <c r="M82" s="179"/>
      <c r="N82" s="179"/>
      <c r="O82" s="179"/>
      <c r="P82" s="179"/>
      <c r="Q82" s="179"/>
      <c r="R82" s="179"/>
      <c r="S82" s="179"/>
      <c r="T82" s="179"/>
      <c r="U82" s="179"/>
      <c r="V82" s="179"/>
      <c r="W82" s="179"/>
      <c r="X82" s="179"/>
      <c r="Y82" s="345">
        <f t="shared" si="10"/>
        <v>4.2859499491215772E-2</v>
      </c>
      <c r="Z82" s="181">
        <f t="shared" si="11"/>
        <v>131851.54987129298</v>
      </c>
      <c r="AA82" s="187"/>
      <c r="AB82" s="187"/>
      <c r="AC82" s="187"/>
      <c r="AD82" s="186">
        <f t="shared" si="13"/>
        <v>0</v>
      </c>
      <c r="AE82" s="186">
        <f t="shared" si="13"/>
        <v>1</v>
      </c>
      <c r="AF82" s="187">
        <f t="shared" si="12"/>
        <v>1</v>
      </c>
      <c r="AG82" s="187">
        <f t="shared" si="6"/>
        <v>1</v>
      </c>
      <c r="AH82" s="186"/>
      <c r="AI82" s="187">
        <f t="shared" si="7"/>
        <v>1</v>
      </c>
    </row>
    <row r="83" spans="2:35" ht="31.5" hidden="1" customHeight="1" x14ac:dyDescent="0.25">
      <c r="B83" s="98" t="str">
        <f t="shared" si="3"/>
        <v/>
      </c>
      <c r="C83" s="99" t="str">
        <f>IF('תנאי סף'!AO83&lt;&gt;1,"",'תנאי סף'!F83)</f>
        <v/>
      </c>
      <c r="D83" s="344" t="str">
        <f>'התחשיב הבסיסי'!AE83</f>
        <v/>
      </c>
      <c r="E83" s="492" t="str">
        <f>IF(C83="","",'סיכום לועדה- הזנת נתונים'!O83)</f>
        <v/>
      </c>
      <c r="F83" s="360"/>
      <c r="G83" s="424" t="str">
        <f t="shared" si="8"/>
        <v/>
      </c>
      <c r="H83" s="184" t="str">
        <f t="shared" si="9"/>
        <v/>
      </c>
      <c r="I83" s="425"/>
      <c r="J83" s="179"/>
      <c r="K83" s="179"/>
      <c r="L83" s="179"/>
      <c r="M83" s="179"/>
      <c r="N83" s="179"/>
      <c r="O83" s="179"/>
      <c r="P83" s="179"/>
      <c r="Q83" s="179"/>
      <c r="R83" s="179"/>
      <c r="S83" s="179"/>
      <c r="T83" s="179"/>
      <c r="U83" s="179"/>
      <c r="V83" s="179"/>
      <c r="W83" s="179"/>
      <c r="X83" s="179"/>
      <c r="Y83" s="345" t="str">
        <f t="shared" si="10"/>
        <v/>
      </c>
      <c r="Z83" s="181" t="str">
        <f t="shared" si="11"/>
        <v/>
      </c>
      <c r="AA83" s="187"/>
      <c r="AB83" s="187"/>
      <c r="AC83" s="187"/>
      <c r="AD83" s="186" t="str">
        <f t="shared" si="13"/>
        <v/>
      </c>
      <c r="AE83" s="186" t="str">
        <f t="shared" si="13"/>
        <v/>
      </c>
      <c r="AF83" s="187">
        <f t="shared" si="12"/>
        <v>1</v>
      </c>
      <c r="AG83" s="187">
        <f t="shared" si="6"/>
        <v>0</v>
      </c>
      <c r="AH83" s="186"/>
      <c r="AI83" s="187">
        <f t="shared" si="7"/>
        <v>1</v>
      </c>
    </row>
    <row r="84" spans="2:35" ht="31.5" hidden="1" customHeight="1" x14ac:dyDescent="0.25">
      <c r="B84" s="98" t="str">
        <f t="shared" si="3"/>
        <v/>
      </c>
      <c r="C84" s="99" t="str">
        <f>IF('תנאי סף'!AO84&lt;&gt;1,"",'תנאי סף'!F84)</f>
        <v/>
      </c>
      <c r="D84" s="344" t="str">
        <f>'התחשיב הבסיסי'!AE84</f>
        <v/>
      </c>
      <c r="E84" s="492" t="str">
        <f>IF(C84="","",'סיכום לועדה- הזנת נתונים'!O84)</f>
        <v/>
      </c>
      <c r="F84" s="360"/>
      <c r="G84" s="424" t="str">
        <f t="shared" si="8"/>
        <v/>
      </c>
      <c r="H84" s="184" t="str">
        <f t="shared" si="9"/>
        <v/>
      </c>
      <c r="I84" s="425"/>
      <c r="J84" s="179"/>
      <c r="K84" s="179"/>
      <c r="L84" s="179"/>
      <c r="M84" s="179"/>
      <c r="N84" s="179"/>
      <c r="O84" s="179"/>
      <c r="P84" s="179"/>
      <c r="Q84" s="179"/>
      <c r="R84" s="179"/>
      <c r="S84" s="179"/>
      <c r="T84" s="179"/>
      <c r="U84" s="179"/>
      <c r="V84" s="179"/>
      <c r="W84" s="179"/>
      <c r="X84" s="179"/>
      <c r="Y84" s="345" t="str">
        <f t="shared" si="10"/>
        <v/>
      </c>
      <c r="Z84" s="181" t="str">
        <f t="shared" si="11"/>
        <v/>
      </c>
      <c r="AA84" s="187"/>
      <c r="AB84" s="187"/>
      <c r="AC84" s="187"/>
      <c r="AD84" s="186" t="str">
        <f t="shared" si="13"/>
        <v/>
      </c>
      <c r="AE84" s="186" t="str">
        <f t="shared" si="13"/>
        <v/>
      </c>
      <c r="AF84" s="187">
        <f t="shared" si="12"/>
        <v>1</v>
      </c>
      <c r="AG84" s="187">
        <f t="shared" si="6"/>
        <v>0</v>
      </c>
      <c r="AH84" s="186"/>
      <c r="AI84" s="187">
        <f t="shared" si="7"/>
        <v>1</v>
      </c>
    </row>
    <row r="85" spans="2:35" ht="31.5" customHeight="1" x14ac:dyDescent="0.25">
      <c r="B85" s="98">
        <f t="shared" si="3"/>
        <v>55</v>
      </c>
      <c r="C85" s="99" t="str">
        <f>IF('תנאי סף'!AO85&lt;&gt;1,"",'תנאי סף'!F85)</f>
        <v>מכון רננות</v>
      </c>
      <c r="D85" s="344">
        <f>'התחשיב הבסיסי'!AE85</f>
        <v>2.9667804200892746E-2</v>
      </c>
      <c r="E85" s="492">
        <f>IF(C85="","",'סיכום לועדה- הזנת נתונים'!O85)</f>
        <v>45810</v>
      </c>
      <c r="F85" s="360">
        <v>0</v>
      </c>
      <c r="G85" s="424">
        <f t="shared" si="8"/>
        <v>1.5080116203471291E-2</v>
      </c>
      <c r="H85" s="184">
        <f t="shared" si="9"/>
        <v>2.2373960202182019E-2</v>
      </c>
      <c r="I85" s="425"/>
      <c r="J85" s="179"/>
      <c r="K85" s="179"/>
      <c r="L85" s="179"/>
      <c r="M85" s="179"/>
      <c r="N85" s="179"/>
      <c r="O85" s="179"/>
      <c r="P85" s="179"/>
      <c r="Q85" s="179"/>
      <c r="R85" s="179"/>
      <c r="S85" s="179"/>
      <c r="T85" s="179"/>
      <c r="U85" s="179"/>
      <c r="V85" s="179"/>
      <c r="W85" s="179"/>
      <c r="X85" s="179"/>
      <c r="Y85" s="345">
        <f t="shared" si="10"/>
        <v>2.2823901512857958E-2</v>
      </c>
      <c r="Z85" s="181">
        <f t="shared" si="11"/>
        <v>70214.697425406295</v>
      </c>
      <c r="AA85" s="187"/>
      <c r="AB85" s="187"/>
      <c r="AC85" s="187"/>
      <c r="AD85" s="186">
        <f t="shared" si="13"/>
        <v>0</v>
      </c>
      <c r="AE85" s="186">
        <f t="shared" si="13"/>
        <v>1</v>
      </c>
      <c r="AF85" s="187">
        <f t="shared" si="12"/>
        <v>1</v>
      </c>
      <c r="AG85" s="187">
        <f t="shared" si="6"/>
        <v>1</v>
      </c>
      <c r="AH85" s="186"/>
      <c r="AI85" s="187">
        <f t="shared" si="7"/>
        <v>1</v>
      </c>
    </row>
    <row r="86" spans="2:35" ht="31.5" hidden="1" customHeight="1" x14ac:dyDescent="0.25">
      <c r="B86" s="98" t="str">
        <f t="shared" si="3"/>
        <v/>
      </c>
      <c r="C86" s="99" t="str">
        <f>IF('תנאי סף'!AO86&lt;&gt;1,"",'תנאי סף'!F86)</f>
        <v/>
      </c>
      <c r="D86" s="344" t="str">
        <f>'התחשיב הבסיסי'!AE86</f>
        <v/>
      </c>
      <c r="E86" s="492" t="str">
        <f>IF(C86="","",'סיכום לועדה- הזנת נתונים'!O86)</f>
        <v/>
      </c>
      <c r="F86" s="360"/>
      <c r="G86" s="424" t="str">
        <f t="shared" si="8"/>
        <v/>
      </c>
      <c r="H86" s="184" t="str">
        <f t="shared" si="9"/>
        <v/>
      </c>
      <c r="I86" s="425"/>
      <c r="J86" s="179"/>
      <c r="K86" s="179"/>
      <c r="L86" s="179"/>
      <c r="M86" s="179"/>
      <c r="N86" s="179"/>
      <c r="O86" s="179"/>
      <c r="P86" s="179"/>
      <c r="Q86" s="179"/>
      <c r="R86" s="179"/>
      <c r="S86" s="179"/>
      <c r="T86" s="179"/>
      <c r="U86" s="179"/>
      <c r="V86" s="179"/>
      <c r="W86" s="179"/>
      <c r="X86" s="179"/>
      <c r="Y86" s="345" t="str">
        <f t="shared" si="10"/>
        <v/>
      </c>
      <c r="Z86" s="181" t="str">
        <f t="shared" si="11"/>
        <v/>
      </c>
      <c r="AA86" s="187"/>
      <c r="AB86" s="187"/>
      <c r="AC86" s="187"/>
      <c r="AD86" s="186" t="str">
        <f t="shared" si="13"/>
        <v/>
      </c>
      <c r="AE86" s="186" t="str">
        <f t="shared" si="13"/>
        <v/>
      </c>
      <c r="AF86" s="187">
        <f t="shared" si="12"/>
        <v>1</v>
      </c>
      <c r="AG86" s="187">
        <f t="shared" si="6"/>
        <v>0</v>
      </c>
      <c r="AH86" s="186"/>
      <c r="AI86" s="187">
        <f t="shared" si="7"/>
        <v>1</v>
      </c>
    </row>
    <row r="87" spans="2:35" ht="31.5" customHeight="1" x14ac:dyDescent="0.25">
      <c r="B87" s="98">
        <f t="shared" si="3"/>
        <v>57</v>
      </c>
      <c r="C87" s="99" t="str">
        <f>IF('תנאי סף'!AO87&lt;&gt;1,"",'תנאי סף'!F87)</f>
        <v>עמותת מפעל המוזיקה צימבליסטה</v>
      </c>
      <c r="D87" s="344">
        <f>'התחשיב הבסיסי'!AE87</f>
        <v>2.8025568032999774E-2</v>
      </c>
      <c r="E87" s="492">
        <f>IF(C87="","",'סיכום לועדה- הזנת נתונים'!O87)</f>
        <v>76074</v>
      </c>
      <c r="F87" s="360">
        <v>0</v>
      </c>
      <c r="G87" s="424">
        <f t="shared" si="8"/>
        <v>2.5042671033898165E-2</v>
      </c>
      <c r="H87" s="184">
        <f t="shared" si="9"/>
        <v>2.6534119533448967E-2</v>
      </c>
      <c r="I87" s="425"/>
      <c r="J87" s="179"/>
      <c r="K87" s="179"/>
      <c r="L87" s="179"/>
      <c r="M87" s="179"/>
      <c r="N87" s="179"/>
      <c r="O87" s="179"/>
      <c r="P87" s="179"/>
      <c r="Q87" s="179"/>
      <c r="R87" s="179"/>
      <c r="S87" s="179"/>
      <c r="T87" s="179"/>
      <c r="U87" s="179"/>
      <c r="V87" s="179"/>
      <c r="W87" s="179"/>
      <c r="X87" s="179"/>
      <c r="Y87" s="345">
        <f t="shared" si="10"/>
        <v>2.7067721828823915E-2</v>
      </c>
      <c r="Z87" s="181">
        <f t="shared" si="11"/>
        <v>83270.246199373549</v>
      </c>
      <c r="AA87" s="187"/>
      <c r="AB87" s="187"/>
      <c r="AC87" s="187"/>
      <c r="AD87" s="186">
        <f t="shared" si="13"/>
        <v>0</v>
      </c>
      <c r="AE87" s="186">
        <f t="shared" si="13"/>
        <v>1</v>
      </c>
      <c r="AF87" s="187">
        <f t="shared" si="12"/>
        <v>1</v>
      </c>
      <c r="AG87" s="187">
        <f t="shared" si="6"/>
        <v>1</v>
      </c>
      <c r="AH87" s="186"/>
      <c r="AI87" s="187">
        <f t="shared" si="7"/>
        <v>1</v>
      </c>
    </row>
    <row r="88" spans="2:35" ht="31.5" hidden="1" customHeight="1" x14ac:dyDescent="0.25">
      <c r="B88" s="98" t="str">
        <f t="shared" si="3"/>
        <v/>
      </c>
      <c r="C88" s="99" t="str">
        <f>IF('תנאי סף'!AO88&lt;&gt;1,"",'תנאי סף'!F88)</f>
        <v/>
      </c>
      <c r="D88" s="344" t="str">
        <f>'התחשיב הבסיסי'!AE88</f>
        <v/>
      </c>
      <c r="E88" s="492" t="str">
        <f>IF(C88="","",'סיכום לועדה- הזנת נתונים'!O88)</f>
        <v/>
      </c>
      <c r="F88" s="360"/>
      <c r="G88" s="424" t="str">
        <f t="shared" si="8"/>
        <v/>
      </c>
      <c r="H88" s="184" t="str">
        <f t="shared" si="9"/>
        <v/>
      </c>
      <c r="I88" s="425"/>
      <c r="J88" s="179"/>
      <c r="K88" s="179"/>
      <c r="L88" s="179"/>
      <c r="M88" s="179"/>
      <c r="N88" s="179"/>
      <c r="O88" s="179"/>
      <c r="P88" s="179"/>
      <c r="Q88" s="179"/>
      <c r="R88" s="179"/>
      <c r="S88" s="179"/>
      <c r="T88" s="179"/>
      <c r="U88" s="179"/>
      <c r="V88" s="179"/>
      <c r="W88" s="179"/>
      <c r="X88" s="179"/>
      <c r="Y88" s="345" t="str">
        <f t="shared" si="10"/>
        <v/>
      </c>
      <c r="Z88" s="181" t="str">
        <f t="shared" si="11"/>
        <v/>
      </c>
      <c r="AA88" s="187"/>
      <c r="AB88" s="187"/>
      <c r="AC88" s="187"/>
      <c r="AD88" s="186" t="str">
        <f t="shared" si="13"/>
        <v/>
      </c>
      <c r="AE88" s="186" t="str">
        <f t="shared" si="13"/>
        <v/>
      </c>
      <c r="AF88" s="187">
        <f t="shared" si="12"/>
        <v>1</v>
      </c>
      <c r="AG88" s="187">
        <f t="shared" si="6"/>
        <v>0</v>
      </c>
      <c r="AH88" s="186"/>
      <c r="AI88" s="187">
        <f t="shared" si="7"/>
        <v>1</v>
      </c>
    </row>
    <row r="89" spans="2:35" ht="31.5" customHeight="1" x14ac:dyDescent="0.25">
      <c r="B89" s="98">
        <f t="shared" si="3"/>
        <v>59</v>
      </c>
      <c r="C89" s="99" t="str">
        <f>IF('תנאי סף'!AO89&lt;&gt;1,"",'תנאי סף'!F89)</f>
        <v>העמותה לקידום המוסיקה הערבית</v>
      </c>
      <c r="D89" s="344">
        <f>'התחשיב הבסיסי'!AE89</f>
        <v>3.3468971914529071E-2</v>
      </c>
      <c r="E89" s="492">
        <f>IF(C89="","",'סיכום לועדה- הזנת נתונים'!O89)</f>
        <v>309687</v>
      </c>
      <c r="F89" s="360">
        <v>0</v>
      </c>
      <c r="G89" s="424">
        <f t="shared" si="8"/>
        <v>0.10194533828213083</v>
      </c>
      <c r="H89" s="184">
        <f t="shared" si="9"/>
        <v>6.7707155098329946E-2</v>
      </c>
      <c r="I89" s="425"/>
      <c r="J89" s="179"/>
      <c r="K89" s="179"/>
      <c r="L89" s="179"/>
      <c r="M89" s="179"/>
      <c r="N89" s="179"/>
      <c r="O89" s="179"/>
      <c r="P89" s="179"/>
      <c r="Q89" s="179"/>
      <c r="R89" s="179"/>
      <c r="S89" s="179"/>
      <c r="T89" s="179"/>
      <c r="U89" s="179"/>
      <c r="V89" s="179"/>
      <c r="W89" s="179"/>
      <c r="X89" s="179"/>
      <c r="Y89" s="345">
        <f t="shared" si="10"/>
        <v>6.9068748925787932E-2</v>
      </c>
      <c r="Z89" s="181">
        <f t="shared" si="11"/>
        <v>212480.81992657945</v>
      </c>
      <c r="AA89" s="187"/>
      <c r="AB89" s="187"/>
      <c r="AC89" s="187"/>
      <c r="AD89" s="186">
        <f t="shared" si="13"/>
        <v>0</v>
      </c>
      <c r="AE89" s="186">
        <f t="shared" si="13"/>
        <v>1</v>
      </c>
      <c r="AF89" s="187">
        <f t="shared" si="12"/>
        <v>1</v>
      </c>
      <c r="AG89" s="187">
        <f t="shared" si="6"/>
        <v>1</v>
      </c>
      <c r="AH89" s="186"/>
      <c r="AI89" s="187">
        <f t="shared" si="7"/>
        <v>1</v>
      </c>
    </row>
    <row r="90" spans="2:35" ht="31.5" customHeight="1" x14ac:dyDescent="0.25">
      <c r="B90" s="98">
        <f t="shared" si="3"/>
        <v>60</v>
      </c>
      <c r="C90" s="99" t="str">
        <f>IF('תנאי סף'!AO90&lt;&gt;1,"",'תנאי סף'!F90)</f>
        <v>תמיכה בתזמורת TLV (הערבית יהודית)</v>
      </c>
      <c r="D90" s="344">
        <f>'התחשיב הבסיסי'!AE90</f>
        <v>1.0387706218972146E-2</v>
      </c>
      <c r="E90" s="492">
        <f>IF(C90="","",'סיכום לועדה- הזנת נתונים'!O90)</f>
        <v>147540</v>
      </c>
      <c r="F90" s="360">
        <v>0</v>
      </c>
      <c r="G90" s="424">
        <f t="shared" si="8"/>
        <v>4.8568442363242835E-2</v>
      </c>
      <c r="H90" s="184">
        <f t="shared" si="9"/>
        <v>2.9478074291107492E-2</v>
      </c>
      <c r="I90" s="425"/>
      <c r="J90" s="179"/>
      <c r="K90" s="179"/>
      <c r="L90" s="179"/>
      <c r="M90" s="179"/>
      <c r="N90" s="179"/>
      <c r="O90" s="179"/>
      <c r="P90" s="179"/>
      <c r="Q90" s="179"/>
      <c r="R90" s="179"/>
      <c r="S90" s="179"/>
      <c r="T90" s="179"/>
      <c r="U90" s="179"/>
      <c r="V90" s="179"/>
      <c r="W90" s="179"/>
      <c r="X90" s="179"/>
      <c r="Y90" s="345">
        <f t="shared" si="10"/>
        <v>3.0070879644423981E-2</v>
      </c>
      <c r="Z90" s="181">
        <f t="shared" si="11"/>
        <v>92509.061799077666</v>
      </c>
      <c r="AA90" s="187"/>
      <c r="AB90" s="187"/>
      <c r="AC90" s="187"/>
      <c r="AD90" s="186">
        <f t="shared" si="13"/>
        <v>0</v>
      </c>
      <c r="AE90" s="186">
        <f t="shared" si="13"/>
        <v>1</v>
      </c>
      <c r="AF90" s="187">
        <f t="shared" si="12"/>
        <v>1</v>
      </c>
      <c r="AG90" s="187">
        <f t="shared" si="6"/>
        <v>1</v>
      </c>
      <c r="AH90" s="186"/>
      <c r="AI90" s="187">
        <f t="shared" si="7"/>
        <v>1</v>
      </c>
    </row>
    <row r="91" spans="2:35" ht="31.5" customHeight="1" x14ac:dyDescent="0.25">
      <c r="B91" s="98">
        <f t="shared" si="3"/>
        <v>61</v>
      </c>
      <c r="C91" s="99" t="str">
        <f>IF('תנאי סף'!AO91&lt;&gt;1,"",'תנאי סף'!F91)</f>
        <v>אנסמבל גליל</v>
      </c>
      <c r="D91" s="344">
        <f>'התחשיב הבסיסי'!AE91</f>
        <v>2.6943527749535623E-2</v>
      </c>
      <c r="E91" s="492">
        <f>IF(C91="","",'סיכום לועדה- הזנת נתונים'!O91)</f>
        <v>30000</v>
      </c>
      <c r="F91" s="360">
        <v>0</v>
      </c>
      <c r="G91" s="424">
        <f t="shared" si="8"/>
        <v>9.8756491181868303E-3</v>
      </c>
      <c r="H91" s="184">
        <f t="shared" si="9"/>
        <v>1.8409588433861226E-2</v>
      </c>
      <c r="I91" s="425"/>
      <c r="J91" s="179"/>
      <c r="K91" s="179"/>
      <c r="L91" s="179"/>
      <c r="M91" s="179"/>
      <c r="N91" s="179"/>
      <c r="O91" s="179"/>
      <c r="P91" s="179"/>
      <c r="Q91" s="179"/>
      <c r="R91" s="179"/>
      <c r="S91" s="179"/>
      <c r="T91" s="179"/>
      <c r="U91" s="179"/>
      <c r="V91" s="179"/>
      <c r="W91" s="179"/>
      <c r="X91" s="179"/>
      <c r="Y91" s="345">
        <f t="shared" si="10"/>
        <v>1.877980605622601E-2</v>
      </c>
      <c r="Z91" s="181">
        <f t="shared" si="11"/>
        <v>57773.575617773837</v>
      </c>
      <c r="AA91" s="187"/>
      <c r="AB91" s="187"/>
      <c r="AC91" s="187"/>
      <c r="AD91" s="186">
        <f t="shared" si="13"/>
        <v>0</v>
      </c>
      <c r="AE91" s="186">
        <f t="shared" si="13"/>
        <v>1</v>
      </c>
      <c r="AF91" s="187">
        <f t="shared" si="12"/>
        <v>1</v>
      </c>
      <c r="AG91" s="187">
        <f t="shared" si="6"/>
        <v>1</v>
      </c>
      <c r="AH91" s="186"/>
      <c r="AI91" s="187">
        <f t="shared" si="7"/>
        <v>1</v>
      </c>
    </row>
    <row r="92" spans="2:35" ht="31.5" customHeight="1" x14ac:dyDescent="0.25">
      <c r="B92" s="98">
        <f t="shared" si="3"/>
        <v>62</v>
      </c>
      <c r="C92" s="99" t="str">
        <f>IF('תנאי סף'!AO92&lt;&gt;1,"",'תנאי סף'!F92)</f>
        <v>דריה- הרכב אינסטרומנטלי</v>
      </c>
      <c r="D92" s="344">
        <f>'התחשיב הבסיסי'!AE92</f>
        <v>1.4394096246598926E-2</v>
      </c>
      <c r="E92" s="492">
        <f>IF(C92="","",'סיכום לועדה- הזנת נתונים'!O92)</f>
        <v>38215</v>
      </c>
      <c r="F92" s="360">
        <v>0</v>
      </c>
      <c r="G92" s="424">
        <f t="shared" si="8"/>
        <v>1.2579931035050325E-2</v>
      </c>
      <c r="H92" s="184">
        <f t="shared" si="9"/>
        <v>1.3487013640824625E-2</v>
      </c>
      <c r="I92" s="425"/>
      <c r="J92" s="179"/>
      <c r="K92" s="179"/>
      <c r="L92" s="179"/>
      <c r="M92" s="179"/>
      <c r="N92" s="179"/>
      <c r="O92" s="179"/>
      <c r="P92" s="179"/>
      <c r="Q92" s="179"/>
      <c r="R92" s="179"/>
      <c r="S92" s="179"/>
      <c r="T92" s="179"/>
      <c r="U92" s="179"/>
      <c r="V92" s="179"/>
      <c r="W92" s="179"/>
      <c r="X92" s="179"/>
      <c r="Y92" s="345">
        <f t="shared" si="10"/>
        <v>1.3758238070466056E-2</v>
      </c>
      <c r="Z92" s="181">
        <f t="shared" si="11"/>
        <v>42325.389578125447</v>
      </c>
      <c r="AA92" s="187"/>
      <c r="AB92" s="187"/>
      <c r="AC92" s="187"/>
      <c r="AD92" s="186">
        <f t="shared" si="13"/>
        <v>0</v>
      </c>
      <c r="AE92" s="186">
        <f t="shared" si="13"/>
        <v>1</v>
      </c>
      <c r="AF92" s="187">
        <f t="shared" si="12"/>
        <v>1</v>
      </c>
      <c r="AG92" s="187">
        <f t="shared" si="6"/>
        <v>1</v>
      </c>
      <c r="AH92" s="186"/>
      <c r="AI92" s="187">
        <f t="shared" si="7"/>
        <v>1</v>
      </c>
    </row>
    <row r="93" spans="2:35" ht="31.5" customHeight="1" x14ac:dyDescent="0.25">
      <c r="B93" s="98">
        <f t="shared" si="3"/>
        <v>63</v>
      </c>
      <c r="C93" s="99" t="str">
        <f>IF('תנאי סף'!AO93&lt;&gt;1,"",'תנאי סף'!F93)</f>
        <v>להקת שלוש</v>
      </c>
      <c r="D93" s="344">
        <f>'התחשיב הבסיסי'!AE93</f>
        <v>1.6644086615300844E-2</v>
      </c>
      <c r="E93" s="492">
        <f>IF(C93="","",'סיכום לועדה- הזנת נתונים'!O93)</f>
        <v>45000</v>
      </c>
      <c r="F93" s="360">
        <v>0</v>
      </c>
      <c r="G93" s="424">
        <f t="shared" si="8"/>
        <v>1.4813473677280246E-2</v>
      </c>
      <c r="H93" s="184">
        <f t="shared" si="9"/>
        <v>1.5728780146290547E-2</v>
      </c>
      <c r="I93" s="425"/>
      <c r="J93" s="179"/>
      <c r="K93" s="179"/>
      <c r="L93" s="179"/>
      <c r="M93" s="179"/>
      <c r="N93" s="179"/>
      <c r="O93" s="179"/>
      <c r="P93" s="179"/>
      <c r="Q93" s="179"/>
      <c r="R93" s="179"/>
      <c r="S93" s="179"/>
      <c r="T93" s="179"/>
      <c r="U93" s="179"/>
      <c r="V93" s="179"/>
      <c r="W93" s="179"/>
      <c r="X93" s="179"/>
      <c r="Y93" s="345">
        <f t="shared" si="10"/>
        <v>1.6045086597647577E-2</v>
      </c>
      <c r="Z93" s="181">
        <f t="shared" si="11"/>
        <v>49360.574921145286</v>
      </c>
      <c r="AA93" s="187"/>
      <c r="AB93" s="187"/>
      <c r="AC93" s="187"/>
      <c r="AD93" s="186">
        <f t="shared" si="13"/>
        <v>0</v>
      </c>
      <c r="AE93" s="186">
        <f t="shared" si="13"/>
        <v>1</v>
      </c>
      <c r="AF93" s="187">
        <f t="shared" si="12"/>
        <v>1</v>
      </c>
      <c r="AG93" s="187">
        <f t="shared" si="6"/>
        <v>1</v>
      </c>
      <c r="AH93" s="186"/>
      <c r="AI93" s="187">
        <f t="shared" si="7"/>
        <v>1</v>
      </c>
    </row>
    <row r="94" spans="2:35" ht="31.5" customHeight="1" x14ac:dyDescent="0.25">
      <c r="B94" s="98">
        <f t="shared" si="3"/>
        <v>64</v>
      </c>
      <c r="C94" s="99" t="str">
        <f>IF('תנאי סף'!AO94&lt;&gt;1,"",'תנאי סף'!F94)</f>
        <v>רביעיית טוסקאניני</v>
      </c>
      <c r="D94" s="344">
        <f>'התחשיב הבסיסי'!AE94</f>
        <v>1.2533047728080643E-2</v>
      </c>
      <c r="E94" s="492">
        <f>IF(C94="","",'סיכום לועדה- הזנת נתונים'!O94)</f>
        <v>33881</v>
      </c>
      <c r="F94" s="360">
        <v>0</v>
      </c>
      <c r="G94" s="424">
        <f t="shared" si="8"/>
        <v>1.1153228925776268E-2</v>
      </c>
      <c r="H94" s="184">
        <f t="shared" si="9"/>
        <v>1.1843138326928456E-2</v>
      </c>
      <c r="I94" s="425"/>
      <c r="J94" s="179"/>
      <c r="K94" s="179"/>
      <c r="L94" s="179"/>
      <c r="M94" s="179"/>
      <c r="N94" s="179"/>
      <c r="O94" s="179"/>
      <c r="P94" s="179"/>
      <c r="Q94" s="179"/>
      <c r="R94" s="179"/>
      <c r="S94" s="179"/>
      <c r="T94" s="179"/>
      <c r="U94" s="179"/>
      <c r="V94" s="179"/>
      <c r="W94" s="179"/>
      <c r="X94" s="179"/>
      <c r="Y94" s="345">
        <f t="shared" si="10"/>
        <v>1.2081304352664702E-2</v>
      </c>
      <c r="Z94" s="181">
        <f t="shared" si="11"/>
        <v>37166.526027494052</v>
      </c>
      <c r="AA94" s="187"/>
      <c r="AB94" s="187"/>
      <c r="AC94" s="187"/>
      <c r="AD94" s="186">
        <f t="shared" si="13"/>
        <v>0</v>
      </c>
      <c r="AE94" s="186">
        <f t="shared" si="13"/>
        <v>1</v>
      </c>
      <c r="AF94" s="187">
        <f t="shared" si="12"/>
        <v>1</v>
      </c>
      <c r="AG94" s="187">
        <f t="shared" si="6"/>
        <v>1</v>
      </c>
      <c r="AH94" s="186"/>
      <c r="AI94" s="187">
        <f t="shared" si="7"/>
        <v>1</v>
      </c>
    </row>
    <row r="95" spans="2:35" ht="31.5" customHeight="1" x14ac:dyDescent="0.25">
      <c r="B95" s="98">
        <f t="shared" si="3"/>
        <v>65</v>
      </c>
      <c r="C95" s="99" t="str">
        <f>IF('תנאי סף'!AO95&lt;&gt;1,"",'תנאי סף'!F95)</f>
        <v>תקוע-קבוצה מוזיקלית - 'דאפה' 2024</v>
      </c>
      <c r="D95" s="344">
        <f>'התחשיב הבסיסי'!AE95</f>
        <v>3.5204212546482552E-2</v>
      </c>
      <c r="E95" s="492">
        <f>IF(C95="","",'סיכום לועדה- הזנת נתונים'!O95)</f>
        <v>85846</v>
      </c>
      <c r="F95" s="360">
        <v>0</v>
      </c>
      <c r="G95" s="424">
        <f t="shared" si="8"/>
        <v>2.8259499139995557E-2</v>
      </c>
      <c r="H95" s="184">
        <f t="shared" ref="H95:H130" si="14">IF(C95="","",IF(AI95&lt;&gt;1,$AH$1,IF(F95=1,D95,AVERAGE($G95,$D95))))</f>
        <v>3.1731855843239051E-2</v>
      </c>
      <c r="I95" s="425"/>
      <c r="J95" s="179"/>
      <c r="K95" s="179"/>
      <c r="L95" s="179"/>
      <c r="M95" s="179"/>
      <c r="N95" s="179"/>
      <c r="O95" s="179"/>
      <c r="P95" s="179"/>
      <c r="Q95" s="179"/>
      <c r="R95" s="179"/>
      <c r="S95" s="179"/>
      <c r="T95" s="179"/>
      <c r="U95" s="179"/>
      <c r="V95" s="179"/>
      <c r="W95" s="179"/>
      <c r="X95" s="179"/>
      <c r="Y95" s="345">
        <f t="shared" ref="Y95:Y130" si="15">IF(C95="","",IF($AI$28&lt;&gt;1,$AH$1,H95/$H$131*100%))</f>
        <v>3.2369984841381032E-2</v>
      </c>
      <c r="Z95" s="181">
        <f t="shared" ref="Z95:Z126" si="16">IF(C95="","",IF(AND($AI$28&lt;&gt;1),$AH$1,Y95*$C$2))</f>
        <v>99581.953156524847</v>
      </c>
      <c r="AA95" s="187"/>
      <c r="AB95" s="187"/>
      <c r="AC95" s="187"/>
      <c r="AD95" s="186">
        <f t="shared" si="13"/>
        <v>0</v>
      </c>
      <c r="AE95" s="186">
        <f t="shared" si="13"/>
        <v>1</v>
      </c>
      <c r="AF95" s="187">
        <f t="shared" ref="AF95:AF130" si="17">IF(D95=$AH$1,0,1)</f>
        <v>1</v>
      </c>
      <c r="AG95" s="187">
        <f t="shared" si="6"/>
        <v>1</v>
      </c>
      <c r="AH95" s="186"/>
      <c r="AI95" s="187">
        <f t="shared" si="7"/>
        <v>1</v>
      </c>
    </row>
    <row r="96" spans="2:35" ht="31.5" customHeight="1" x14ac:dyDescent="0.25">
      <c r="B96" s="98">
        <f t="shared" ref="B96:B130" si="18">IF(C96="","",ROW()-30)</f>
        <v>66</v>
      </c>
      <c r="C96" s="99" t="str">
        <f>IF('תנאי סף'!AO96&lt;&gt;1,"",'תנאי סף'!F96)</f>
        <v>טריו בן חיים</v>
      </c>
      <c r="D96" s="344">
        <f>'התחשיב הבסיסי'!AE96</f>
        <v>1.1615198714381051E-2</v>
      </c>
      <c r="E96" s="492">
        <f>IF(C96="","",'סיכום לועדה- הזנת נתונים'!O96)</f>
        <v>47983</v>
      </c>
      <c r="F96" s="360">
        <v>0</v>
      </c>
      <c r="G96" s="424">
        <f t="shared" si="8"/>
        <v>1.5795442387931957E-2</v>
      </c>
      <c r="H96" s="184">
        <f t="shared" si="14"/>
        <v>1.3705320551156504E-2</v>
      </c>
      <c r="I96" s="425"/>
      <c r="J96" s="179"/>
      <c r="K96" s="179"/>
      <c r="L96" s="179"/>
      <c r="M96" s="179"/>
      <c r="N96" s="179"/>
      <c r="O96" s="179"/>
      <c r="P96" s="179"/>
      <c r="Q96" s="179"/>
      <c r="R96" s="179"/>
      <c r="S96" s="179"/>
      <c r="T96" s="179"/>
      <c r="U96" s="179"/>
      <c r="V96" s="179"/>
      <c r="W96" s="179"/>
      <c r="X96" s="179"/>
      <c r="Y96" s="345">
        <f t="shared" si="15"/>
        <v>1.3980935142239035E-2</v>
      </c>
      <c r="Z96" s="181">
        <f t="shared" si="16"/>
        <v>43010.48750072447</v>
      </c>
      <c r="AA96" s="187"/>
      <c r="AB96" s="187"/>
      <c r="AC96" s="187"/>
      <c r="AD96" s="186">
        <f t="shared" ref="AD96:AE130" si="19">IF($C96="","",AD$30)</f>
        <v>0</v>
      </c>
      <c r="AE96" s="186">
        <f t="shared" si="19"/>
        <v>1</v>
      </c>
      <c r="AF96" s="187">
        <f t="shared" si="17"/>
        <v>1</v>
      </c>
      <c r="AG96" s="187">
        <f t="shared" ref="AG96:AG130" si="20">IF(E96="",0,IFERROR(IF(E96&gt;=0,1,0),0))</f>
        <v>1</v>
      </c>
      <c r="AH96" s="186"/>
      <c r="AI96" s="187">
        <f t="shared" ref="AI96:AI130" si="21">IF($C96="",1,IFERROR(IF(SUM(AF96:AG96)=COUNT(AF96:AG96),1,0),0))</f>
        <v>1</v>
      </c>
    </row>
    <row r="97" spans="2:35" ht="31.5" hidden="1" customHeight="1" x14ac:dyDescent="0.25">
      <c r="B97" s="98" t="str">
        <f t="shared" si="18"/>
        <v/>
      </c>
      <c r="C97" s="99" t="str">
        <f>IF('תנאי סף'!AO97&lt;&gt;1,"",'תנאי סף'!F97)</f>
        <v/>
      </c>
      <c r="D97" s="344" t="str">
        <f>'התחשיב הבסיסי'!AE97</f>
        <v/>
      </c>
      <c r="E97" s="492" t="str">
        <f>IF(C97="","",'סיכום לועדה- הזנת נתונים'!O97)</f>
        <v/>
      </c>
      <c r="F97" s="360"/>
      <c r="G97" s="424" t="str">
        <f t="shared" ref="G97:G130" si="22">IF(C97="","",IFERROR(E97/$E$6,$AH$1))</f>
        <v/>
      </c>
      <c r="H97" s="184" t="str">
        <f t="shared" si="14"/>
        <v/>
      </c>
      <c r="I97" s="425"/>
      <c r="J97" s="179"/>
      <c r="K97" s="179"/>
      <c r="L97" s="179"/>
      <c r="M97" s="179"/>
      <c r="N97" s="179"/>
      <c r="O97" s="179"/>
      <c r="P97" s="179"/>
      <c r="Q97" s="179"/>
      <c r="R97" s="179"/>
      <c r="S97" s="179"/>
      <c r="T97" s="179"/>
      <c r="U97" s="179"/>
      <c r="V97" s="179"/>
      <c r="W97" s="179"/>
      <c r="X97" s="179"/>
      <c r="Y97" s="345" t="str">
        <f t="shared" si="15"/>
        <v/>
      </c>
      <c r="Z97" s="181" t="str">
        <f t="shared" si="16"/>
        <v/>
      </c>
      <c r="AA97" s="187"/>
      <c r="AB97" s="187"/>
      <c r="AC97" s="187"/>
      <c r="AD97" s="186" t="str">
        <f t="shared" si="19"/>
        <v/>
      </c>
      <c r="AE97" s="186" t="str">
        <f t="shared" si="19"/>
        <v/>
      </c>
      <c r="AF97" s="187">
        <f t="shared" si="17"/>
        <v>1</v>
      </c>
      <c r="AG97" s="187">
        <f t="shared" si="20"/>
        <v>0</v>
      </c>
      <c r="AH97" s="186"/>
      <c r="AI97" s="187">
        <f t="shared" si="21"/>
        <v>1</v>
      </c>
    </row>
    <row r="98" spans="2:35" ht="31.5" customHeight="1" x14ac:dyDescent="0.25">
      <c r="B98" s="98">
        <f t="shared" si="18"/>
        <v>68</v>
      </c>
      <c r="C98" s="99" t="str">
        <f>IF('תנאי סף'!AO98&lt;&gt;1,"",'תנאי סף'!F98)</f>
        <v>אמיתי אריכא והפרויקט D1</v>
      </c>
      <c r="D98" s="344">
        <f>'התחשיב הבסיסי'!AE98</f>
        <v>2.439462562181002E-2</v>
      </c>
      <c r="E98" s="492">
        <f>IF(C98="","",'סיכום לועדה- הזנת נתונים'!O98)</f>
        <v>33612</v>
      </c>
      <c r="F98" s="360">
        <v>0</v>
      </c>
      <c r="G98" s="424">
        <f t="shared" si="22"/>
        <v>1.1064677272016526E-2</v>
      </c>
      <c r="H98" s="184">
        <f t="shared" si="14"/>
        <v>1.7729651446913273E-2</v>
      </c>
      <c r="I98" s="425"/>
      <c r="J98" s="179"/>
      <c r="K98" s="179"/>
      <c r="L98" s="179"/>
      <c r="M98" s="179"/>
      <c r="N98" s="179"/>
      <c r="O98" s="179"/>
      <c r="P98" s="179"/>
      <c r="Q98" s="179"/>
      <c r="R98" s="179"/>
      <c r="S98" s="179"/>
      <c r="T98" s="179"/>
      <c r="U98" s="179"/>
      <c r="V98" s="179"/>
      <c r="W98" s="179"/>
      <c r="X98" s="179"/>
      <c r="Y98" s="345">
        <f t="shared" si="15"/>
        <v>1.8086195506961868E-2</v>
      </c>
      <c r="Z98" s="181">
        <f t="shared" si="16"/>
        <v>55639.775013165759</v>
      </c>
      <c r="AA98" s="187"/>
      <c r="AB98" s="187"/>
      <c r="AC98" s="187"/>
      <c r="AD98" s="186">
        <f t="shared" si="19"/>
        <v>0</v>
      </c>
      <c r="AE98" s="186">
        <f t="shared" si="19"/>
        <v>1</v>
      </c>
      <c r="AF98" s="187">
        <f t="shared" si="17"/>
        <v>1</v>
      </c>
      <c r="AG98" s="187">
        <f t="shared" si="20"/>
        <v>1</v>
      </c>
      <c r="AH98" s="186"/>
      <c r="AI98" s="187">
        <f t="shared" si="21"/>
        <v>1</v>
      </c>
    </row>
    <row r="99" spans="2:35" x14ac:dyDescent="0.25">
      <c r="B99" s="98" t="str">
        <f t="shared" si="18"/>
        <v/>
      </c>
      <c r="C99" s="99" t="str">
        <f>IF('תנאי סף'!AO99&lt;&gt;1,"",'תנאי סף'!F99)</f>
        <v/>
      </c>
      <c r="D99" s="344" t="str">
        <f>'התחשיב הבסיסי'!AE99</f>
        <v/>
      </c>
      <c r="E99" s="492" t="str">
        <f>IF(C99="","",'סיכום לועדה- הזנת נתונים'!O99)</f>
        <v/>
      </c>
      <c r="F99" s="360"/>
      <c r="G99" s="424" t="str">
        <f t="shared" si="22"/>
        <v/>
      </c>
      <c r="H99" s="184" t="str">
        <f t="shared" si="14"/>
        <v/>
      </c>
      <c r="I99" s="425"/>
      <c r="J99" s="179"/>
      <c r="K99" s="179"/>
      <c r="L99" s="179"/>
      <c r="M99" s="179"/>
      <c r="N99" s="179"/>
      <c r="O99" s="179"/>
      <c r="P99" s="179"/>
      <c r="Q99" s="179"/>
      <c r="R99" s="179"/>
      <c r="S99" s="179"/>
      <c r="T99" s="179"/>
      <c r="U99" s="179"/>
      <c r="V99" s="179"/>
      <c r="W99" s="179"/>
      <c r="X99" s="179"/>
      <c r="Y99" s="345" t="str">
        <f t="shared" si="15"/>
        <v/>
      </c>
      <c r="Z99" s="181" t="str">
        <f t="shared" si="16"/>
        <v/>
      </c>
      <c r="AA99" s="187"/>
      <c r="AB99" s="187"/>
      <c r="AC99" s="187"/>
      <c r="AD99" s="186" t="str">
        <f t="shared" si="19"/>
        <v/>
      </c>
      <c r="AE99" s="186" t="str">
        <f t="shared" si="19"/>
        <v/>
      </c>
      <c r="AF99" s="187">
        <f t="shared" si="17"/>
        <v>1</v>
      </c>
      <c r="AG99" s="187">
        <f t="shared" si="20"/>
        <v>0</v>
      </c>
      <c r="AH99" s="186"/>
      <c r="AI99" s="187">
        <f t="shared" si="21"/>
        <v>1</v>
      </c>
    </row>
    <row r="100" spans="2:35" x14ac:dyDescent="0.25">
      <c r="B100" s="98" t="str">
        <f t="shared" si="18"/>
        <v/>
      </c>
      <c r="C100" s="99" t="str">
        <f>IF('תנאי סף'!AO100&lt;&gt;1,"",'תנאי סף'!F100)</f>
        <v/>
      </c>
      <c r="D100" s="344" t="str">
        <f>'התחשיב הבסיסי'!AE100</f>
        <v/>
      </c>
      <c r="E100" s="492" t="str">
        <f>IF(C100="","",'סיכום לועדה- הזנת נתונים'!O100)</f>
        <v/>
      </c>
      <c r="F100" s="360"/>
      <c r="G100" s="424" t="str">
        <f t="shared" si="22"/>
        <v/>
      </c>
      <c r="H100" s="184" t="str">
        <f t="shared" si="14"/>
        <v/>
      </c>
      <c r="I100" s="425"/>
      <c r="J100" s="179"/>
      <c r="K100" s="179"/>
      <c r="L100" s="179"/>
      <c r="M100" s="179"/>
      <c r="N100" s="179"/>
      <c r="O100" s="179"/>
      <c r="P100" s="179"/>
      <c r="Q100" s="179"/>
      <c r="R100" s="179"/>
      <c r="S100" s="179"/>
      <c r="T100" s="179"/>
      <c r="U100" s="179"/>
      <c r="V100" s="179"/>
      <c r="W100" s="179"/>
      <c r="X100" s="179"/>
      <c r="Y100" s="345" t="str">
        <f t="shared" si="15"/>
        <v/>
      </c>
      <c r="Z100" s="181" t="str">
        <f t="shared" si="16"/>
        <v/>
      </c>
      <c r="AA100" s="187"/>
      <c r="AB100" s="187"/>
      <c r="AC100" s="187"/>
      <c r="AD100" s="186" t="str">
        <f t="shared" si="19"/>
        <v/>
      </c>
      <c r="AE100" s="186" t="str">
        <f t="shared" si="19"/>
        <v/>
      </c>
      <c r="AF100" s="187">
        <f t="shared" si="17"/>
        <v>1</v>
      </c>
      <c r="AG100" s="187">
        <f t="shared" si="20"/>
        <v>0</v>
      </c>
      <c r="AH100" s="186"/>
      <c r="AI100" s="187">
        <f t="shared" si="21"/>
        <v>1</v>
      </c>
    </row>
    <row r="101" spans="2:35" x14ac:dyDescent="0.25">
      <c r="B101" s="98" t="str">
        <f t="shared" si="18"/>
        <v/>
      </c>
      <c r="C101" s="99" t="str">
        <f>IF('תנאי סף'!AO101&lt;&gt;1,"",'תנאי סף'!F101)</f>
        <v/>
      </c>
      <c r="D101" s="344" t="str">
        <f>'התחשיב הבסיסי'!AE101</f>
        <v/>
      </c>
      <c r="E101" s="492" t="str">
        <f>IF(C101="","",'סיכום לועדה- הזנת נתונים'!O101)</f>
        <v/>
      </c>
      <c r="F101" s="360"/>
      <c r="G101" s="424" t="str">
        <f t="shared" si="22"/>
        <v/>
      </c>
      <c r="H101" s="184" t="str">
        <f t="shared" si="14"/>
        <v/>
      </c>
      <c r="I101" s="425"/>
      <c r="J101" s="179"/>
      <c r="K101" s="179"/>
      <c r="L101" s="179"/>
      <c r="M101" s="179"/>
      <c r="N101" s="179"/>
      <c r="O101" s="179"/>
      <c r="P101" s="179"/>
      <c r="Q101" s="179"/>
      <c r="R101" s="179"/>
      <c r="S101" s="179"/>
      <c r="T101" s="179"/>
      <c r="U101" s="179"/>
      <c r="V101" s="179"/>
      <c r="W101" s="179"/>
      <c r="X101" s="179"/>
      <c r="Y101" s="345" t="str">
        <f t="shared" si="15"/>
        <v/>
      </c>
      <c r="Z101" s="181" t="str">
        <f t="shared" si="16"/>
        <v/>
      </c>
      <c r="AA101" s="187"/>
      <c r="AB101" s="187"/>
      <c r="AC101" s="187"/>
      <c r="AD101" s="186" t="str">
        <f t="shared" si="19"/>
        <v/>
      </c>
      <c r="AE101" s="186" t="str">
        <f t="shared" si="19"/>
        <v/>
      </c>
      <c r="AF101" s="187">
        <f t="shared" si="17"/>
        <v>1</v>
      </c>
      <c r="AG101" s="187">
        <f t="shared" si="20"/>
        <v>0</v>
      </c>
      <c r="AH101" s="186"/>
      <c r="AI101" s="187">
        <f t="shared" si="21"/>
        <v>1</v>
      </c>
    </row>
    <row r="102" spans="2:35" x14ac:dyDescent="0.25">
      <c r="B102" s="98" t="str">
        <f t="shared" si="18"/>
        <v/>
      </c>
      <c r="C102" s="99" t="str">
        <f>IF('תנאי סף'!AO102&lt;&gt;1,"",'תנאי סף'!F102)</f>
        <v/>
      </c>
      <c r="D102" s="344" t="str">
        <f>'התחשיב הבסיסי'!AE102</f>
        <v/>
      </c>
      <c r="E102" s="492" t="str">
        <f>IF(C102="","",'סיכום לועדה- הזנת נתונים'!O102)</f>
        <v/>
      </c>
      <c r="F102" s="360"/>
      <c r="G102" s="424" t="str">
        <f t="shared" si="22"/>
        <v/>
      </c>
      <c r="H102" s="184" t="str">
        <f t="shared" si="14"/>
        <v/>
      </c>
      <c r="I102" s="425"/>
      <c r="J102" s="179"/>
      <c r="K102" s="179"/>
      <c r="L102" s="179"/>
      <c r="M102" s="179"/>
      <c r="N102" s="179"/>
      <c r="O102" s="179"/>
      <c r="P102" s="179"/>
      <c r="Q102" s="179"/>
      <c r="R102" s="179"/>
      <c r="S102" s="179"/>
      <c r="T102" s="179"/>
      <c r="U102" s="179"/>
      <c r="V102" s="179"/>
      <c r="W102" s="179"/>
      <c r="X102" s="179"/>
      <c r="Y102" s="345" t="str">
        <f t="shared" si="15"/>
        <v/>
      </c>
      <c r="Z102" s="181" t="str">
        <f t="shared" si="16"/>
        <v/>
      </c>
      <c r="AA102" s="187"/>
      <c r="AB102" s="187"/>
      <c r="AC102" s="187"/>
      <c r="AD102" s="186" t="str">
        <f t="shared" si="19"/>
        <v/>
      </c>
      <c r="AE102" s="186" t="str">
        <f t="shared" si="19"/>
        <v/>
      </c>
      <c r="AF102" s="187">
        <f t="shared" si="17"/>
        <v>1</v>
      </c>
      <c r="AG102" s="187">
        <f t="shared" si="20"/>
        <v>0</v>
      </c>
      <c r="AH102" s="186"/>
      <c r="AI102" s="187">
        <f t="shared" si="21"/>
        <v>1</v>
      </c>
    </row>
    <row r="103" spans="2:35" x14ac:dyDescent="0.25">
      <c r="B103" s="98" t="str">
        <f t="shared" si="18"/>
        <v/>
      </c>
      <c r="C103" s="99" t="str">
        <f>IF('תנאי סף'!AO103&lt;&gt;1,"",'תנאי סף'!F103)</f>
        <v/>
      </c>
      <c r="D103" s="344" t="str">
        <f>'התחשיב הבסיסי'!AE103</f>
        <v/>
      </c>
      <c r="E103" s="492" t="str">
        <f>IF(C103="","",'סיכום לועדה- הזנת נתונים'!O103)</f>
        <v/>
      </c>
      <c r="F103" s="360"/>
      <c r="G103" s="424" t="str">
        <f t="shared" si="22"/>
        <v/>
      </c>
      <c r="H103" s="184" t="str">
        <f t="shared" si="14"/>
        <v/>
      </c>
      <c r="I103" s="425"/>
      <c r="J103" s="179"/>
      <c r="K103" s="179"/>
      <c r="L103" s="179"/>
      <c r="M103" s="179"/>
      <c r="N103" s="179"/>
      <c r="O103" s="179"/>
      <c r="P103" s="179"/>
      <c r="Q103" s="179"/>
      <c r="R103" s="179"/>
      <c r="S103" s="179"/>
      <c r="T103" s="179"/>
      <c r="U103" s="179"/>
      <c r="V103" s="179"/>
      <c r="W103" s="179"/>
      <c r="X103" s="179"/>
      <c r="Y103" s="345" t="str">
        <f t="shared" si="15"/>
        <v/>
      </c>
      <c r="Z103" s="181" t="str">
        <f t="shared" si="16"/>
        <v/>
      </c>
      <c r="AA103" s="187"/>
      <c r="AB103" s="187"/>
      <c r="AC103" s="187"/>
      <c r="AD103" s="186" t="str">
        <f t="shared" si="19"/>
        <v/>
      </c>
      <c r="AE103" s="186" t="str">
        <f t="shared" si="19"/>
        <v/>
      </c>
      <c r="AF103" s="187">
        <f t="shared" si="17"/>
        <v>1</v>
      </c>
      <c r="AG103" s="187">
        <f t="shared" si="20"/>
        <v>0</v>
      </c>
      <c r="AH103" s="186"/>
      <c r="AI103" s="187">
        <f t="shared" si="21"/>
        <v>1</v>
      </c>
    </row>
    <row r="104" spans="2:35" x14ac:dyDescent="0.25">
      <c r="B104" s="98" t="str">
        <f t="shared" si="18"/>
        <v/>
      </c>
      <c r="C104" s="99" t="str">
        <f>IF('תנאי סף'!AO104&lt;&gt;1,"",'תנאי סף'!F104)</f>
        <v/>
      </c>
      <c r="D104" s="344" t="str">
        <f>'התחשיב הבסיסי'!AE104</f>
        <v/>
      </c>
      <c r="E104" s="492" t="str">
        <f>IF(C104="","",'סיכום לועדה- הזנת נתונים'!O104)</f>
        <v/>
      </c>
      <c r="F104" s="360"/>
      <c r="G104" s="424" t="str">
        <f t="shared" si="22"/>
        <v/>
      </c>
      <c r="H104" s="184" t="str">
        <f t="shared" si="14"/>
        <v/>
      </c>
      <c r="I104" s="425"/>
      <c r="J104" s="179"/>
      <c r="K104" s="179"/>
      <c r="L104" s="179"/>
      <c r="M104" s="179"/>
      <c r="N104" s="179"/>
      <c r="O104" s="179"/>
      <c r="P104" s="179"/>
      <c r="Q104" s="179"/>
      <c r="R104" s="179"/>
      <c r="S104" s="179"/>
      <c r="T104" s="179"/>
      <c r="U104" s="179"/>
      <c r="V104" s="179"/>
      <c r="W104" s="179"/>
      <c r="X104" s="179"/>
      <c r="Y104" s="345" t="str">
        <f t="shared" si="15"/>
        <v/>
      </c>
      <c r="Z104" s="181" t="str">
        <f t="shared" si="16"/>
        <v/>
      </c>
      <c r="AA104" s="187"/>
      <c r="AB104" s="187"/>
      <c r="AC104" s="187"/>
      <c r="AD104" s="186" t="str">
        <f t="shared" si="19"/>
        <v/>
      </c>
      <c r="AE104" s="186" t="str">
        <f t="shared" si="19"/>
        <v/>
      </c>
      <c r="AF104" s="187">
        <f t="shared" si="17"/>
        <v>1</v>
      </c>
      <c r="AG104" s="187">
        <f t="shared" si="20"/>
        <v>0</v>
      </c>
      <c r="AH104" s="186"/>
      <c r="AI104" s="187">
        <f t="shared" si="21"/>
        <v>1</v>
      </c>
    </row>
    <row r="105" spans="2:35" x14ac:dyDescent="0.25">
      <c r="B105" s="98">
        <f t="shared" si="18"/>
        <v>75</v>
      </c>
      <c r="C105" s="99" t="str">
        <f>IF('תנאי סף'!AO105&lt;&gt;1,"",'תנאי סף'!F105)</f>
        <v>לבונטין 7</v>
      </c>
      <c r="D105" s="344">
        <f>'התחשיב הבסיסי'!AE105</f>
        <v>2.3130606329520055E-2</v>
      </c>
      <c r="E105" s="492">
        <f>IF(C105="","",'סיכום לועדה- הזנת נתונים'!O105)</f>
        <v>0</v>
      </c>
      <c r="F105" s="360">
        <v>1</v>
      </c>
      <c r="G105" s="424">
        <f t="shared" si="22"/>
        <v>0</v>
      </c>
      <c r="H105" s="184">
        <f t="shared" si="14"/>
        <v>2.3130606329520055E-2</v>
      </c>
      <c r="I105" s="425"/>
      <c r="J105" s="179"/>
      <c r="K105" s="179"/>
      <c r="L105" s="179"/>
      <c r="M105" s="179"/>
      <c r="N105" s="179"/>
      <c r="O105" s="179"/>
      <c r="P105" s="179"/>
      <c r="Q105" s="179"/>
      <c r="R105" s="179"/>
      <c r="S105" s="179"/>
      <c r="T105" s="179"/>
      <c r="U105" s="179"/>
      <c r="V105" s="179"/>
      <c r="W105" s="179"/>
      <c r="X105" s="179"/>
      <c r="Y105" s="345">
        <f t="shared" si="15"/>
        <v>2.3595763826654532E-2</v>
      </c>
      <c r="Z105" s="181">
        <f t="shared" si="16"/>
        <v>72589.229176113717</v>
      </c>
      <c r="AA105" s="187"/>
      <c r="AB105" s="187"/>
      <c r="AC105" s="187"/>
      <c r="AD105" s="186">
        <f t="shared" si="19"/>
        <v>0</v>
      </c>
      <c r="AE105" s="186">
        <f t="shared" si="19"/>
        <v>1</v>
      </c>
      <c r="AF105" s="187">
        <f t="shared" si="17"/>
        <v>1</v>
      </c>
      <c r="AG105" s="187">
        <f t="shared" si="20"/>
        <v>1</v>
      </c>
      <c r="AH105" s="186"/>
      <c r="AI105" s="187">
        <f t="shared" si="21"/>
        <v>1</v>
      </c>
    </row>
    <row r="106" spans="2:35" x14ac:dyDescent="0.25">
      <c r="B106" s="98">
        <f t="shared" si="18"/>
        <v>76</v>
      </c>
      <c r="C106" s="99" t="str">
        <f>IF('תנאי סף'!AO106&lt;&gt;1,"",'תנאי סף'!F106)</f>
        <v>מולטי פיאנו- פליציה בלומנטל</v>
      </c>
      <c r="D106" s="344">
        <f>'התחשיב הבסיסי'!AE106</f>
        <v>1.680850217100294E-2</v>
      </c>
      <c r="E106" s="492">
        <f>IF(C106="","",'סיכום לועדה- הזנת נתונים'!O106)</f>
        <v>0</v>
      </c>
      <c r="F106" s="360">
        <v>1</v>
      </c>
      <c r="G106" s="424">
        <f t="shared" si="22"/>
        <v>0</v>
      </c>
      <c r="H106" s="184">
        <f t="shared" si="14"/>
        <v>1.680850217100294E-2</v>
      </c>
      <c r="I106" s="425"/>
      <c r="J106" s="179"/>
      <c r="K106" s="179"/>
      <c r="L106" s="179"/>
      <c r="M106" s="179"/>
      <c r="N106" s="179"/>
      <c r="O106" s="179"/>
      <c r="P106" s="179"/>
      <c r="Q106" s="179"/>
      <c r="R106" s="179"/>
      <c r="S106" s="179"/>
      <c r="T106" s="179"/>
      <c r="U106" s="179"/>
      <c r="V106" s="179"/>
      <c r="W106" s="179"/>
      <c r="X106" s="179"/>
      <c r="Y106" s="345">
        <f t="shared" si="15"/>
        <v>1.7146521879135918E-2</v>
      </c>
      <c r="Z106" s="181">
        <f t="shared" si="16"/>
        <v>52748.994073751724</v>
      </c>
      <c r="AA106" s="187"/>
      <c r="AB106" s="187"/>
      <c r="AC106" s="187"/>
      <c r="AD106" s="186">
        <f t="shared" si="19"/>
        <v>0</v>
      </c>
      <c r="AE106" s="186">
        <f t="shared" si="19"/>
        <v>1</v>
      </c>
      <c r="AF106" s="187">
        <f t="shared" si="17"/>
        <v>1</v>
      </c>
      <c r="AG106" s="187">
        <f t="shared" si="20"/>
        <v>1</v>
      </c>
      <c r="AH106" s="186"/>
      <c r="AI106" s="187">
        <f t="shared" si="21"/>
        <v>1</v>
      </c>
    </row>
    <row r="107" spans="2:35" x14ac:dyDescent="0.25">
      <c r="B107" s="98">
        <f t="shared" si="18"/>
        <v>77</v>
      </c>
      <c r="C107" s="99" t="str">
        <f>IF('תנאי סף'!AO107&lt;&gt;1,"",'תנאי סף'!F107)</f>
        <v>ארמון בזמן - העמותה לתרבות רב תחומית</v>
      </c>
      <c r="D107" s="344">
        <f>'התחשיב הבסיסי'!AE107</f>
        <v>2.3485835485053761E-2</v>
      </c>
      <c r="E107" s="492">
        <f>IF(C107="","",'סיכום לועדה- הזנת נתונים'!O107)</f>
        <v>65924</v>
      </c>
      <c r="F107" s="360">
        <v>0</v>
      </c>
      <c r="G107" s="424">
        <f t="shared" si="22"/>
        <v>2.1701409748911622E-2</v>
      </c>
      <c r="H107" s="184">
        <f t="shared" si="14"/>
        <v>2.2593622616982691E-2</v>
      </c>
      <c r="I107" s="425"/>
      <c r="J107" s="179"/>
      <c r="K107" s="179"/>
      <c r="L107" s="179"/>
      <c r="M107" s="179"/>
      <c r="N107" s="179"/>
      <c r="O107" s="179"/>
      <c r="P107" s="179"/>
      <c r="Q107" s="179"/>
      <c r="R107" s="179"/>
      <c r="S107" s="179"/>
      <c r="T107" s="179"/>
      <c r="U107" s="179"/>
      <c r="V107" s="179"/>
      <c r="W107" s="179"/>
      <c r="X107" s="179"/>
      <c r="Y107" s="345">
        <f t="shared" si="15"/>
        <v>2.3047981348353425E-2</v>
      </c>
      <c r="Z107" s="181">
        <f t="shared" si="16"/>
        <v>70904.049236689985</v>
      </c>
      <c r="AA107" s="187"/>
      <c r="AB107" s="187"/>
      <c r="AC107" s="187"/>
      <c r="AD107" s="186">
        <f t="shared" si="19"/>
        <v>0</v>
      </c>
      <c r="AE107" s="186">
        <f t="shared" si="19"/>
        <v>1</v>
      </c>
      <c r="AF107" s="187">
        <f t="shared" si="17"/>
        <v>1</v>
      </c>
      <c r="AG107" s="187">
        <f t="shared" si="20"/>
        <v>1</v>
      </c>
      <c r="AH107" s="186"/>
      <c r="AI107" s="187">
        <f t="shared" si="21"/>
        <v>1</v>
      </c>
    </row>
    <row r="108" spans="2:35" x14ac:dyDescent="0.25">
      <c r="B108" s="98" t="str">
        <f t="shared" si="18"/>
        <v/>
      </c>
      <c r="C108" s="99" t="str">
        <f>IF('תנאי סף'!AO108&lt;&gt;1,"",'תנאי סף'!F108)</f>
        <v/>
      </c>
      <c r="D108" s="344" t="str">
        <f>'התחשיב הבסיסי'!AE108</f>
        <v/>
      </c>
      <c r="E108" s="492" t="str">
        <f>IF(C108="","",'סיכום לועדה- הזנת נתונים'!O108)</f>
        <v/>
      </c>
      <c r="F108" s="360"/>
      <c r="G108" s="424" t="str">
        <f t="shared" si="22"/>
        <v/>
      </c>
      <c r="H108" s="184" t="str">
        <f t="shared" si="14"/>
        <v/>
      </c>
      <c r="I108" s="425"/>
      <c r="J108" s="179"/>
      <c r="K108" s="179"/>
      <c r="L108" s="179"/>
      <c r="M108" s="179"/>
      <c r="N108" s="179"/>
      <c r="O108" s="179"/>
      <c r="P108" s="179"/>
      <c r="Q108" s="179"/>
      <c r="R108" s="179"/>
      <c r="S108" s="179"/>
      <c r="T108" s="179"/>
      <c r="U108" s="179"/>
      <c r="V108" s="179"/>
      <c r="W108" s="179"/>
      <c r="X108" s="179"/>
      <c r="Y108" s="345" t="str">
        <f t="shared" si="15"/>
        <v/>
      </c>
      <c r="Z108" s="181" t="str">
        <f t="shared" si="16"/>
        <v/>
      </c>
      <c r="AA108" s="187"/>
      <c r="AB108" s="187"/>
      <c r="AC108" s="187"/>
      <c r="AD108" s="186" t="str">
        <f t="shared" si="19"/>
        <v/>
      </c>
      <c r="AE108" s="186" t="str">
        <f t="shared" si="19"/>
        <v/>
      </c>
      <c r="AF108" s="187">
        <f t="shared" si="17"/>
        <v>1</v>
      </c>
      <c r="AG108" s="187">
        <f t="shared" si="20"/>
        <v>0</v>
      </c>
      <c r="AH108" s="186"/>
      <c r="AI108" s="187">
        <f t="shared" si="21"/>
        <v>1</v>
      </c>
    </row>
    <row r="109" spans="2:35" x14ac:dyDescent="0.25">
      <c r="B109" s="98" t="str">
        <f t="shared" si="18"/>
        <v/>
      </c>
      <c r="C109" s="99" t="str">
        <f>IF('תנאי סף'!AO109&lt;&gt;1,"",'תנאי סף'!F109)</f>
        <v/>
      </c>
      <c r="D109" s="344" t="str">
        <f>'התחשיב הבסיסי'!AE109</f>
        <v/>
      </c>
      <c r="E109" s="492" t="str">
        <f>IF(C109="","",'סיכום לועדה- הזנת נתונים'!O109)</f>
        <v/>
      </c>
      <c r="F109" s="360"/>
      <c r="G109" s="424" t="str">
        <f t="shared" si="22"/>
        <v/>
      </c>
      <c r="H109" s="184" t="str">
        <f t="shared" si="14"/>
        <v/>
      </c>
      <c r="I109" s="425"/>
      <c r="J109" s="179"/>
      <c r="K109" s="179"/>
      <c r="L109" s="179"/>
      <c r="M109" s="179"/>
      <c r="N109" s="179"/>
      <c r="O109" s="179"/>
      <c r="P109" s="179"/>
      <c r="Q109" s="179"/>
      <c r="R109" s="179"/>
      <c r="S109" s="179"/>
      <c r="T109" s="179"/>
      <c r="U109" s="179"/>
      <c r="V109" s="179"/>
      <c r="W109" s="179"/>
      <c r="X109" s="179"/>
      <c r="Y109" s="345" t="str">
        <f t="shared" si="15"/>
        <v/>
      </c>
      <c r="Z109" s="181" t="str">
        <f t="shared" si="16"/>
        <v/>
      </c>
      <c r="AA109" s="187"/>
      <c r="AB109" s="187"/>
      <c r="AC109" s="187"/>
      <c r="AD109" s="186" t="str">
        <f t="shared" si="19"/>
        <v/>
      </c>
      <c r="AE109" s="186" t="str">
        <f t="shared" si="19"/>
        <v/>
      </c>
      <c r="AF109" s="187">
        <f t="shared" si="17"/>
        <v>1</v>
      </c>
      <c r="AG109" s="187">
        <f t="shared" si="20"/>
        <v>0</v>
      </c>
      <c r="AH109" s="186"/>
      <c r="AI109" s="187">
        <f t="shared" si="21"/>
        <v>1</v>
      </c>
    </row>
    <row r="110" spans="2:35" x14ac:dyDescent="0.25">
      <c r="B110" s="98" t="str">
        <f t="shared" si="18"/>
        <v/>
      </c>
      <c r="C110" s="99" t="str">
        <f>IF('תנאי סף'!AO110&lt;&gt;1,"",'תנאי סף'!F110)</f>
        <v/>
      </c>
      <c r="D110" s="344" t="str">
        <f>'התחשיב הבסיסי'!AE110</f>
        <v/>
      </c>
      <c r="E110" s="492" t="str">
        <f>IF(C110="","",'סיכום לועדה- הזנת נתונים'!O110)</f>
        <v/>
      </c>
      <c r="F110" s="360"/>
      <c r="G110" s="424" t="str">
        <f t="shared" si="22"/>
        <v/>
      </c>
      <c r="H110" s="184" t="str">
        <f t="shared" si="14"/>
        <v/>
      </c>
      <c r="I110" s="425"/>
      <c r="J110" s="179"/>
      <c r="K110" s="179"/>
      <c r="L110" s="179"/>
      <c r="M110" s="179"/>
      <c r="N110" s="179"/>
      <c r="O110" s="179"/>
      <c r="P110" s="179"/>
      <c r="Q110" s="179"/>
      <c r="R110" s="179"/>
      <c r="S110" s="179"/>
      <c r="T110" s="179"/>
      <c r="U110" s="179"/>
      <c r="V110" s="179"/>
      <c r="W110" s="179"/>
      <c r="X110" s="179"/>
      <c r="Y110" s="345" t="str">
        <f t="shared" si="15"/>
        <v/>
      </c>
      <c r="Z110" s="181" t="str">
        <f t="shared" si="16"/>
        <v/>
      </c>
      <c r="AA110" s="187"/>
      <c r="AB110" s="187"/>
      <c r="AC110" s="187"/>
      <c r="AD110" s="186" t="str">
        <f t="shared" si="19"/>
        <v/>
      </c>
      <c r="AE110" s="186" t="str">
        <f t="shared" si="19"/>
        <v/>
      </c>
      <c r="AF110" s="187">
        <f t="shared" si="17"/>
        <v>1</v>
      </c>
      <c r="AG110" s="187">
        <f t="shared" si="20"/>
        <v>0</v>
      </c>
      <c r="AH110" s="186"/>
      <c r="AI110" s="187">
        <f t="shared" si="21"/>
        <v>1</v>
      </c>
    </row>
    <row r="111" spans="2:35" x14ac:dyDescent="0.25">
      <c r="B111" s="98" t="str">
        <f t="shared" si="18"/>
        <v/>
      </c>
      <c r="C111" s="99" t="str">
        <f>IF('תנאי סף'!AO111&lt;&gt;1,"",'תנאי סף'!F111)</f>
        <v/>
      </c>
      <c r="D111" s="344" t="str">
        <f>'התחשיב הבסיסי'!AE111</f>
        <v/>
      </c>
      <c r="E111" s="492" t="str">
        <f>IF(C111="","",'סיכום לועדה- הזנת נתונים'!O111)</f>
        <v/>
      </c>
      <c r="F111" s="360"/>
      <c r="G111" s="424" t="str">
        <f t="shared" si="22"/>
        <v/>
      </c>
      <c r="H111" s="184" t="str">
        <f t="shared" si="14"/>
        <v/>
      </c>
      <c r="I111" s="425"/>
      <c r="J111" s="179"/>
      <c r="K111" s="179"/>
      <c r="L111" s="179"/>
      <c r="M111" s="179"/>
      <c r="N111" s="179"/>
      <c r="O111" s="179"/>
      <c r="P111" s="179"/>
      <c r="Q111" s="179"/>
      <c r="R111" s="179"/>
      <c r="S111" s="179"/>
      <c r="T111" s="179"/>
      <c r="U111" s="179"/>
      <c r="V111" s="179"/>
      <c r="W111" s="179"/>
      <c r="X111" s="179"/>
      <c r="Y111" s="345" t="str">
        <f t="shared" si="15"/>
        <v/>
      </c>
      <c r="Z111" s="181" t="str">
        <f t="shared" si="16"/>
        <v/>
      </c>
      <c r="AA111" s="187"/>
      <c r="AB111" s="187"/>
      <c r="AC111" s="187"/>
      <c r="AD111" s="186" t="str">
        <f t="shared" si="19"/>
        <v/>
      </c>
      <c r="AE111" s="186" t="str">
        <f t="shared" si="19"/>
        <v/>
      </c>
      <c r="AF111" s="187">
        <f t="shared" si="17"/>
        <v>1</v>
      </c>
      <c r="AG111" s="187">
        <f t="shared" si="20"/>
        <v>0</v>
      </c>
      <c r="AH111" s="186"/>
      <c r="AI111" s="187">
        <f t="shared" si="21"/>
        <v>1</v>
      </c>
    </row>
    <row r="112" spans="2:35" x14ac:dyDescent="0.25">
      <c r="B112" s="98" t="str">
        <f t="shared" si="18"/>
        <v/>
      </c>
      <c r="C112" s="99" t="str">
        <f>IF('תנאי סף'!AO112&lt;&gt;1,"",'תנאי סף'!F112)</f>
        <v/>
      </c>
      <c r="D112" s="344" t="str">
        <f>'התחשיב הבסיסי'!AE112</f>
        <v/>
      </c>
      <c r="E112" s="492" t="str">
        <f>IF(C112="","",'סיכום לועדה- הזנת נתונים'!O112)</f>
        <v/>
      </c>
      <c r="F112" s="360"/>
      <c r="G112" s="424" t="str">
        <f t="shared" si="22"/>
        <v/>
      </c>
      <c r="H112" s="184" t="str">
        <f t="shared" si="14"/>
        <v/>
      </c>
      <c r="I112" s="425"/>
      <c r="J112" s="179"/>
      <c r="K112" s="179"/>
      <c r="L112" s="179"/>
      <c r="M112" s="179"/>
      <c r="N112" s="179"/>
      <c r="O112" s="179"/>
      <c r="P112" s="179"/>
      <c r="Q112" s="179"/>
      <c r="R112" s="179"/>
      <c r="S112" s="179"/>
      <c r="T112" s="179"/>
      <c r="U112" s="179"/>
      <c r="V112" s="179"/>
      <c r="W112" s="179"/>
      <c r="X112" s="179"/>
      <c r="Y112" s="345" t="str">
        <f t="shared" si="15"/>
        <v/>
      </c>
      <c r="Z112" s="181" t="str">
        <f t="shared" si="16"/>
        <v/>
      </c>
      <c r="AA112" s="187"/>
      <c r="AB112" s="187"/>
      <c r="AC112" s="187"/>
      <c r="AD112" s="186" t="str">
        <f t="shared" si="19"/>
        <v/>
      </c>
      <c r="AE112" s="186" t="str">
        <f t="shared" si="19"/>
        <v/>
      </c>
      <c r="AF112" s="187">
        <f t="shared" si="17"/>
        <v>1</v>
      </c>
      <c r="AG112" s="187">
        <f t="shared" si="20"/>
        <v>0</v>
      </c>
      <c r="AH112" s="186"/>
      <c r="AI112" s="187">
        <f t="shared" si="21"/>
        <v>1</v>
      </c>
    </row>
    <row r="113" spans="2:35" x14ac:dyDescent="0.25">
      <c r="B113" s="98" t="str">
        <f t="shared" si="18"/>
        <v/>
      </c>
      <c r="C113" s="99" t="str">
        <f>IF('תנאי סף'!AO113&lt;&gt;1,"",'תנאי סף'!F113)</f>
        <v/>
      </c>
      <c r="D113" s="344" t="str">
        <f>'התחשיב הבסיסי'!AE113</f>
        <v/>
      </c>
      <c r="E113" s="492" t="str">
        <f>IF(C113="","",'סיכום לועדה- הזנת נתונים'!O113)</f>
        <v/>
      </c>
      <c r="F113" s="360"/>
      <c r="G113" s="424" t="str">
        <f t="shared" si="22"/>
        <v/>
      </c>
      <c r="H113" s="184" t="str">
        <f t="shared" si="14"/>
        <v/>
      </c>
      <c r="I113" s="425"/>
      <c r="J113" s="179"/>
      <c r="K113" s="179"/>
      <c r="L113" s="179"/>
      <c r="M113" s="179"/>
      <c r="N113" s="179"/>
      <c r="O113" s="179"/>
      <c r="P113" s="179"/>
      <c r="Q113" s="179"/>
      <c r="R113" s="179"/>
      <c r="S113" s="179"/>
      <c r="T113" s="179"/>
      <c r="U113" s="179"/>
      <c r="V113" s="179"/>
      <c r="W113" s="179"/>
      <c r="X113" s="179"/>
      <c r="Y113" s="345" t="str">
        <f t="shared" si="15"/>
        <v/>
      </c>
      <c r="Z113" s="181" t="str">
        <f t="shared" si="16"/>
        <v/>
      </c>
      <c r="AA113" s="187"/>
      <c r="AB113" s="187"/>
      <c r="AC113" s="187"/>
      <c r="AD113" s="186" t="str">
        <f t="shared" si="19"/>
        <v/>
      </c>
      <c r="AE113" s="186" t="str">
        <f t="shared" si="19"/>
        <v/>
      </c>
      <c r="AF113" s="187">
        <f t="shared" si="17"/>
        <v>1</v>
      </c>
      <c r="AG113" s="187">
        <f t="shared" si="20"/>
        <v>0</v>
      </c>
      <c r="AH113" s="186"/>
      <c r="AI113" s="187">
        <f t="shared" si="21"/>
        <v>1</v>
      </c>
    </row>
    <row r="114" spans="2:35" x14ac:dyDescent="0.25">
      <c r="B114" s="98" t="str">
        <f t="shared" si="18"/>
        <v/>
      </c>
      <c r="C114" s="99" t="str">
        <f>IF('תנאי סף'!AO114&lt;&gt;1,"",'תנאי סף'!F114)</f>
        <v/>
      </c>
      <c r="D114" s="344" t="str">
        <f>'התחשיב הבסיסי'!AE114</f>
        <v/>
      </c>
      <c r="E114" s="492" t="str">
        <f>IF(C114="","",'סיכום לועדה- הזנת נתונים'!O114)</f>
        <v/>
      </c>
      <c r="F114" s="360"/>
      <c r="G114" s="424" t="str">
        <f t="shared" si="22"/>
        <v/>
      </c>
      <c r="H114" s="184" t="str">
        <f t="shared" si="14"/>
        <v/>
      </c>
      <c r="I114" s="425"/>
      <c r="J114" s="179"/>
      <c r="K114" s="179"/>
      <c r="L114" s="179"/>
      <c r="M114" s="179"/>
      <c r="N114" s="179"/>
      <c r="O114" s="179"/>
      <c r="P114" s="179"/>
      <c r="Q114" s="179"/>
      <c r="R114" s="179"/>
      <c r="S114" s="179"/>
      <c r="T114" s="179"/>
      <c r="U114" s="179"/>
      <c r="V114" s="179"/>
      <c r="W114" s="179"/>
      <c r="X114" s="179"/>
      <c r="Y114" s="345" t="str">
        <f t="shared" si="15"/>
        <v/>
      </c>
      <c r="Z114" s="181" t="str">
        <f t="shared" si="16"/>
        <v/>
      </c>
      <c r="AA114" s="187"/>
      <c r="AB114" s="187"/>
      <c r="AC114" s="187"/>
      <c r="AD114" s="186" t="str">
        <f t="shared" si="19"/>
        <v/>
      </c>
      <c r="AE114" s="186" t="str">
        <f t="shared" si="19"/>
        <v/>
      </c>
      <c r="AF114" s="187">
        <f t="shared" si="17"/>
        <v>1</v>
      </c>
      <c r="AG114" s="187">
        <f t="shared" si="20"/>
        <v>0</v>
      </c>
      <c r="AH114" s="186"/>
      <c r="AI114" s="187">
        <f t="shared" si="21"/>
        <v>1</v>
      </c>
    </row>
    <row r="115" spans="2:35" x14ac:dyDescent="0.25">
      <c r="B115" s="98" t="str">
        <f t="shared" si="18"/>
        <v/>
      </c>
      <c r="C115" s="99" t="str">
        <f>IF('תנאי סף'!AO115&lt;&gt;1,"",'תנאי סף'!F115)</f>
        <v/>
      </c>
      <c r="D115" s="344" t="str">
        <f>'התחשיב הבסיסי'!AE115</f>
        <v/>
      </c>
      <c r="E115" s="492" t="str">
        <f>IF(C115="","",'סיכום לועדה- הזנת נתונים'!O115)</f>
        <v/>
      </c>
      <c r="F115" s="360"/>
      <c r="G115" s="424" t="str">
        <f t="shared" si="22"/>
        <v/>
      </c>
      <c r="H115" s="184" t="str">
        <f t="shared" si="14"/>
        <v/>
      </c>
      <c r="I115" s="425"/>
      <c r="J115" s="179"/>
      <c r="K115" s="179"/>
      <c r="L115" s="179"/>
      <c r="M115" s="179"/>
      <c r="N115" s="179"/>
      <c r="O115" s="179"/>
      <c r="P115" s="179"/>
      <c r="Q115" s="179"/>
      <c r="R115" s="179"/>
      <c r="S115" s="179"/>
      <c r="T115" s="179"/>
      <c r="U115" s="179"/>
      <c r="V115" s="179"/>
      <c r="W115" s="179"/>
      <c r="X115" s="179"/>
      <c r="Y115" s="345" t="str">
        <f t="shared" si="15"/>
        <v/>
      </c>
      <c r="Z115" s="181" t="str">
        <f t="shared" si="16"/>
        <v/>
      </c>
      <c r="AA115" s="187"/>
      <c r="AB115" s="187"/>
      <c r="AC115" s="187"/>
      <c r="AD115" s="186" t="str">
        <f t="shared" si="19"/>
        <v/>
      </c>
      <c r="AE115" s="186" t="str">
        <f t="shared" si="19"/>
        <v/>
      </c>
      <c r="AF115" s="187">
        <f t="shared" si="17"/>
        <v>1</v>
      </c>
      <c r="AG115" s="187">
        <f t="shared" si="20"/>
        <v>0</v>
      </c>
      <c r="AH115" s="186"/>
      <c r="AI115" s="187">
        <f t="shared" si="21"/>
        <v>1</v>
      </c>
    </row>
    <row r="116" spans="2:35" x14ac:dyDescent="0.25">
      <c r="B116" s="98" t="str">
        <f t="shared" si="18"/>
        <v/>
      </c>
      <c r="C116" s="99" t="str">
        <f>IF('תנאי סף'!AO116&lt;&gt;1,"",'תנאי סף'!F116)</f>
        <v/>
      </c>
      <c r="D116" s="344" t="str">
        <f>'התחשיב הבסיסי'!AE116</f>
        <v/>
      </c>
      <c r="E116" s="492" t="str">
        <f>IF(C116="","",'סיכום לועדה- הזנת נתונים'!O116)</f>
        <v/>
      </c>
      <c r="F116" s="360"/>
      <c r="G116" s="424" t="str">
        <f t="shared" si="22"/>
        <v/>
      </c>
      <c r="H116" s="184" t="str">
        <f t="shared" si="14"/>
        <v/>
      </c>
      <c r="I116" s="425"/>
      <c r="J116" s="179"/>
      <c r="K116" s="179"/>
      <c r="L116" s="179"/>
      <c r="M116" s="179"/>
      <c r="N116" s="179"/>
      <c r="O116" s="179"/>
      <c r="P116" s="179"/>
      <c r="Q116" s="179"/>
      <c r="R116" s="179"/>
      <c r="S116" s="179"/>
      <c r="T116" s="179"/>
      <c r="U116" s="179"/>
      <c r="V116" s="179"/>
      <c r="W116" s="179"/>
      <c r="X116" s="179"/>
      <c r="Y116" s="345" t="str">
        <f t="shared" si="15"/>
        <v/>
      </c>
      <c r="Z116" s="181" t="str">
        <f t="shared" si="16"/>
        <v/>
      </c>
      <c r="AA116" s="187"/>
      <c r="AB116" s="187"/>
      <c r="AC116" s="187"/>
      <c r="AD116" s="186" t="str">
        <f t="shared" si="19"/>
        <v/>
      </c>
      <c r="AE116" s="186" t="str">
        <f t="shared" si="19"/>
        <v/>
      </c>
      <c r="AF116" s="187">
        <f t="shared" si="17"/>
        <v>1</v>
      </c>
      <c r="AG116" s="187">
        <f t="shared" si="20"/>
        <v>0</v>
      </c>
      <c r="AH116" s="186"/>
      <c r="AI116" s="187">
        <f t="shared" si="21"/>
        <v>1</v>
      </c>
    </row>
    <row r="117" spans="2:35" x14ac:dyDescent="0.25">
      <c r="B117" s="98" t="str">
        <f t="shared" si="18"/>
        <v/>
      </c>
      <c r="C117" s="99" t="str">
        <f>IF('תנאי סף'!AO117&lt;&gt;1,"",'תנאי סף'!F117)</f>
        <v/>
      </c>
      <c r="D117" s="344" t="str">
        <f>'התחשיב הבסיסי'!AE117</f>
        <v/>
      </c>
      <c r="E117" s="492" t="str">
        <f>IF(C117="","",'סיכום לועדה- הזנת נתונים'!O117)</f>
        <v/>
      </c>
      <c r="F117" s="360"/>
      <c r="G117" s="424" t="str">
        <f t="shared" si="22"/>
        <v/>
      </c>
      <c r="H117" s="184" t="str">
        <f t="shared" si="14"/>
        <v/>
      </c>
      <c r="I117" s="425"/>
      <c r="J117" s="179"/>
      <c r="K117" s="179"/>
      <c r="L117" s="179"/>
      <c r="M117" s="179"/>
      <c r="N117" s="179"/>
      <c r="O117" s="179"/>
      <c r="P117" s="179"/>
      <c r="Q117" s="179"/>
      <c r="R117" s="179"/>
      <c r="S117" s="179"/>
      <c r="T117" s="179"/>
      <c r="U117" s="179"/>
      <c r="V117" s="179"/>
      <c r="W117" s="179"/>
      <c r="X117" s="179"/>
      <c r="Y117" s="345" t="str">
        <f t="shared" si="15"/>
        <v/>
      </c>
      <c r="Z117" s="181" t="str">
        <f t="shared" si="16"/>
        <v/>
      </c>
      <c r="AA117" s="187"/>
      <c r="AB117" s="187"/>
      <c r="AC117" s="187"/>
      <c r="AD117" s="186" t="str">
        <f t="shared" si="19"/>
        <v/>
      </c>
      <c r="AE117" s="186" t="str">
        <f t="shared" si="19"/>
        <v/>
      </c>
      <c r="AF117" s="187">
        <f t="shared" si="17"/>
        <v>1</v>
      </c>
      <c r="AG117" s="187">
        <f t="shared" si="20"/>
        <v>0</v>
      </c>
      <c r="AH117" s="186"/>
      <c r="AI117" s="187">
        <f t="shared" si="21"/>
        <v>1</v>
      </c>
    </row>
    <row r="118" spans="2:35" x14ac:dyDescent="0.25">
      <c r="B118" s="98" t="str">
        <f t="shared" si="18"/>
        <v/>
      </c>
      <c r="C118" s="99" t="str">
        <f>IF('תנאי סף'!AO118&lt;&gt;1,"",'תנאי סף'!F118)</f>
        <v/>
      </c>
      <c r="D118" s="344" t="str">
        <f>'התחשיב הבסיסי'!AE118</f>
        <v/>
      </c>
      <c r="E118" s="492" t="str">
        <f>IF(C118="","",'סיכום לועדה- הזנת נתונים'!O118)</f>
        <v/>
      </c>
      <c r="F118" s="360"/>
      <c r="G118" s="424" t="str">
        <f t="shared" si="22"/>
        <v/>
      </c>
      <c r="H118" s="184" t="str">
        <f t="shared" si="14"/>
        <v/>
      </c>
      <c r="I118" s="425"/>
      <c r="J118" s="179"/>
      <c r="K118" s="179"/>
      <c r="L118" s="179"/>
      <c r="M118" s="179"/>
      <c r="N118" s="179"/>
      <c r="O118" s="179"/>
      <c r="P118" s="179"/>
      <c r="Q118" s="179"/>
      <c r="R118" s="179"/>
      <c r="S118" s="179"/>
      <c r="T118" s="179"/>
      <c r="U118" s="179"/>
      <c r="V118" s="179"/>
      <c r="W118" s="179"/>
      <c r="X118" s="179"/>
      <c r="Y118" s="345" t="str">
        <f t="shared" si="15"/>
        <v/>
      </c>
      <c r="Z118" s="181" t="str">
        <f t="shared" si="16"/>
        <v/>
      </c>
      <c r="AA118" s="187"/>
      <c r="AB118" s="187"/>
      <c r="AC118" s="187"/>
      <c r="AD118" s="186" t="str">
        <f t="shared" si="19"/>
        <v/>
      </c>
      <c r="AE118" s="186" t="str">
        <f t="shared" si="19"/>
        <v/>
      </c>
      <c r="AF118" s="187">
        <f t="shared" si="17"/>
        <v>1</v>
      </c>
      <c r="AG118" s="187">
        <f t="shared" si="20"/>
        <v>0</v>
      </c>
      <c r="AH118" s="186"/>
      <c r="AI118" s="187">
        <f t="shared" si="21"/>
        <v>1</v>
      </c>
    </row>
    <row r="119" spans="2:35" x14ac:dyDescent="0.25">
      <c r="B119" s="98" t="str">
        <f t="shared" si="18"/>
        <v/>
      </c>
      <c r="C119" s="99" t="str">
        <f>IF('תנאי סף'!AO119&lt;&gt;1,"",'תנאי סף'!F119)</f>
        <v/>
      </c>
      <c r="D119" s="344" t="str">
        <f>'התחשיב הבסיסי'!AE119</f>
        <v/>
      </c>
      <c r="E119" s="492" t="str">
        <f>IF(C119="","",'סיכום לועדה- הזנת נתונים'!O119)</f>
        <v/>
      </c>
      <c r="F119" s="360"/>
      <c r="G119" s="424" t="str">
        <f t="shared" si="22"/>
        <v/>
      </c>
      <c r="H119" s="184" t="str">
        <f t="shared" si="14"/>
        <v/>
      </c>
      <c r="I119" s="425"/>
      <c r="J119" s="179"/>
      <c r="K119" s="179"/>
      <c r="L119" s="179"/>
      <c r="M119" s="179"/>
      <c r="N119" s="179"/>
      <c r="O119" s="179"/>
      <c r="P119" s="179"/>
      <c r="Q119" s="179"/>
      <c r="R119" s="179"/>
      <c r="S119" s="179"/>
      <c r="T119" s="179"/>
      <c r="U119" s="179"/>
      <c r="V119" s="179"/>
      <c r="W119" s="179"/>
      <c r="X119" s="179"/>
      <c r="Y119" s="345" t="str">
        <f t="shared" si="15"/>
        <v/>
      </c>
      <c r="Z119" s="181" t="str">
        <f t="shared" si="16"/>
        <v/>
      </c>
      <c r="AA119" s="187"/>
      <c r="AB119" s="187"/>
      <c r="AC119" s="187"/>
      <c r="AD119" s="186" t="str">
        <f t="shared" si="19"/>
        <v/>
      </c>
      <c r="AE119" s="186" t="str">
        <f t="shared" si="19"/>
        <v/>
      </c>
      <c r="AF119" s="187">
        <f t="shared" si="17"/>
        <v>1</v>
      </c>
      <c r="AG119" s="187">
        <f t="shared" si="20"/>
        <v>0</v>
      </c>
      <c r="AH119" s="186"/>
      <c r="AI119" s="187">
        <f t="shared" si="21"/>
        <v>1</v>
      </c>
    </row>
    <row r="120" spans="2:35" x14ac:dyDescent="0.25">
      <c r="B120" s="98" t="str">
        <f t="shared" si="18"/>
        <v/>
      </c>
      <c r="C120" s="99" t="str">
        <f>IF('תנאי סף'!AO120&lt;&gt;1,"",'תנאי סף'!F120)</f>
        <v/>
      </c>
      <c r="D120" s="344" t="str">
        <f>'התחשיב הבסיסי'!AE120</f>
        <v/>
      </c>
      <c r="E120" s="492" t="str">
        <f>IF(C120="","",'סיכום לועדה- הזנת נתונים'!O120)</f>
        <v/>
      </c>
      <c r="F120" s="360"/>
      <c r="G120" s="424" t="str">
        <f t="shared" si="22"/>
        <v/>
      </c>
      <c r="H120" s="184" t="str">
        <f t="shared" si="14"/>
        <v/>
      </c>
      <c r="I120" s="425"/>
      <c r="J120" s="179"/>
      <c r="K120" s="179"/>
      <c r="L120" s="179"/>
      <c r="M120" s="179"/>
      <c r="N120" s="179"/>
      <c r="O120" s="179"/>
      <c r="P120" s="179"/>
      <c r="Q120" s="179"/>
      <c r="R120" s="179"/>
      <c r="S120" s="179"/>
      <c r="T120" s="179"/>
      <c r="U120" s="179"/>
      <c r="V120" s="179"/>
      <c r="W120" s="179"/>
      <c r="X120" s="179"/>
      <c r="Y120" s="345" t="str">
        <f t="shared" si="15"/>
        <v/>
      </c>
      <c r="Z120" s="181" t="str">
        <f t="shared" si="16"/>
        <v/>
      </c>
      <c r="AA120" s="187"/>
      <c r="AB120" s="187"/>
      <c r="AC120" s="187"/>
      <c r="AD120" s="186" t="str">
        <f t="shared" si="19"/>
        <v/>
      </c>
      <c r="AE120" s="186" t="str">
        <f t="shared" si="19"/>
        <v/>
      </c>
      <c r="AF120" s="187">
        <f t="shared" si="17"/>
        <v>1</v>
      </c>
      <c r="AG120" s="187">
        <f t="shared" si="20"/>
        <v>0</v>
      </c>
      <c r="AH120" s="186"/>
      <c r="AI120" s="187">
        <f t="shared" si="21"/>
        <v>1</v>
      </c>
    </row>
    <row r="121" spans="2:35" x14ac:dyDescent="0.25">
      <c r="B121" s="98" t="str">
        <f t="shared" si="18"/>
        <v/>
      </c>
      <c r="C121" s="99" t="str">
        <f>IF('תנאי סף'!AO121&lt;&gt;1,"",'תנאי סף'!F121)</f>
        <v/>
      </c>
      <c r="D121" s="344" t="str">
        <f>'התחשיב הבסיסי'!AE121</f>
        <v/>
      </c>
      <c r="E121" s="492" t="str">
        <f>IF(C121="","",'סיכום לועדה- הזנת נתונים'!O121)</f>
        <v/>
      </c>
      <c r="F121" s="360"/>
      <c r="G121" s="424" t="str">
        <f t="shared" si="22"/>
        <v/>
      </c>
      <c r="H121" s="184" t="str">
        <f t="shared" si="14"/>
        <v/>
      </c>
      <c r="I121" s="425"/>
      <c r="J121" s="179"/>
      <c r="K121" s="179"/>
      <c r="L121" s="179"/>
      <c r="M121" s="179"/>
      <c r="N121" s="179"/>
      <c r="O121" s="179"/>
      <c r="P121" s="179"/>
      <c r="Q121" s="179"/>
      <c r="R121" s="179"/>
      <c r="S121" s="179"/>
      <c r="T121" s="179"/>
      <c r="U121" s="179"/>
      <c r="V121" s="179"/>
      <c r="W121" s="179"/>
      <c r="X121" s="179"/>
      <c r="Y121" s="345" t="str">
        <f t="shared" si="15"/>
        <v/>
      </c>
      <c r="Z121" s="181" t="str">
        <f t="shared" si="16"/>
        <v/>
      </c>
      <c r="AA121" s="187"/>
      <c r="AB121" s="187"/>
      <c r="AC121" s="187"/>
      <c r="AD121" s="186" t="str">
        <f t="shared" si="19"/>
        <v/>
      </c>
      <c r="AE121" s="186" t="str">
        <f t="shared" si="19"/>
        <v/>
      </c>
      <c r="AF121" s="187">
        <f t="shared" si="17"/>
        <v>1</v>
      </c>
      <c r="AG121" s="187">
        <f t="shared" si="20"/>
        <v>0</v>
      </c>
      <c r="AH121" s="186"/>
      <c r="AI121" s="187">
        <f t="shared" si="21"/>
        <v>1</v>
      </c>
    </row>
    <row r="122" spans="2:35" x14ac:dyDescent="0.25">
      <c r="B122" s="98" t="str">
        <f t="shared" si="18"/>
        <v/>
      </c>
      <c r="C122" s="99" t="str">
        <f>IF('תנאי סף'!AO122&lt;&gt;1,"",'תנאי סף'!F122)</f>
        <v/>
      </c>
      <c r="D122" s="344" t="str">
        <f>'התחשיב הבסיסי'!AE122</f>
        <v/>
      </c>
      <c r="E122" s="492" t="str">
        <f>IF(C122="","",'סיכום לועדה- הזנת נתונים'!O122)</f>
        <v/>
      </c>
      <c r="F122" s="360"/>
      <c r="G122" s="424" t="str">
        <f t="shared" si="22"/>
        <v/>
      </c>
      <c r="H122" s="184" t="str">
        <f t="shared" si="14"/>
        <v/>
      </c>
      <c r="I122" s="425"/>
      <c r="J122" s="179"/>
      <c r="K122" s="179"/>
      <c r="L122" s="179"/>
      <c r="M122" s="179"/>
      <c r="N122" s="179"/>
      <c r="O122" s="179"/>
      <c r="P122" s="179"/>
      <c r="Q122" s="179"/>
      <c r="R122" s="179"/>
      <c r="S122" s="179"/>
      <c r="T122" s="179"/>
      <c r="U122" s="179"/>
      <c r="V122" s="179"/>
      <c r="W122" s="179"/>
      <c r="X122" s="179"/>
      <c r="Y122" s="345" t="str">
        <f t="shared" si="15"/>
        <v/>
      </c>
      <c r="Z122" s="181" t="str">
        <f t="shared" si="16"/>
        <v/>
      </c>
      <c r="AA122" s="187"/>
      <c r="AB122" s="187"/>
      <c r="AC122" s="187"/>
      <c r="AD122" s="186" t="str">
        <f t="shared" si="19"/>
        <v/>
      </c>
      <c r="AE122" s="186" t="str">
        <f t="shared" si="19"/>
        <v/>
      </c>
      <c r="AF122" s="187">
        <f t="shared" si="17"/>
        <v>1</v>
      </c>
      <c r="AG122" s="187">
        <f t="shared" si="20"/>
        <v>0</v>
      </c>
      <c r="AH122" s="186"/>
      <c r="AI122" s="187">
        <f t="shared" si="21"/>
        <v>1</v>
      </c>
    </row>
    <row r="123" spans="2:35" x14ac:dyDescent="0.25">
      <c r="B123" s="98" t="str">
        <f t="shared" si="18"/>
        <v/>
      </c>
      <c r="C123" s="99" t="str">
        <f>IF('תנאי סף'!AO123&lt;&gt;1,"",'תנאי סף'!F123)</f>
        <v/>
      </c>
      <c r="D123" s="344" t="str">
        <f>'התחשיב הבסיסי'!AE123</f>
        <v/>
      </c>
      <c r="E123" s="492" t="str">
        <f>IF(C123="","",'סיכום לועדה- הזנת נתונים'!O123)</f>
        <v/>
      </c>
      <c r="F123" s="360"/>
      <c r="G123" s="424" t="str">
        <f t="shared" si="22"/>
        <v/>
      </c>
      <c r="H123" s="184" t="str">
        <f t="shared" si="14"/>
        <v/>
      </c>
      <c r="I123" s="425"/>
      <c r="J123" s="179"/>
      <c r="K123" s="179"/>
      <c r="L123" s="179"/>
      <c r="M123" s="179"/>
      <c r="N123" s="179"/>
      <c r="O123" s="179"/>
      <c r="P123" s="179"/>
      <c r="Q123" s="179"/>
      <c r="R123" s="179"/>
      <c r="S123" s="179"/>
      <c r="T123" s="179"/>
      <c r="U123" s="179"/>
      <c r="V123" s="179"/>
      <c r="W123" s="179"/>
      <c r="X123" s="179"/>
      <c r="Y123" s="345" t="str">
        <f t="shared" si="15"/>
        <v/>
      </c>
      <c r="Z123" s="181" t="str">
        <f t="shared" si="16"/>
        <v/>
      </c>
      <c r="AA123" s="187"/>
      <c r="AB123" s="187"/>
      <c r="AC123" s="187"/>
      <c r="AD123" s="186" t="str">
        <f t="shared" si="19"/>
        <v/>
      </c>
      <c r="AE123" s="186" t="str">
        <f t="shared" si="19"/>
        <v/>
      </c>
      <c r="AF123" s="187">
        <f t="shared" si="17"/>
        <v>1</v>
      </c>
      <c r="AG123" s="187">
        <f t="shared" si="20"/>
        <v>0</v>
      </c>
      <c r="AH123" s="186"/>
      <c r="AI123" s="187">
        <f t="shared" si="21"/>
        <v>1</v>
      </c>
    </row>
    <row r="124" spans="2:35" x14ac:dyDescent="0.25">
      <c r="B124" s="98" t="str">
        <f t="shared" si="18"/>
        <v/>
      </c>
      <c r="C124" s="99" t="str">
        <f>IF('תנאי סף'!AO124&lt;&gt;1,"",'תנאי סף'!F124)</f>
        <v/>
      </c>
      <c r="D124" s="344" t="str">
        <f>'התחשיב הבסיסי'!AE124</f>
        <v/>
      </c>
      <c r="E124" s="492" t="str">
        <f>IF(C124="","",'סיכום לועדה- הזנת נתונים'!O124)</f>
        <v/>
      </c>
      <c r="F124" s="360"/>
      <c r="G124" s="424" t="str">
        <f t="shared" si="22"/>
        <v/>
      </c>
      <c r="H124" s="184" t="str">
        <f t="shared" si="14"/>
        <v/>
      </c>
      <c r="I124" s="425"/>
      <c r="J124" s="179"/>
      <c r="K124" s="179"/>
      <c r="L124" s="179"/>
      <c r="M124" s="179"/>
      <c r="N124" s="179"/>
      <c r="O124" s="179"/>
      <c r="P124" s="179"/>
      <c r="Q124" s="179"/>
      <c r="R124" s="179"/>
      <c r="S124" s="179"/>
      <c r="T124" s="179"/>
      <c r="U124" s="179"/>
      <c r="V124" s="179"/>
      <c r="W124" s="179"/>
      <c r="X124" s="179"/>
      <c r="Y124" s="345" t="str">
        <f t="shared" si="15"/>
        <v/>
      </c>
      <c r="Z124" s="181" t="str">
        <f t="shared" si="16"/>
        <v/>
      </c>
      <c r="AA124" s="187"/>
      <c r="AB124" s="187"/>
      <c r="AC124" s="187"/>
      <c r="AD124" s="186" t="str">
        <f t="shared" si="19"/>
        <v/>
      </c>
      <c r="AE124" s="186" t="str">
        <f t="shared" si="19"/>
        <v/>
      </c>
      <c r="AF124" s="187">
        <f t="shared" si="17"/>
        <v>1</v>
      </c>
      <c r="AG124" s="187">
        <f t="shared" si="20"/>
        <v>0</v>
      </c>
      <c r="AH124" s="186"/>
      <c r="AI124" s="187">
        <f t="shared" si="21"/>
        <v>1</v>
      </c>
    </row>
    <row r="125" spans="2:35" x14ac:dyDescent="0.25">
      <c r="B125" s="98" t="str">
        <f t="shared" si="18"/>
        <v/>
      </c>
      <c r="C125" s="99" t="str">
        <f>IF('תנאי סף'!AO125&lt;&gt;1,"",'תנאי סף'!F125)</f>
        <v/>
      </c>
      <c r="D125" s="344" t="str">
        <f>'התחשיב הבסיסי'!AE125</f>
        <v/>
      </c>
      <c r="E125" s="492" t="str">
        <f>IF(C125="","",'סיכום לועדה- הזנת נתונים'!O125)</f>
        <v/>
      </c>
      <c r="F125" s="360"/>
      <c r="G125" s="424" t="str">
        <f t="shared" si="22"/>
        <v/>
      </c>
      <c r="H125" s="184" t="str">
        <f t="shared" si="14"/>
        <v/>
      </c>
      <c r="I125" s="425"/>
      <c r="J125" s="179"/>
      <c r="K125" s="179"/>
      <c r="L125" s="179"/>
      <c r="M125" s="179"/>
      <c r="N125" s="179"/>
      <c r="O125" s="179"/>
      <c r="P125" s="179"/>
      <c r="Q125" s="179"/>
      <c r="R125" s="179"/>
      <c r="S125" s="179"/>
      <c r="T125" s="179"/>
      <c r="U125" s="179"/>
      <c r="V125" s="179"/>
      <c r="W125" s="179"/>
      <c r="X125" s="179"/>
      <c r="Y125" s="345" t="str">
        <f t="shared" si="15"/>
        <v/>
      </c>
      <c r="Z125" s="181" t="str">
        <f t="shared" si="16"/>
        <v/>
      </c>
      <c r="AA125" s="187"/>
      <c r="AB125" s="187"/>
      <c r="AC125" s="187"/>
      <c r="AD125" s="186" t="str">
        <f t="shared" si="19"/>
        <v/>
      </c>
      <c r="AE125" s="186" t="str">
        <f t="shared" si="19"/>
        <v/>
      </c>
      <c r="AF125" s="187">
        <f t="shared" si="17"/>
        <v>1</v>
      </c>
      <c r="AG125" s="187">
        <f t="shared" si="20"/>
        <v>0</v>
      </c>
      <c r="AH125" s="186"/>
      <c r="AI125" s="187">
        <f t="shared" si="21"/>
        <v>1</v>
      </c>
    </row>
    <row r="126" spans="2:35" x14ac:dyDescent="0.25">
      <c r="B126" s="98" t="str">
        <f t="shared" si="18"/>
        <v/>
      </c>
      <c r="C126" s="99" t="str">
        <f>IF('תנאי סף'!AO126&lt;&gt;1,"",'תנאי סף'!F126)</f>
        <v/>
      </c>
      <c r="D126" s="344" t="str">
        <f>'התחשיב הבסיסי'!AE126</f>
        <v/>
      </c>
      <c r="E126" s="492" t="str">
        <f>IF(C126="","",'סיכום לועדה- הזנת נתונים'!O126)</f>
        <v/>
      </c>
      <c r="F126" s="360"/>
      <c r="G126" s="424" t="str">
        <f t="shared" si="22"/>
        <v/>
      </c>
      <c r="H126" s="184" t="str">
        <f t="shared" si="14"/>
        <v/>
      </c>
      <c r="I126" s="425"/>
      <c r="J126" s="179"/>
      <c r="K126" s="179"/>
      <c r="L126" s="179"/>
      <c r="M126" s="179"/>
      <c r="N126" s="179"/>
      <c r="O126" s="179"/>
      <c r="P126" s="179"/>
      <c r="Q126" s="179"/>
      <c r="R126" s="179"/>
      <c r="S126" s="179"/>
      <c r="T126" s="179"/>
      <c r="U126" s="179"/>
      <c r="V126" s="179"/>
      <c r="W126" s="179"/>
      <c r="X126" s="179"/>
      <c r="Y126" s="345" t="str">
        <f t="shared" si="15"/>
        <v/>
      </c>
      <c r="Z126" s="181" t="str">
        <f t="shared" si="16"/>
        <v/>
      </c>
      <c r="AA126" s="187"/>
      <c r="AB126" s="187"/>
      <c r="AC126" s="187"/>
      <c r="AD126" s="186" t="str">
        <f t="shared" si="19"/>
        <v/>
      </c>
      <c r="AE126" s="186" t="str">
        <f t="shared" si="19"/>
        <v/>
      </c>
      <c r="AF126" s="187">
        <f t="shared" si="17"/>
        <v>1</v>
      </c>
      <c r="AG126" s="187">
        <f t="shared" si="20"/>
        <v>0</v>
      </c>
      <c r="AH126" s="186"/>
      <c r="AI126" s="187">
        <f t="shared" si="21"/>
        <v>1</v>
      </c>
    </row>
    <row r="127" spans="2:35" x14ac:dyDescent="0.25">
      <c r="B127" s="98" t="str">
        <f t="shared" si="18"/>
        <v/>
      </c>
      <c r="C127" s="99" t="str">
        <f>IF('תנאי סף'!AO127&lt;&gt;1,"",'תנאי סף'!F127)</f>
        <v/>
      </c>
      <c r="D127" s="344" t="str">
        <f>'התחשיב הבסיסי'!AE127</f>
        <v/>
      </c>
      <c r="E127" s="492" t="str">
        <f>IF(C127="","",'סיכום לועדה- הזנת נתונים'!O127)</f>
        <v/>
      </c>
      <c r="F127" s="360"/>
      <c r="G127" s="424" t="str">
        <f t="shared" si="22"/>
        <v/>
      </c>
      <c r="H127" s="184" t="str">
        <f t="shared" si="14"/>
        <v/>
      </c>
      <c r="I127" s="425"/>
      <c r="J127" s="179"/>
      <c r="K127" s="179"/>
      <c r="L127" s="179"/>
      <c r="M127" s="179"/>
      <c r="N127" s="179"/>
      <c r="O127" s="179"/>
      <c r="P127" s="179"/>
      <c r="Q127" s="179"/>
      <c r="R127" s="179"/>
      <c r="S127" s="179"/>
      <c r="T127" s="179"/>
      <c r="U127" s="179"/>
      <c r="V127" s="179"/>
      <c r="W127" s="179"/>
      <c r="X127" s="179"/>
      <c r="Y127" s="345" t="str">
        <f t="shared" si="15"/>
        <v/>
      </c>
      <c r="Z127" s="181" t="str">
        <f>IF(C127="","",IF(AND($AI$28&lt;&gt;1),$AH$1,Y127*$C$2))</f>
        <v/>
      </c>
      <c r="AA127" s="187"/>
      <c r="AB127" s="187"/>
      <c r="AC127" s="187"/>
      <c r="AD127" s="186" t="str">
        <f t="shared" si="19"/>
        <v/>
      </c>
      <c r="AE127" s="186" t="str">
        <f t="shared" si="19"/>
        <v/>
      </c>
      <c r="AF127" s="187">
        <f t="shared" si="17"/>
        <v>1</v>
      </c>
      <c r="AG127" s="187">
        <f t="shared" si="20"/>
        <v>0</v>
      </c>
      <c r="AH127" s="186"/>
      <c r="AI127" s="187">
        <f t="shared" si="21"/>
        <v>1</v>
      </c>
    </row>
    <row r="128" spans="2:35" x14ac:dyDescent="0.25">
      <c r="B128" s="98" t="str">
        <f t="shared" si="18"/>
        <v/>
      </c>
      <c r="C128" s="99" t="str">
        <f>IF('תנאי סף'!AO128&lt;&gt;1,"",'תנאי סף'!F128)</f>
        <v/>
      </c>
      <c r="D128" s="344" t="str">
        <f>'התחשיב הבסיסי'!AE128</f>
        <v/>
      </c>
      <c r="E128" s="492" t="str">
        <f>IF(C128="","",'סיכום לועדה- הזנת נתונים'!O128)</f>
        <v/>
      </c>
      <c r="F128" s="360"/>
      <c r="G128" s="424" t="str">
        <f t="shared" si="22"/>
        <v/>
      </c>
      <c r="H128" s="184" t="str">
        <f t="shared" si="14"/>
        <v/>
      </c>
      <c r="I128" s="425"/>
      <c r="J128" s="179"/>
      <c r="K128" s="179"/>
      <c r="L128" s="179"/>
      <c r="M128" s="179"/>
      <c r="N128" s="179"/>
      <c r="O128" s="179"/>
      <c r="P128" s="179"/>
      <c r="Q128" s="179"/>
      <c r="R128" s="179"/>
      <c r="S128" s="179"/>
      <c r="T128" s="179"/>
      <c r="U128" s="179"/>
      <c r="V128" s="179"/>
      <c r="W128" s="179"/>
      <c r="X128" s="179"/>
      <c r="Y128" s="345" t="str">
        <f t="shared" si="15"/>
        <v/>
      </c>
      <c r="Z128" s="181" t="str">
        <f>IF(C128="","",IF(AND($AI$28&lt;&gt;1),$AH$1,Y128*$C$2))</f>
        <v/>
      </c>
      <c r="AA128" s="187"/>
      <c r="AB128" s="187"/>
      <c r="AC128" s="187"/>
      <c r="AD128" s="186" t="str">
        <f t="shared" si="19"/>
        <v/>
      </c>
      <c r="AE128" s="186" t="str">
        <f t="shared" si="19"/>
        <v/>
      </c>
      <c r="AF128" s="187">
        <f t="shared" si="17"/>
        <v>1</v>
      </c>
      <c r="AG128" s="187">
        <f t="shared" si="20"/>
        <v>0</v>
      </c>
      <c r="AH128" s="186"/>
      <c r="AI128" s="187">
        <f t="shared" si="21"/>
        <v>1</v>
      </c>
    </row>
    <row r="129" spans="2:35" x14ac:dyDescent="0.25">
      <c r="B129" s="98" t="str">
        <f t="shared" si="18"/>
        <v/>
      </c>
      <c r="C129" s="99" t="str">
        <f>IF('תנאי סף'!AO129&lt;&gt;1,"",'תנאי סף'!F129)</f>
        <v/>
      </c>
      <c r="D129" s="344" t="str">
        <f>'התחשיב הבסיסי'!AE129</f>
        <v/>
      </c>
      <c r="E129" s="492" t="str">
        <f>IF(C129="","",'סיכום לועדה- הזנת נתונים'!O129)</f>
        <v/>
      </c>
      <c r="F129" s="360"/>
      <c r="G129" s="424" t="str">
        <f t="shared" si="22"/>
        <v/>
      </c>
      <c r="H129" s="184" t="str">
        <f t="shared" si="14"/>
        <v/>
      </c>
      <c r="I129" s="425"/>
      <c r="J129" s="179"/>
      <c r="K129" s="179"/>
      <c r="L129" s="179"/>
      <c r="M129" s="179"/>
      <c r="N129" s="179"/>
      <c r="O129" s="179"/>
      <c r="P129" s="179"/>
      <c r="Q129" s="179"/>
      <c r="R129" s="179"/>
      <c r="S129" s="179"/>
      <c r="T129" s="179"/>
      <c r="U129" s="179"/>
      <c r="V129" s="179"/>
      <c r="W129" s="179"/>
      <c r="X129" s="179"/>
      <c r="Y129" s="345" t="str">
        <f t="shared" si="15"/>
        <v/>
      </c>
      <c r="Z129" s="181" t="str">
        <f>IF(C129="","",IF(AND($AI$28&lt;&gt;1),$AH$1,Y129*$C$2))</f>
        <v/>
      </c>
      <c r="AA129" s="187"/>
      <c r="AB129" s="187"/>
      <c r="AC129" s="187"/>
      <c r="AD129" s="186" t="str">
        <f t="shared" si="19"/>
        <v/>
      </c>
      <c r="AE129" s="186" t="str">
        <f t="shared" si="19"/>
        <v/>
      </c>
      <c r="AF129" s="187">
        <f t="shared" si="17"/>
        <v>1</v>
      </c>
      <c r="AG129" s="187">
        <f t="shared" si="20"/>
        <v>0</v>
      </c>
      <c r="AH129" s="186"/>
      <c r="AI129" s="187">
        <f t="shared" si="21"/>
        <v>1</v>
      </c>
    </row>
    <row r="130" spans="2:35" ht="16.5" thickBot="1" x14ac:dyDescent="0.3">
      <c r="B130" s="100" t="str">
        <f t="shared" si="18"/>
        <v/>
      </c>
      <c r="C130" s="99" t="str">
        <f>IF('תנאי סף'!AO130&lt;&gt;1,"",'תנאי סף'!F130)</f>
        <v/>
      </c>
      <c r="D130" s="344" t="str">
        <f>'התחשיב הבסיסי'!AE130</f>
        <v/>
      </c>
      <c r="E130" s="492" t="str">
        <f>IF(C130="","",'סיכום לועדה- הזנת נתונים'!O130)</f>
        <v/>
      </c>
      <c r="F130" s="360"/>
      <c r="G130" s="424" t="str">
        <f t="shared" si="22"/>
        <v/>
      </c>
      <c r="H130" s="185" t="str">
        <f t="shared" si="14"/>
        <v/>
      </c>
      <c r="I130" s="375"/>
      <c r="J130" s="182"/>
      <c r="K130" s="182"/>
      <c r="L130" s="182"/>
      <c r="M130" s="182"/>
      <c r="N130" s="182"/>
      <c r="O130" s="182"/>
      <c r="P130" s="182"/>
      <c r="Q130" s="182"/>
      <c r="R130" s="182"/>
      <c r="S130" s="182"/>
      <c r="T130" s="182"/>
      <c r="U130" s="182"/>
      <c r="V130" s="182"/>
      <c r="W130" s="182"/>
      <c r="X130" s="182"/>
      <c r="Y130" s="345" t="str">
        <f t="shared" si="15"/>
        <v/>
      </c>
      <c r="Z130" s="181" t="str">
        <f>IF(C130="","",IF(AND($AI$28&lt;&gt;1),$AH$1,Y130*$C$2))</f>
        <v/>
      </c>
      <c r="AA130" s="187"/>
      <c r="AB130" s="187"/>
      <c r="AC130" s="187"/>
      <c r="AD130" s="186" t="str">
        <f t="shared" si="19"/>
        <v/>
      </c>
      <c r="AE130" s="186" t="str">
        <f t="shared" si="19"/>
        <v/>
      </c>
      <c r="AF130" s="187">
        <f t="shared" si="17"/>
        <v>1</v>
      </c>
      <c r="AG130" s="187">
        <f t="shared" si="20"/>
        <v>0</v>
      </c>
      <c r="AH130" s="186"/>
      <c r="AI130" s="187">
        <f t="shared" si="21"/>
        <v>1</v>
      </c>
    </row>
    <row r="131" spans="2:35" ht="16.5" thickBot="1" x14ac:dyDescent="0.3">
      <c r="B131" s="587" t="s">
        <v>77</v>
      </c>
      <c r="C131" s="588"/>
      <c r="D131" s="164">
        <f>SUM(D31:D130)</f>
        <v>1.0000000000000002</v>
      </c>
      <c r="E131" s="9">
        <f>SUM(E31:E130)-SUMIF(C31:C130,"",E31:E130)</f>
        <v>2796678</v>
      </c>
      <c r="F131" s="9">
        <f>SUM(F31:F130)</f>
        <v>2</v>
      </c>
      <c r="G131" s="87">
        <f>SUM(G31:G130)</f>
        <v>0.92063368748508378</v>
      </c>
      <c r="H131" s="87">
        <f>SUM(H31:H130)</f>
        <v>0.98028639799280326</v>
      </c>
      <c r="I131" s="88"/>
      <c r="J131" s="88"/>
      <c r="K131" s="88"/>
      <c r="L131" s="88"/>
      <c r="M131" s="88"/>
      <c r="N131" s="88"/>
      <c r="O131" s="88"/>
      <c r="P131" s="88"/>
      <c r="Q131" s="88"/>
      <c r="R131" s="88"/>
      <c r="S131" s="88"/>
      <c r="T131" s="88"/>
      <c r="U131" s="88"/>
      <c r="V131" s="88"/>
      <c r="W131" s="88"/>
      <c r="X131" s="88"/>
      <c r="Y131" s="87">
        <f>SUM(Y31:Y130)</f>
        <v>1.0000000000000004</v>
      </c>
      <c r="Z131" s="96">
        <f>SUM(Z31:Z130)</f>
        <v>3076367.0000000009</v>
      </c>
      <c r="AA131" s="187"/>
      <c r="AB131" s="187"/>
      <c r="AC131" s="187"/>
      <c r="AD131" s="187"/>
      <c r="AE131" s="187"/>
      <c r="AF131" s="187"/>
      <c r="AG131" s="187"/>
      <c r="AH131" s="187"/>
      <c r="AI131" s="187"/>
    </row>
    <row r="134" spans="2:35" hidden="1" x14ac:dyDescent="0.25">
      <c r="B134" s="187"/>
      <c r="C134" s="187" t="s">
        <v>264</v>
      </c>
      <c r="D134" s="187"/>
      <c r="E134" s="187">
        <f>IFERROR(IF(E131&lt;1,1,0),0)</f>
        <v>0</v>
      </c>
      <c r="F134" s="187"/>
      <c r="G134" s="187"/>
      <c r="H134" s="187"/>
      <c r="I134" s="187">
        <f>IF(Y131=1,1,0)</f>
        <v>1</v>
      </c>
      <c r="J134" s="187"/>
      <c r="K134" s="187"/>
      <c r="L134" s="187"/>
      <c r="M134" s="187"/>
      <c r="N134" s="187"/>
      <c r="O134" s="187"/>
      <c r="P134" s="187"/>
      <c r="Q134" s="187"/>
      <c r="R134" s="187"/>
      <c r="S134" s="187"/>
      <c r="T134" s="187"/>
      <c r="U134" s="187"/>
      <c r="V134" s="187"/>
      <c r="W134" s="187"/>
      <c r="X134" s="187"/>
      <c r="Y134" s="187"/>
      <c r="Z134" s="187">
        <f>IF(Z131=C2,1,0)</f>
        <v>1</v>
      </c>
      <c r="AA134" s="187"/>
      <c r="AB134" s="187"/>
      <c r="AC134" s="187"/>
      <c r="AD134" s="187"/>
      <c r="AE134" s="187"/>
      <c r="AF134" s="187"/>
      <c r="AG134" s="187"/>
      <c r="AH134" s="187"/>
      <c r="AI134" s="187"/>
    </row>
  </sheetData>
  <sheetProtection algorithmName="SHA-512" hashValue="PUF6v7AOZai3GP1ueJcfO3PDM9ZpqZEfWykyUO/ark98z47ZomAsMMCayW2QRvBUrAT4mG9SL+29wTshOZjeyA==" saltValue="Y6VMwG8htKWPZrsxaKv99Q==" spinCount="100000" sheet="1" scenarios="1" autoFilter="0"/>
  <mergeCells count="12">
    <mergeCell ref="AF29:AF30"/>
    <mergeCell ref="AG29:AG30"/>
    <mergeCell ref="B131:C131"/>
    <mergeCell ref="D1:Z2"/>
    <mergeCell ref="B28:Z28"/>
    <mergeCell ref="B29:B30"/>
    <mergeCell ref="C29:C30"/>
    <mergeCell ref="D29:D30"/>
    <mergeCell ref="G29:G30"/>
    <mergeCell ref="H29:H30"/>
    <mergeCell ref="Y29:Y30"/>
    <mergeCell ref="Z29:Z30"/>
  </mergeCells>
  <conditionalFormatting sqref="B31:D130 F31:Z130">
    <cfRule type="expression" dxfId="84" priority="1" stopIfTrue="1">
      <formula>AND($C31="",B31&lt;&gt;"")</formula>
    </cfRule>
    <cfRule type="expression" dxfId="83" priority="2">
      <formula>$C31=""</formula>
    </cfRule>
    <cfRule type="expression" dxfId="82" priority="3">
      <formula>B$30&lt;&gt;""</formula>
    </cfRule>
  </conditionalFormatting>
  <conditionalFormatting sqref="C1:C2">
    <cfRule type="containsBlanks" dxfId="81" priority="60">
      <formula>LEN(TRIM(C1))=0</formula>
    </cfRule>
  </conditionalFormatting>
  <conditionalFormatting sqref="D1">
    <cfRule type="notContainsBlanks" dxfId="80" priority="47">
      <formula>LEN(TRIM(D1))&gt;0</formula>
    </cfRule>
  </conditionalFormatting>
  <dataValidations count="2">
    <dataValidation type="list" allowBlank="1" showInputMessage="1" showErrorMessage="1" error="יש להזין 0 או 1._x000a_0 = הפעילות נתמכה בעבר_x000a_1= הפעילות נתמכת לראשונה" sqref="F31:F130" xr:uid="{00000000-0002-0000-1000-000000000000}">
      <formula1>$AD31:$AE31</formula1>
    </dataValidation>
    <dataValidation type="decimal" operator="greaterThanOrEqual" allowBlank="1" showInputMessage="1" showErrorMessage="1" errorTitle="נתון שגוי." error="ניתן להזין רק מספר גדול או שווה ל-0." sqref="E6 E31:E130" xr:uid="{00000000-0002-0000-1000-000001000000}">
      <formula1>0</formula1>
    </dataValidation>
  </dataValidations>
  <printOptions horizontalCentered="1"/>
  <pageMargins left="0.23" right="0.24" top="0.44" bottom="0.38" header="0.18" footer="0.19"/>
  <pageSetup paperSize="9" scale="84"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2A2037A9-8D4A-4551-B342-404F68806AAF}">
            <xm:f>NOT(ISERROR(SEARCH($AH$1,B31)))</xm:f>
            <xm:f>$AH$1</xm:f>
            <x14:dxf>
              <fill>
                <patternFill>
                  <bgColor rgb="FFFF0000"/>
                </patternFill>
              </fill>
            </x14:dxf>
          </x14:cfRule>
          <xm:sqref>B31:D130 F31:Z130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2">
    <tabColor theme="4" tint="-0.249977111117893"/>
  </sheetPr>
  <dimension ref="A1"/>
  <sheetViews>
    <sheetView rightToLeft="1" workbookViewId="0"/>
  </sheetViews>
  <sheetFormatPr defaultRowHeight="15.75" x14ac:dyDescent="0.25"/>
  <sheetData/>
  <sheetProtection algorithmName="SHA-512" hashValue="IKvLx8jMjH671gza+GjyzPoIQ7vmfu+7QPRbk9R7QFCTlICUuQkl6fxEU8czZgwR4mKjyxAxlk/+iP/zAa4jtg==" saltValue="deccu9lgz/7NmgxGdjkJhQ==" spinCount="100000" sheet="1" scenarios="1" formatCells="0" formatColumns="0" formatRows="0" autoFilter="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tabColor theme="4" tint="-0.249977111117893"/>
    <pageSetUpPr fitToPage="1"/>
  </sheetPr>
  <dimension ref="A1:BF131"/>
  <sheetViews>
    <sheetView rightToLeft="1" view="pageBreakPreview" topLeftCell="B1" zoomScaleNormal="100" zoomScaleSheetLayoutView="100" workbookViewId="0">
      <pane ySplit="30" topLeftCell="A31" activePane="bottomLeft" state="frozen"/>
      <selection activeCell="B75" sqref="A75:XFD131"/>
      <selection pane="bottomLeft" activeCell="B31" sqref="B31"/>
    </sheetView>
  </sheetViews>
  <sheetFormatPr defaultColWidth="9" defaultRowHeight="15.75" x14ac:dyDescent="0.25"/>
  <cols>
    <col min="1" max="1" width="2" style="69" hidden="1" customWidth="1"/>
    <col min="2" max="2" width="8.85546875" style="69" customWidth="1"/>
    <col min="3" max="3" width="35" style="69" customWidth="1"/>
    <col min="4" max="4" width="14.85546875" style="69" customWidth="1"/>
    <col min="5" max="5" width="18.5703125" style="69" hidden="1" customWidth="1"/>
    <col min="6" max="6" width="13.5703125" style="69" customWidth="1"/>
    <col min="7" max="7" width="20.140625" style="69" customWidth="1"/>
    <col min="8" max="8" width="13.42578125" style="69" customWidth="1"/>
    <col min="9" max="11" width="14.28515625" style="69" customWidth="1"/>
    <col min="12" max="47" width="14.28515625" style="69" hidden="1" customWidth="1"/>
    <col min="48" max="48" width="12.5703125" style="69" customWidth="1"/>
    <col min="49" max="49" width="15.7109375" style="69" bestFit="1" customWidth="1"/>
    <col min="50" max="51" width="9" style="69" hidden="1" customWidth="1"/>
    <col min="52" max="53" width="0" style="69" hidden="1" customWidth="1"/>
    <col min="54" max="58" width="9" style="69" hidden="1" customWidth="1"/>
    <col min="59" max="200" width="0" style="69" hidden="1" customWidth="1"/>
    <col min="201" max="16384" width="9" style="69"/>
  </cols>
  <sheetData>
    <row r="1" spans="2:53" ht="15.75" customHeight="1" x14ac:dyDescent="0.25">
      <c r="B1" s="249" t="str">
        <f>'פרמטרים לעקרונות חישוב התמיכה'!$B$1</f>
        <v>שנה</v>
      </c>
      <c r="C1" s="1">
        <f>'פרמטרים לעקרונות חישוב התמיכה'!$C$1</f>
        <v>2025</v>
      </c>
      <c r="BA1" s="69" t="s">
        <v>115</v>
      </c>
    </row>
    <row r="2" spans="2:53" ht="19.5" thickBot="1" x14ac:dyDescent="0.3">
      <c r="B2" s="256" t="str">
        <f>'פרמטרים לעקרונות חישוב התמיכה'!$B$2</f>
        <v>תקציב</v>
      </c>
      <c r="C2" s="2">
        <f>'פרמטרים לעקרונות חישוב התמיכה'!$C$2</f>
        <v>3076367</v>
      </c>
    </row>
    <row r="3" spans="2:53" ht="9.75" customHeight="1" thickBot="1" x14ac:dyDescent="0.3"/>
    <row r="4" spans="2:53" ht="32.25" thickBot="1" x14ac:dyDescent="0.3">
      <c r="E4" s="259" t="str">
        <f>"סך התקציב בשנת "&amp;C1-1</f>
        <v>סך התקציב בשנת 2024</v>
      </c>
    </row>
    <row r="5" spans="2:53" s="188" customFormat="1" ht="15.75" customHeight="1" thickBot="1" x14ac:dyDescent="0.3">
      <c r="E5" s="260" t="s">
        <v>120</v>
      </c>
      <c r="F5" s="605" t="str">
        <f>'פרמטרים לעקרונות חישוב התמיכה'!B21</f>
        <v>שיעור פיחות מירבי בתמיכה</v>
      </c>
      <c r="G5" s="606"/>
      <c r="H5" s="89">
        <f>'פרמטרים לעקרונות חישוב התמיכה'!C21</f>
        <v>0.2</v>
      </c>
    </row>
    <row r="6" spans="2:53" s="188" customFormat="1" ht="16.5" customHeight="1" thickBot="1" x14ac:dyDescent="0.3">
      <c r="E6" s="168"/>
      <c r="F6" s="607" t="str">
        <f>'פרמטרים לעקרונות חישוב התמיכה'!B22</f>
        <v>שיעור תמיכה מינימלי משנה קודמת</v>
      </c>
      <c r="G6" s="608"/>
      <c r="H6" s="90">
        <f>'פרמטרים לעקרונות חישוב התמיכה'!C22</f>
        <v>0.8</v>
      </c>
    </row>
    <row r="7" spans="2:53" s="188" customFormat="1" ht="6" customHeight="1" thickBot="1" x14ac:dyDescent="0.3"/>
    <row r="8" spans="2:53" s="188" customFormat="1" ht="16.5" hidden="1" thickBot="1" x14ac:dyDescent="0.3"/>
    <row r="9" spans="2:53" s="188" customFormat="1" ht="16.5" hidden="1" thickBot="1" x14ac:dyDescent="0.3"/>
    <row r="10" spans="2:53" s="188" customFormat="1" ht="16.5" hidden="1" thickBot="1" x14ac:dyDescent="0.3"/>
    <row r="11" spans="2:53" s="188" customFormat="1" ht="16.5" hidden="1" thickBot="1" x14ac:dyDescent="0.3"/>
    <row r="12" spans="2:53" s="188" customFormat="1" ht="16.5" hidden="1" thickBot="1" x14ac:dyDescent="0.3"/>
    <row r="13" spans="2:53" s="188" customFormat="1" ht="16.5" hidden="1" thickBot="1" x14ac:dyDescent="0.3"/>
    <row r="14" spans="2:53" s="188" customFormat="1" ht="16.5" hidden="1" thickBot="1" x14ac:dyDescent="0.3"/>
    <row r="15" spans="2:53" s="188" customFormat="1" ht="16.5" hidden="1" thickBot="1" x14ac:dyDescent="0.3"/>
    <row r="16" spans="2:53" s="188" customFormat="1" ht="16.5" hidden="1" thickBot="1" x14ac:dyDescent="0.3"/>
    <row r="17" spans="2:57" s="188" customFormat="1" ht="16.5" hidden="1" thickBot="1" x14ac:dyDescent="0.3"/>
    <row r="18" spans="2:57" s="188" customFormat="1" ht="16.5" hidden="1" thickBot="1" x14ac:dyDescent="0.3"/>
    <row r="19" spans="2:57" s="188" customFormat="1" ht="16.5" hidden="1" thickBot="1" x14ac:dyDescent="0.3"/>
    <row r="20" spans="2:57" s="188" customFormat="1" ht="16.5" hidden="1" thickBot="1" x14ac:dyDescent="0.3"/>
    <row r="21" spans="2:57" s="188" customFormat="1" ht="16.5" hidden="1" thickBot="1" x14ac:dyDescent="0.3"/>
    <row r="22" spans="2:57" s="188" customFormat="1" ht="16.5" hidden="1" thickBot="1" x14ac:dyDescent="0.3"/>
    <row r="23" spans="2:57" s="188" customFormat="1" ht="16.5" hidden="1" thickBot="1" x14ac:dyDescent="0.3"/>
    <row r="24" spans="2:57" s="188" customFormat="1" ht="16.5" hidden="1" thickBot="1" x14ac:dyDescent="0.3"/>
    <row r="25" spans="2:57" s="188" customFormat="1" ht="16.5" hidden="1" thickBot="1" x14ac:dyDescent="0.3"/>
    <row r="26" spans="2:57" s="188" customFormat="1" ht="16.5" hidden="1" thickBot="1" x14ac:dyDescent="0.3"/>
    <row r="27" spans="2:57" s="188" customFormat="1" ht="16.5" hidden="1" thickBot="1" x14ac:dyDescent="0.3"/>
    <row r="28" spans="2:57" s="188" customFormat="1" ht="19.5" thickBot="1" x14ac:dyDescent="0.3">
      <c r="B28" s="261" t="str">
        <f ca="1">MID(CELL("filename",B27),FIND("]",CELL("filename",C27),1)+1,99)</f>
        <v>הגנה</v>
      </c>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c r="AL28" s="262"/>
      <c r="AM28" s="262"/>
      <c r="AN28" s="262"/>
      <c r="AO28" s="262"/>
      <c r="AP28" s="262"/>
      <c r="AQ28" s="262"/>
      <c r="AR28" s="262"/>
      <c r="AS28" s="262"/>
      <c r="AT28" s="262"/>
      <c r="AU28" s="262"/>
      <c r="AV28" s="262"/>
      <c r="AW28" s="263"/>
    </row>
    <row r="29" spans="2:57" s="188" customFormat="1" ht="31.5" x14ac:dyDescent="0.25">
      <c r="B29" s="609" t="s">
        <v>219</v>
      </c>
      <c r="C29" s="594" t="s">
        <v>133</v>
      </c>
      <c r="D29" s="600" t="s">
        <v>265</v>
      </c>
      <c r="E29" s="254" t="str">
        <f>"סכום תמיכה בשנת "&amp;C1-1</f>
        <v>סכום תמיכה בשנת 2024</v>
      </c>
      <c r="F29" s="600" t="s">
        <v>266</v>
      </c>
      <c r="G29" s="264" t="s">
        <v>267</v>
      </c>
      <c r="H29" s="600" t="s">
        <v>268</v>
      </c>
      <c r="I29" s="600" t="s">
        <v>269</v>
      </c>
      <c r="J29" s="600" t="s">
        <v>270</v>
      </c>
      <c r="K29" s="600" t="s">
        <v>271</v>
      </c>
      <c r="L29" s="598" t="s">
        <v>272</v>
      </c>
      <c r="M29" s="598" t="s">
        <v>273</v>
      </c>
      <c r="N29" s="598" t="s">
        <v>274</v>
      </c>
      <c r="O29" s="598" t="s">
        <v>275</v>
      </c>
      <c r="P29" s="598" t="s">
        <v>276</v>
      </c>
      <c r="Q29" s="598" t="s">
        <v>277</v>
      </c>
      <c r="R29" s="598" t="s">
        <v>278</v>
      </c>
      <c r="S29" s="598" t="s">
        <v>279</v>
      </c>
      <c r="T29" s="598" t="s">
        <v>280</v>
      </c>
      <c r="U29" s="598" t="s">
        <v>281</v>
      </c>
      <c r="V29" s="598" t="s">
        <v>282</v>
      </c>
      <c r="W29" s="598" t="s">
        <v>283</v>
      </c>
      <c r="X29" s="598" t="s">
        <v>284</v>
      </c>
      <c r="Y29" s="598" t="s">
        <v>285</v>
      </c>
      <c r="Z29" s="598" t="s">
        <v>286</v>
      </c>
      <c r="AA29" s="598" t="s">
        <v>287</v>
      </c>
      <c r="AB29" s="598" t="s">
        <v>288</v>
      </c>
      <c r="AC29" s="598" t="s">
        <v>289</v>
      </c>
      <c r="AD29" s="598" t="s">
        <v>290</v>
      </c>
      <c r="AE29" s="598" t="s">
        <v>291</v>
      </c>
      <c r="AF29" s="598" t="s">
        <v>292</v>
      </c>
      <c r="AG29" s="598" t="s">
        <v>293</v>
      </c>
      <c r="AH29" s="598" t="s">
        <v>294</v>
      </c>
      <c r="AI29" s="598" t="s">
        <v>295</v>
      </c>
      <c r="AJ29" s="598" t="s">
        <v>296</v>
      </c>
      <c r="AK29" s="598" t="s">
        <v>297</v>
      </c>
      <c r="AL29" s="598" t="s">
        <v>298</v>
      </c>
      <c r="AM29" s="598" t="s">
        <v>299</v>
      </c>
      <c r="AN29" s="598" t="s">
        <v>300</v>
      </c>
      <c r="AO29" s="598" t="s">
        <v>301</v>
      </c>
      <c r="AP29" s="598" t="s">
        <v>302</v>
      </c>
      <c r="AQ29" s="598" t="s">
        <v>303</v>
      </c>
      <c r="AR29" s="598" t="s">
        <v>304</v>
      </c>
      <c r="AS29" s="598" t="s">
        <v>305</v>
      </c>
      <c r="AT29" s="598" t="s">
        <v>306</v>
      </c>
      <c r="AU29" s="598" t="s">
        <v>307</v>
      </c>
      <c r="AV29" s="600" t="s">
        <v>308</v>
      </c>
      <c r="AW29" s="602" t="s">
        <v>309</v>
      </c>
    </row>
    <row r="30" spans="2:57" s="188" customFormat="1" ht="16.5" thickBot="1" x14ac:dyDescent="0.3">
      <c r="B30" s="610"/>
      <c r="C30" s="595"/>
      <c r="D30" s="601"/>
      <c r="E30" s="255" t="s">
        <v>120</v>
      </c>
      <c r="F30" s="601"/>
      <c r="G30" s="265" t="s">
        <v>117</v>
      </c>
      <c r="H30" s="601"/>
      <c r="I30" s="601"/>
      <c r="J30" s="601"/>
      <c r="K30" s="601"/>
      <c r="L30" s="599"/>
      <c r="M30" s="599"/>
      <c r="N30" s="599"/>
      <c r="O30" s="599"/>
      <c r="P30" s="599"/>
      <c r="Q30" s="599"/>
      <c r="R30" s="599"/>
      <c r="S30" s="599"/>
      <c r="T30" s="599"/>
      <c r="U30" s="599"/>
      <c r="V30" s="599"/>
      <c r="W30" s="599"/>
      <c r="X30" s="599"/>
      <c r="Y30" s="599"/>
      <c r="Z30" s="599"/>
      <c r="AA30" s="599"/>
      <c r="AB30" s="599"/>
      <c r="AC30" s="599"/>
      <c r="AD30" s="599"/>
      <c r="AE30" s="599"/>
      <c r="AF30" s="599"/>
      <c r="AG30" s="599"/>
      <c r="AH30" s="599"/>
      <c r="AI30" s="599"/>
      <c r="AJ30" s="599"/>
      <c r="AK30" s="599"/>
      <c r="AL30" s="599"/>
      <c r="AM30" s="599"/>
      <c r="AN30" s="599"/>
      <c r="AO30" s="599"/>
      <c r="AP30" s="599"/>
      <c r="AQ30" s="599"/>
      <c r="AR30" s="599"/>
      <c r="AS30" s="599"/>
      <c r="AT30" s="599"/>
      <c r="AU30" s="599"/>
      <c r="AV30" s="601"/>
      <c r="AW30" s="603"/>
      <c r="BB30" s="186">
        <v>0</v>
      </c>
      <c r="BC30" s="186">
        <v>1</v>
      </c>
      <c r="BE30" s="188" t="s">
        <v>262</v>
      </c>
    </row>
    <row r="31" spans="2:57" s="188" customFormat="1" x14ac:dyDescent="0.25">
      <c r="B31" s="57">
        <f t="shared" ref="B31:B94" si="0">IF(C31="","",ROW()-30)</f>
        <v>1</v>
      </c>
      <c r="C31" s="349" t="str">
        <f>IF('תנאי סף'!AO31&lt;&gt;1,"",'תנאי סף'!F31)</f>
        <v>אנסמבל פרץ אליהו</v>
      </c>
      <c r="D31" s="91">
        <f>IF($C31="","",IF(ייצוב!Y31="",$BA$1,ייצוב!Y31))</f>
        <v>3.4287693138951809E-2</v>
      </c>
      <c r="E31" s="165"/>
      <c r="F31" s="91">
        <f>IF($C31="","",IF(ייצוב!G31="",$BA$1,ייצוב!G31))</f>
        <v>2.9626947354560493E-2</v>
      </c>
      <c r="G31" s="426">
        <f>'סיכום לועדה- הזנת נתונים'!G31</f>
        <v>1</v>
      </c>
      <c r="H31" s="267">
        <f t="shared" ref="H31:H62" si="1">IF($C31="","",IF(OR(D31="",F31="",BE31&lt;&gt;1),$BA$1,IF($D31&lt;$F31*$H$6,1,0)))</f>
        <v>0</v>
      </c>
      <c r="I31" s="426">
        <f t="shared" ref="I31:I94" si="2">IF($C31="","",IF(H31+$G31=2,1,0))</f>
        <v>0</v>
      </c>
      <c r="J31" s="427">
        <f t="shared" ref="J31:J62" si="3">IF($C31="","",IF(I31=1,$F31*$H$6,$D31))</f>
        <v>3.4287693138951809E-2</v>
      </c>
      <c r="K31" s="427">
        <f t="shared" ref="K31:K94" si="4">IF(H31="","",IF(I31=1,J31,J31/SUMIF(I$31:I$130,"&lt;&gt;1",J$31:J$130)*(1-SUMIF(I$31:I$130,"=1",J$31:J$130))))</f>
        <v>3.4287693138951796E-2</v>
      </c>
      <c r="L31" s="428">
        <f t="shared" ref="L31:L62" si="5">IF($C31="","",IF(K31&lt;$F31*$H$6,1,0))</f>
        <v>0</v>
      </c>
      <c r="M31" s="428">
        <f>IF($C31="","",IF(L31+$G31=2,1,0))</f>
        <v>0</v>
      </c>
      <c r="N31" s="429">
        <f t="shared" ref="N31:N62" si="6">IF($C31="","",IF(M31=1,$F31*$H$6,$J31))</f>
        <v>3.4287693138951809E-2</v>
      </c>
      <c r="O31" s="429">
        <f>IF(L31="","",IF(M31=1,N31,N31/SUMIF(M$31:M$130,"&lt;&gt;1",N$31:N$130)*(1-SUMIF(M$31:M$130,"=1",N$31:N$130))))</f>
        <v>3.4287693138951796E-2</v>
      </c>
      <c r="P31" s="428">
        <f t="shared" ref="P31:P62" si="7">IF($C31="","",IF(O31&lt;$F31*$H$6,1,0))</f>
        <v>0</v>
      </c>
      <c r="Q31" s="428">
        <f>IF($C31="","",IF(P31+$G31=2,1,0))</f>
        <v>0</v>
      </c>
      <c r="R31" s="429">
        <f t="shared" ref="R31:R62" si="8">IF($C31="","",IF(Q31=1,$F31*$H$6,$N31))</f>
        <v>3.4287693138951809E-2</v>
      </c>
      <c r="S31" s="429">
        <f>IF(P31="","",IF(Q31=1,R31,R31/SUMIF(Q$31:Q$130,"&lt;&gt;1",R$31:R$130)*(1-SUMIF(Q$31:Q$130,"=1",R$31:R$130))))</f>
        <v>3.4287693138951796E-2</v>
      </c>
      <c r="T31" s="428">
        <f t="shared" ref="T31:T62" si="9">IF($C31="","",IF(S31&lt;$F31*$H$6,1,0))</f>
        <v>0</v>
      </c>
      <c r="U31" s="428">
        <f>IF($C31="","",IF(T31+$G31=2,1,0))</f>
        <v>0</v>
      </c>
      <c r="V31" s="429">
        <f t="shared" ref="V31:V62" si="10">IF($C31="","",IF(U31=1,$F31*$H$6,S31))</f>
        <v>3.4287693138951796E-2</v>
      </c>
      <c r="W31" s="429">
        <f>IF(T31="","",IF(U31=1,V31,V31/SUMIF(U$31:U$130,"&lt;&gt;1",V$31:V$130)*(1-SUMIF(U$31:U$130,"=1",V$31:V$130))))</f>
        <v>3.4287693138951802E-2</v>
      </c>
      <c r="X31" s="428">
        <f t="shared" ref="X31:X62" si="11">IF($C31="","",IF(W31&lt;$F31*$H$6,1,0))</f>
        <v>0</v>
      </c>
      <c r="Y31" s="428">
        <f>IF($C31="","",IF(X31+$G31=2,1,0))</f>
        <v>0</v>
      </c>
      <c r="Z31" s="429">
        <f t="shared" ref="Z31:Z62" si="12">IF($C31="","",IF(Y31=1,$F31*$H$6,W31))</f>
        <v>3.4287693138951802E-2</v>
      </c>
      <c r="AA31" s="429">
        <f>IF(X31="","",IF(Y31=1,Z31,Z31/SUMIF(Y$31:Y$130,"&lt;&gt;1",Z$31:Z$130)*(1-SUMIF(Y$31:Y$130,"=1",Z$31:Z$130))))</f>
        <v>3.4287693138951796E-2</v>
      </c>
      <c r="AB31" s="428">
        <f t="shared" ref="AB31:AB62" si="13">IF($C31="","",IF(AA31&lt;$F31*$H$6,1,0))</f>
        <v>0</v>
      </c>
      <c r="AC31" s="428">
        <f>IF($C31="","",IF(AB31+$G31=2,1,0))</f>
        <v>0</v>
      </c>
      <c r="AD31" s="429">
        <f t="shared" ref="AD31:AD62" si="14">IF($C31="","",IF(AC31=1,$F31*$H$6,AA31))</f>
        <v>3.4287693138951796E-2</v>
      </c>
      <c r="AE31" s="429">
        <f>IF(AB31="","",IF(AC31=1,AD31,AD31/SUMIF(AC$31:AC$130,"&lt;&gt;1",AD$31:AD$130)*(1-SUMIF(AC$31:AC$130,"=1",AD$31:AD$130))))</f>
        <v>3.4287693138951802E-2</v>
      </c>
      <c r="AF31" s="428">
        <f t="shared" ref="AF31:AF62" si="15">IF($C31="","",IF(AE31&lt;$F31*$H$6,1,0))</f>
        <v>0</v>
      </c>
      <c r="AG31" s="428">
        <f>IF($C31="","",IF(AF31+$G31=2,1,0))</f>
        <v>0</v>
      </c>
      <c r="AH31" s="429">
        <f t="shared" ref="AH31:AH62" si="16">IF($C31="","",IF(AG31=1,$F31*$H$6,AE31))</f>
        <v>3.4287693138951802E-2</v>
      </c>
      <c r="AI31" s="429">
        <f>IF(AF31="","",IF(AG31=1,AH31,AH31/SUMIF(AG$31:AG$130,"&lt;&gt;1",AH$31:AH$130)*(1-SUMIF(AG$31:AG$130,"=1",AH$31:AH$130))))</f>
        <v>3.4287693138951796E-2</v>
      </c>
      <c r="AJ31" s="428">
        <f t="shared" ref="AJ31:AJ62" si="17">IF($C31="","",IF(AI31&lt;$F31*$H$6,1,0))</f>
        <v>0</v>
      </c>
      <c r="AK31" s="428">
        <f>IF($C31="","",IF(AJ31+$G31=2,1,0))</f>
        <v>0</v>
      </c>
      <c r="AL31" s="429">
        <f t="shared" ref="AL31:AL62" si="18">IF($C31="","",IF(AK31=1,$F31*$H$6,AI31))</f>
        <v>3.4287693138951796E-2</v>
      </c>
      <c r="AM31" s="429">
        <f>IF(AJ31="","",IF(AK31=1,AL31,AL31/SUMIF(AK$31:AK$130,"&lt;&gt;1",AL$31:AL$130)*(1-SUMIF(AK$31:AK$130,"=1",AL$31:AL$130))))</f>
        <v>3.4287693138951802E-2</v>
      </c>
      <c r="AN31" s="428">
        <f t="shared" ref="AN31:AN62" si="19">IF($C31="","",IF(AM31&lt;$F31*$H$6,1,0))</f>
        <v>0</v>
      </c>
      <c r="AO31" s="428">
        <f>IF($C31="","",IF(AN31+$G31=2,1,0))</f>
        <v>0</v>
      </c>
      <c r="AP31" s="429">
        <f t="shared" ref="AP31:AP62" si="20">IF($C31="","",IF(AO31=1,$F31*$H$6,AM31))</f>
        <v>3.4287693138951802E-2</v>
      </c>
      <c r="AQ31" s="429">
        <f>IF(AN31="","",IF(AO31=1,AP31,AP31/SUMIF(AO$31:AO$130,"&lt;&gt;1",AP$31:AP$130)*(1-SUMIF(AO$31:AO$130,"=1",AP$31:AP$130))))</f>
        <v>3.4287693138951796E-2</v>
      </c>
      <c r="AR31" s="428">
        <f t="shared" ref="AR31:AR62" si="21">IF($C31="","",IF(OR(AQ31&lt;$F31*$H$6,AO31=1,AK31=1,AG31=1,AC31=1,Y31=1,U31=1,Q31=1,M31=1,I31=1),1,0))</f>
        <v>0</v>
      </c>
      <c r="AS31" s="428">
        <f>IF($C31="","",IF(AR31+$G31=2,1,0))</f>
        <v>0</v>
      </c>
      <c r="AT31" s="429">
        <f t="shared" ref="AT31:AT62" si="22">IF($C31="","",IF(AS31=1,$F31*$H$6,AQ31))</f>
        <v>3.4287693138951796E-2</v>
      </c>
      <c r="AU31" s="429">
        <f>IF(AR31="","",IFERROR(IF(AS31=1,AT31,AT31/SUMIF(AS$31:AS$130,"&lt;&gt;1",AT$31:AT$130)*(1-SUMIF(AS$31:AS$130,"=1",AT$31:AT$130))),0))</f>
        <v>3.4287693138951802E-2</v>
      </c>
      <c r="AV31" s="419">
        <f t="shared" ref="AV31:AV62" si="23">IF(C31="","",IFERROR(AU31/SUM($AU$31:$AU$130),$BA$1))</f>
        <v>3.4287693138951796E-2</v>
      </c>
      <c r="AW31" s="92">
        <f t="shared" ref="AW31:AW62" si="24">IF(C31="","",IFERROR(AV31*$C$2,$BA$1))</f>
        <v>105481.52767879772</v>
      </c>
      <c r="BB31" s="186">
        <f>IF($C31="","",BB$30)</f>
        <v>0</v>
      </c>
      <c r="BC31" s="186">
        <f>IF($C31="","",BC$30)</f>
        <v>1</v>
      </c>
      <c r="BE31" s="188">
        <f>IF(G31="",0,IF(ISERROR(MATCH(G31,$BB$30:$BC$30,0)),0,1))</f>
        <v>1</v>
      </c>
    </row>
    <row r="32" spans="2:57" s="188" customFormat="1" x14ac:dyDescent="0.25">
      <c r="B32" s="57" t="str">
        <f t="shared" si="0"/>
        <v/>
      </c>
      <c r="C32" s="417" t="str">
        <f>IF('תנאי סף'!AO32&lt;&gt;1,"",'תנאי סף'!F32)</f>
        <v/>
      </c>
      <c r="D32" s="91" t="str">
        <f>IF($C32="","",IF(ייצוב!Y32="",$BA$1,ייצוב!Y32))</f>
        <v/>
      </c>
      <c r="E32" s="165"/>
      <c r="F32" s="91" t="str">
        <f>IF($C32="","",IF(ייצוב!G32="",$BA$1,ייצוב!G32))</f>
        <v/>
      </c>
      <c r="G32" s="426" t="str">
        <f>'סיכום לועדה- הזנת נתונים'!G32</f>
        <v/>
      </c>
      <c r="H32" s="267" t="str">
        <f t="shared" si="1"/>
        <v/>
      </c>
      <c r="I32" s="426" t="str">
        <f t="shared" si="2"/>
        <v/>
      </c>
      <c r="J32" s="427" t="str">
        <f t="shared" si="3"/>
        <v/>
      </c>
      <c r="K32" s="427" t="str">
        <f t="shared" si="4"/>
        <v/>
      </c>
      <c r="L32" s="428" t="str">
        <f t="shared" si="5"/>
        <v/>
      </c>
      <c r="M32" s="428" t="str">
        <f>IF($C32="","",IF(L32+$G32=2,1,0))</f>
        <v/>
      </c>
      <c r="N32" s="429" t="str">
        <f t="shared" si="6"/>
        <v/>
      </c>
      <c r="O32" s="429" t="str">
        <f>IF(L32="","",IF(M32=1,N32,N32/SUMIF(M$31:M$130,"&lt;&gt;1",N$31:N$130)*(1-SUMIF(M$31:M$130,"=1",N$31:N$130))))</f>
        <v/>
      </c>
      <c r="P32" s="428" t="str">
        <f t="shared" si="7"/>
        <v/>
      </c>
      <c r="Q32" s="428" t="str">
        <f>IF($C32="","",IF(P32+$G32=2,1,0))</f>
        <v/>
      </c>
      <c r="R32" s="429" t="str">
        <f t="shared" si="8"/>
        <v/>
      </c>
      <c r="S32" s="429" t="str">
        <f>IF(P32="","",IF(Q32=1,R32,R32/SUMIF(Q$31:Q$130,"&lt;&gt;1",R$31:R$130)*(1-SUMIF(Q$31:Q$130,"=1",R$31:R$130))))</f>
        <v/>
      </c>
      <c r="T32" s="428" t="str">
        <f t="shared" si="9"/>
        <v/>
      </c>
      <c r="U32" s="428" t="str">
        <f>IF($C32="","",IF(T32+$G32=2,1,0))</f>
        <v/>
      </c>
      <c r="V32" s="429" t="str">
        <f t="shared" si="10"/>
        <v/>
      </c>
      <c r="W32" s="429" t="str">
        <f>IF(T32="","",IF(U32=1,V32,V32/SUMIF(U$31:U$130,"&lt;&gt;1",V$31:V$130)*(1-SUMIF(U$31:U$130,"=1",V$31:V$130))))</f>
        <v/>
      </c>
      <c r="X32" s="428" t="str">
        <f t="shared" si="11"/>
        <v/>
      </c>
      <c r="Y32" s="428" t="str">
        <f>IF($C32="","",IF(X32+$G32=2,1,0))</f>
        <v/>
      </c>
      <c r="Z32" s="429" t="str">
        <f t="shared" si="12"/>
        <v/>
      </c>
      <c r="AA32" s="429" t="str">
        <f>IF(X32="","",IF(Y32=1,Z32,Z32/SUMIF(Y$31:Y$130,"&lt;&gt;1",Z$31:Z$130)*(1-SUMIF(Y$31:Y$130,"=1",Z$31:Z$130))))</f>
        <v/>
      </c>
      <c r="AB32" s="428" t="str">
        <f t="shared" si="13"/>
        <v/>
      </c>
      <c r="AC32" s="428" t="str">
        <f>IF($C32="","",IF(AB32+$G32=2,1,0))</f>
        <v/>
      </c>
      <c r="AD32" s="429" t="str">
        <f t="shared" si="14"/>
        <v/>
      </c>
      <c r="AE32" s="429" t="str">
        <f>IF(AB32="","",IF(AC32=1,AD32,AD32/SUMIF(AC$31:AC$130,"&lt;&gt;1",AD$31:AD$130)*(1-SUMIF(AC$31:AC$130,"=1",AD$31:AD$130))))</f>
        <v/>
      </c>
      <c r="AF32" s="428" t="str">
        <f t="shared" si="15"/>
        <v/>
      </c>
      <c r="AG32" s="428" t="str">
        <f>IF($C32="","",IF(AF32+$G32=2,1,0))</f>
        <v/>
      </c>
      <c r="AH32" s="429" t="str">
        <f t="shared" si="16"/>
        <v/>
      </c>
      <c r="AI32" s="429" t="str">
        <f>IF(AF32="","",IF(AG32=1,AH32,AH32/SUMIF(AG$31:AG$130,"&lt;&gt;1",AH$31:AH$130)*(1-SUMIF(AG$31:AG$130,"=1",AH$31:AH$130))))</f>
        <v/>
      </c>
      <c r="AJ32" s="428" t="str">
        <f t="shared" si="17"/>
        <v/>
      </c>
      <c r="AK32" s="428" t="str">
        <f>IF($C32="","",IF(AJ32+$G32=2,1,0))</f>
        <v/>
      </c>
      <c r="AL32" s="429" t="str">
        <f t="shared" si="18"/>
        <v/>
      </c>
      <c r="AM32" s="429" t="str">
        <f>IF(AJ32="","",IF(AK32=1,AL32,AL32/SUMIF(AK$31:AK$130,"&lt;&gt;1",AL$31:AL$130)*(1-SUMIF(AK$31:AK$130,"=1",AL$31:AL$130))))</f>
        <v/>
      </c>
      <c r="AN32" s="428" t="str">
        <f t="shared" si="19"/>
        <v/>
      </c>
      <c r="AO32" s="428" t="str">
        <f>IF($C32="","",IF(AN32+$G32=2,1,0))</f>
        <v/>
      </c>
      <c r="AP32" s="429" t="str">
        <f t="shared" si="20"/>
        <v/>
      </c>
      <c r="AQ32" s="429" t="str">
        <f>IF(AN32="","",IF(AO32=1,AP32,AP32/SUMIF(AO$31:AO$130,"&lt;&gt;1",AP$31:AP$130)*(1-SUMIF(AO$31:AO$130,"=1",AP$31:AP$130))))</f>
        <v/>
      </c>
      <c r="AR32" s="428" t="str">
        <f t="shared" si="21"/>
        <v/>
      </c>
      <c r="AS32" s="428" t="str">
        <f>IF($C32="","",IF(AR32+$G32=2,1,0))</f>
        <v/>
      </c>
      <c r="AT32" s="429" t="str">
        <f t="shared" si="22"/>
        <v/>
      </c>
      <c r="AU32" s="429" t="str">
        <f t="shared" ref="AU32:AU95" si="25">IF(AR32="","",IFERROR(IF(AS32=1,AT32,AT32/SUMIF(AS$31:AS$130,"&lt;&gt;1",AT$31:AT$130)*(1-SUMIF(AS$31:AS$130,"=1",AT$31:AT$130))),0))</f>
        <v/>
      </c>
      <c r="AV32" s="419" t="str">
        <f t="shared" si="23"/>
        <v/>
      </c>
      <c r="AW32" s="92" t="str">
        <f t="shared" si="24"/>
        <v/>
      </c>
      <c r="BB32" s="186" t="str">
        <f t="shared" ref="BB32:BC63" si="26">IF($C32="","",BB$30)</f>
        <v/>
      </c>
      <c r="BC32" s="186" t="str">
        <f t="shared" si="26"/>
        <v/>
      </c>
      <c r="BE32" s="188">
        <f t="shared" ref="BE32:BE95" si="27">IF(G32="",0,IF(ISERROR(MATCH(G32,$BB$30:$BC$30,0)),0,1))</f>
        <v>0</v>
      </c>
    </row>
    <row r="33" spans="2:57" s="188" customFormat="1" x14ac:dyDescent="0.25">
      <c r="B33" s="57" t="str">
        <f t="shared" si="0"/>
        <v/>
      </c>
      <c r="C33" s="417" t="str">
        <f>IF('תנאי סף'!AO33&lt;&gt;1,"",'תנאי סף'!F33)</f>
        <v/>
      </c>
      <c r="D33" s="91" t="str">
        <f>IF($C33="","",IF(ייצוב!Y33="",$BA$1,ייצוב!Y33))</f>
        <v/>
      </c>
      <c r="E33" s="165"/>
      <c r="F33" s="91" t="str">
        <f>IF($C33="","",IF(ייצוב!G33="",$BA$1,ייצוב!G33))</f>
        <v/>
      </c>
      <c r="G33" s="426">
        <f>'סיכום לועדה- הזנת נתונים'!G33</f>
        <v>1</v>
      </c>
      <c r="H33" s="267" t="str">
        <f t="shared" si="1"/>
        <v/>
      </c>
      <c r="I33" s="426" t="str">
        <f t="shared" si="2"/>
        <v/>
      </c>
      <c r="J33" s="427" t="str">
        <f t="shared" si="3"/>
        <v/>
      </c>
      <c r="K33" s="427" t="str">
        <f t="shared" si="4"/>
        <v/>
      </c>
      <c r="L33" s="428" t="str">
        <f t="shared" si="5"/>
        <v/>
      </c>
      <c r="M33" s="428" t="str">
        <f>IF($C33="","",IF(L33+$G33=2,1,0))</f>
        <v/>
      </c>
      <c r="N33" s="429" t="str">
        <f t="shared" si="6"/>
        <v/>
      </c>
      <c r="O33" s="429" t="str">
        <f>IF(L33="","",IF(M33=1,N33,N33/SUMIF(M$31:M$130,"&lt;&gt;1",N$31:N$130)*(1-SUMIF(M$31:M$130,"=1",N$31:N$130))))</f>
        <v/>
      </c>
      <c r="P33" s="428" t="str">
        <f t="shared" si="7"/>
        <v/>
      </c>
      <c r="Q33" s="428" t="str">
        <f>IF($C33="","",IF(P33+$G33=2,1,0))</f>
        <v/>
      </c>
      <c r="R33" s="429" t="str">
        <f t="shared" si="8"/>
        <v/>
      </c>
      <c r="S33" s="429" t="str">
        <f>IF(P33="","",IF(Q33=1,R33,R33/SUMIF(Q$31:Q$130,"&lt;&gt;1",R$31:R$130)*(1-SUMIF(Q$31:Q$130,"=1",R$31:R$130))))</f>
        <v/>
      </c>
      <c r="T33" s="428" t="str">
        <f t="shared" si="9"/>
        <v/>
      </c>
      <c r="U33" s="428" t="str">
        <f>IF($C33="","",IF(T33+$G33=2,1,0))</f>
        <v/>
      </c>
      <c r="V33" s="429" t="str">
        <f t="shared" si="10"/>
        <v/>
      </c>
      <c r="W33" s="429" t="str">
        <f>IF(T33="","",IF(U33=1,V33,V33/SUMIF(U$31:U$130,"&lt;&gt;1",V$31:V$130)*(1-SUMIF(U$31:U$130,"=1",V$31:V$130))))</f>
        <v/>
      </c>
      <c r="X33" s="428" t="str">
        <f t="shared" si="11"/>
        <v/>
      </c>
      <c r="Y33" s="428" t="str">
        <f>IF($C33="","",IF(X33+$G33=2,1,0))</f>
        <v/>
      </c>
      <c r="Z33" s="429" t="str">
        <f t="shared" si="12"/>
        <v/>
      </c>
      <c r="AA33" s="429" t="str">
        <f>IF(X33="","",IF(Y33=1,Z33,Z33/SUMIF(Y$31:Y$130,"&lt;&gt;1",Z$31:Z$130)*(1-SUMIF(Y$31:Y$130,"=1",Z$31:Z$130))))</f>
        <v/>
      </c>
      <c r="AB33" s="428" t="str">
        <f t="shared" si="13"/>
        <v/>
      </c>
      <c r="AC33" s="428" t="str">
        <f>IF($C33="","",IF(AB33+$G33=2,1,0))</f>
        <v/>
      </c>
      <c r="AD33" s="429" t="str">
        <f t="shared" si="14"/>
        <v/>
      </c>
      <c r="AE33" s="429" t="str">
        <f>IF(AB33="","",IF(AC33=1,AD33,AD33/SUMIF(AC$31:AC$130,"&lt;&gt;1",AD$31:AD$130)*(1-SUMIF(AC$31:AC$130,"=1",AD$31:AD$130))))</f>
        <v/>
      </c>
      <c r="AF33" s="428" t="str">
        <f t="shared" si="15"/>
        <v/>
      </c>
      <c r="AG33" s="428" t="str">
        <f>IF($C33="","",IF(AF33+$G33=2,1,0))</f>
        <v/>
      </c>
      <c r="AH33" s="429" t="str">
        <f t="shared" si="16"/>
        <v/>
      </c>
      <c r="AI33" s="429" t="str">
        <f>IF(AF33="","",IF(AG33=1,AH33,AH33/SUMIF(AG$31:AG$130,"&lt;&gt;1",AH$31:AH$130)*(1-SUMIF(AG$31:AG$130,"=1",AH$31:AH$130))))</f>
        <v/>
      </c>
      <c r="AJ33" s="428" t="str">
        <f t="shared" si="17"/>
        <v/>
      </c>
      <c r="AK33" s="428" t="str">
        <f>IF($C33="","",IF(AJ33+$G33=2,1,0))</f>
        <v/>
      </c>
      <c r="AL33" s="429" t="str">
        <f t="shared" si="18"/>
        <v/>
      </c>
      <c r="AM33" s="429" t="str">
        <f>IF(AJ33="","",IF(AK33=1,AL33,AL33/SUMIF(AK$31:AK$130,"&lt;&gt;1",AL$31:AL$130)*(1-SUMIF(AK$31:AK$130,"=1",AL$31:AL$130))))</f>
        <v/>
      </c>
      <c r="AN33" s="428" t="str">
        <f t="shared" si="19"/>
        <v/>
      </c>
      <c r="AO33" s="428" t="str">
        <f>IF($C33="","",IF(AN33+$G33=2,1,0))</f>
        <v/>
      </c>
      <c r="AP33" s="429" t="str">
        <f t="shared" si="20"/>
        <v/>
      </c>
      <c r="AQ33" s="429" t="str">
        <f>IF(AN33="","",IF(AO33=1,AP33,AP33/SUMIF(AO$31:AO$130,"&lt;&gt;1",AP$31:AP$130)*(1-SUMIF(AO$31:AO$130,"=1",AP$31:AP$130))))</f>
        <v/>
      </c>
      <c r="AR33" s="428" t="str">
        <f t="shared" si="21"/>
        <v/>
      </c>
      <c r="AS33" s="428" t="str">
        <f>IF($C33="","",IF(AR33+$G33=2,1,0))</f>
        <v/>
      </c>
      <c r="AT33" s="429" t="str">
        <f t="shared" si="22"/>
        <v/>
      </c>
      <c r="AU33" s="429" t="str">
        <f t="shared" si="25"/>
        <v/>
      </c>
      <c r="AV33" s="419" t="str">
        <f t="shared" si="23"/>
        <v/>
      </c>
      <c r="AW33" s="92" t="str">
        <f t="shared" si="24"/>
        <v/>
      </c>
      <c r="BB33" s="186" t="str">
        <f t="shared" si="26"/>
        <v/>
      </c>
      <c r="BC33" s="186" t="str">
        <f t="shared" si="26"/>
        <v/>
      </c>
      <c r="BE33" s="188">
        <f t="shared" si="27"/>
        <v>1</v>
      </c>
    </row>
    <row r="34" spans="2:57" s="188" customFormat="1" x14ac:dyDescent="0.25">
      <c r="B34" s="57">
        <f t="shared" si="0"/>
        <v>4</v>
      </c>
      <c r="C34" s="417" t="str">
        <f>IF('תנאי סף'!AO34&lt;&gt;1,"",'תנאי סף'!F34)</f>
        <v>יניב ד'אור - אנסמבל נאיה</v>
      </c>
      <c r="D34" s="91">
        <f>IF($C34="","",IF(ייצוב!Y34="",$BA$1,ייצוב!Y34))</f>
        <v>2.2556690787025591E-2</v>
      </c>
      <c r="E34" s="165"/>
      <c r="F34" s="91">
        <f>IF($C34="","",IF(ייצוב!G34="",$BA$1,ייצוב!G34))</f>
        <v>2.1518381051921224E-2</v>
      </c>
      <c r="G34" s="426">
        <f>'סיכום לועדה- הזנת נתונים'!G34</f>
        <v>1</v>
      </c>
      <c r="H34" s="267">
        <f t="shared" si="1"/>
        <v>0</v>
      </c>
      <c r="I34" s="426">
        <f t="shared" si="2"/>
        <v>0</v>
      </c>
      <c r="J34" s="427">
        <f t="shared" si="3"/>
        <v>2.2556690787025591E-2</v>
      </c>
      <c r="K34" s="427">
        <f t="shared" si="4"/>
        <v>2.2556690787025581E-2</v>
      </c>
      <c r="L34" s="428">
        <f t="shared" si="5"/>
        <v>0</v>
      </c>
      <c r="M34" s="428">
        <f>IF($C34="","",IF(L34+$G34=2,1,0))</f>
        <v>0</v>
      </c>
      <c r="N34" s="429">
        <f t="shared" si="6"/>
        <v>2.2556690787025591E-2</v>
      </c>
      <c r="O34" s="429">
        <f>IF(L34="","",IF(M34=1,N34,N34/SUMIF(M$31:M$130,"&lt;&gt;1",N$31:N$130)*(1-SUMIF(M$31:M$130,"=1",N$31:N$130))))</f>
        <v>2.2556690787025581E-2</v>
      </c>
      <c r="P34" s="428">
        <f t="shared" si="7"/>
        <v>0</v>
      </c>
      <c r="Q34" s="428">
        <f>IF($C34="","",IF(P34+$G34=2,1,0))</f>
        <v>0</v>
      </c>
      <c r="R34" s="429">
        <f t="shared" si="8"/>
        <v>2.2556690787025591E-2</v>
      </c>
      <c r="S34" s="429">
        <f>IF(P34="","",IF(Q34=1,R34,R34/SUMIF(Q$31:Q$130,"&lt;&gt;1",R$31:R$130)*(1-SUMIF(Q$31:Q$130,"=1",R$31:R$130))))</f>
        <v>2.2556690787025581E-2</v>
      </c>
      <c r="T34" s="428">
        <f t="shared" si="9"/>
        <v>0</v>
      </c>
      <c r="U34" s="428">
        <f>IF($C34="","",IF(T34+$G34=2,1,0))</f>
        <v>0</v>
      </c>
      <c r="V34" s="429">
        <f t="shared" si="10"/>
        <v>2.2556690787025581E-2</v>
      </c>
      <c r="W34" s="429">
        <f>IF(T34="","",IF(U34=1,V34,V34/SUMIF(U$31:U$130,"&lt;&gt;1",V$31:V$130)*(1-SUMIF(U$31:U$130,"=1",V$31:V$130))))</f>
        <v>2.2556690787025584E-2</v>
      </c>
      <c r="X34" s="428">
        <f t="shared" si="11"/>
        <v>0</v>
      </c>
      <c r="Y34" s="428">
        <f>IF($C34="","",IF(X34+$G34=2,1,0))</f>
        <v>0</v>
      </c>
      <c r="Z34" s="429">
        <f t="shared" si="12"/>
        <v>2.2556690787025584E-2</v>
      </c>
      <c r="AA34" s="429">
        <f>IF(X34="","",IF(Y34=1,Z34,Z34/SUMIF(Y$31:Y$130,"&lt;&gt;1",Z$31:Z$130)*(1-SUMIF(Y$31:Y$130,"=1",Z$31:Z$130))))</f>
        <v>2.2556690787025581E-2</v>
      </c>
      <c r="AB34" s="428">
        <f t="shared" si="13"/>
        <v>0</v>
      </c>
      <c r="AC34" s="428">
        <f>IF($C34="","",IF(AB34+$G34=2,1,0))</f>
        <v>0</v>
      </c>
      <c r="AD34" s="429">
        <f t="shared" si="14"/>
        <v>2.2556690787025581E-2</v>
      </c>
      <c r="AE34" s="429">
        <f>IF(AB34="","",IF(AC34=1,AD34,AD34/SUMIF(AC$31:AC$130,"&lt;&gt;1",AD$31:AD$130)*(1-SUMIF(AC$31:AC$130,"=1",AD$31:AD$130))))</f>
        <v>2.2556690787025584E-2</v>
      </c>
      <c r="AF34" s="428">
        <f t="shared" si="15"/>
        <v>0</v>
      </c>
      <c r="AG34" s="428">
        <f>IF($C34="","",IF(AF34+$G34=2,1,0))</f>
        <v>0</v>
      </c>
      <c r="AH34" s="429">
        <f t="shared" si="16"/>
        <v>2.2556690787025584E-2</v>
      </c>
      <c r="AI34" s="429">
        <f>IF(AF34="","",IF(AG34=1,AH34,AH34/SUMIF(AG$31:AG$130,"&lt;&gt;1",AH$31:AH$130)*(1-SUMIF(AG$31:AG$130,"=1",AH$31:AH$130))))</f>
        <v>2.2556690787025581E-2</v>
      </c>
      <c r="AJ34" s="428">
        <f t="shared" si="17"/>
        <v>0</v>
      </c>
      <c r="AK34" s="428">
        <f>IF($C34="","",IF(AJ34+$G34=2,1,0))</f>
        <v>0</v>
      </c>
      <c r="AL34" s="429">
        <f t="shared" si="18"/>
        <v>2.2556690787025581E-2</v>
      </c>
      <c r="AM34" s="429">
        <f>IF(AJ34="","",IF(AK34=1,AL34,AL34/SUMIF(AK$31:AK$130,"&lt;&gt;1",AL$31:AL$130)*(1-SUMIF(AK$31:AK$130,"=1",AL$31:AL$130))))</f>
        <v>2.2556690787025584E-2</v>
      </c>
      <c r="AN34" s="428">
        <f t="shared" si="19"/>
        <v>0</v>
      </c>
      <c r="AO34" s="428">
        <f>IF($C34="","",IF(AN34+$G34=2,1,0))</f>
        <v>0</v>
      </c>
      <c r="AP34" s="429">
        <f t="shared" si="20"/>
        <v>2.2556690787025584E-2</v>
      </c>
      <c r="AQ34" s="429">
        <f>IF(AN34="","",IF(AO34=1,AP34,AP34/SUMIF(AO$31:AO$130,"&lt;&gt;1",AP$31:AP$130)*(1-SUMIF(AO$31:AO$130,"=1",AP$31:AP$130))))</f>
        <v>2.2556690787025581E-2</v>
      </c>
      <c r="AR34" s="428">
        <f t="shared" si="21"/>
        <v>0</v>
      </c>
      <c r="AS34" s="428">
        <f>IF($C34="","",IF(AR34+$G34=2,1,0))</f>
        <v>0</v>
      </c>
      <c r="AT34" s="429">
        <f t="shared" si="22"/>
        <v>2.2556690787025581E-2</v>
      </c>
      <c r="AU34" s="429">
        <f t="shared" si="25"/>
        <v>2.2556690787025584E-2</v>
      </c>
      <c r="AV34" s="419">
        <f t="shared" si="23"/>
        <v>2.2556690787025581E-2</v>
      </c>
      <c r="AW34" s="92">
        <f t="shared" si="24"/>
        <v>69392.659166409532</v>
      </c>
      <c r="BB34" s="186">
        <f t="shared" si="26"/>
        <v>0</v>
      </c>
      <c r="BC34" s="186">
        <f t="shared" si="26"/>
        <v>1</v>
      </c>
      <c r="BE34" s="188">
        <f t="shared" si="27"/>
        <v>1</v>
      </c>
    </row>
    <row r="35" spans="2:57" s="188" customFormat="1" x14ac:dyDescent="0.25">
      <c r="B35" s="57" t="str">
        <f t="shared" si="0"/>
        <v/>
      </c>
      <c r="C35" s="417" t="str">
        <f>IF('תנאי סף'!AO35&lt;&gt;1,"",'תנאי סף'!F35)</f>
        <v/>
      </c>
      <c r="D35" s="91" t="str">
        <f>IF($C35="","",IF(ייצוב!Y35="",$BA$1,ייצוב!Y35))</f>
        <v/>
      </c>
      <c r="E35" s="165"/>
      <c r="F35" s="91" t="str">
        <f>IF($C35="","",IF(ייצוב!G35="",$BA$1,ייצוב!G35))</f>
        <v/>
      </c>
      <c r="G35" s="426" t="str">
        <f>'סיכום לועדה- הזנת נתונים'!G35</f>
        <v/>
      </c>
      <c r="H35" s="267" t="str">
        <f t="shared" si="1"/>
        <v/>
      </c>
      <c r="I35" s="426" t="str">
        <f t="shared" si="2"/>
        <v/>
      </c>
      <c r="J35" s="427" t="str">
        <f t="shared" si="3"/>
        <v/>
      </c>
      <c r="K35" s="427" t="str">
        <f t="shared" si="4"/>
        <v/>
      </c>
      <c r="L35" s="428" t="str">
        <f t="shared" si="5"/>
        <v/>
      </c>
      <c r="M35" s="428" t="str">
        <f t="shared" ref="M35:M98" si="28">IF($C35="","",IF(L35+$G35=2,1,0))</f>
        <v/>
      </c>
      <c r="N35" s="429" t="str">
        <f t="shared" si="6"/>
        <v/>
      </c>
      <c r="O35" s="429" t="str">
        <f t="shared" ref="O35:O98" si="29">IF(L35="","",IF(M35=1,N35,N35/SUMIF(M$31:M$130,"&lt;&gt;1",N$31:N$130)*(1-SUMIF(M$31:M$130,"=1",N$31:N$130))))</f>
        <v/>
      </c>
      <c r="P35" s="428" t="str">
        <f t="shared" si="7"/>
        <v/>
      </c>
      <c r="Q35" s="428" t="str">
        <f t="shared" ref="Q35:Q98" si="30">IF($C35="","",IF(P35+$G35=2,1,0))</f>
        <v/>
      </c>
      <c r="R35" s="429" t="str">
        <f t="shared" si="8"/>
        <v/>
      </c>
      <c r="S35" s="429" t="str">
        <f t="shared" ref="S35:S98" si="31">IF(P35="","",IF(Q35=1,R35,R35/SUMIF(Q$31:Q$130,"&lt;&gt;1",R$31:R$130)*(1-SUMIF(Q$31:Q$130,"=1",R$31:R$130))))</f>
        <v/>
      </c>
      <c r="T35" s="428" t="str">
        <f t="shared" si="9"/>
        <v/>
      </c>
      <c r="U35" s="428" t="str">
        <f t="shared" ref="U35:U98" si="32">IF($C35="","",IF(T35+$G35=2,1,0))</f>
        <v/>
      </c>
      <c r="V35" s="429" t="str">
        <f t="shared" si="10"/>
        <v/>
      </c>
      <c r="W35" s="429" t="str">
        <f t="shared" ref="W35:W98" si="33">IF(T35="","",IF(U35=1,V35,V35/SUMIF(U$31:U$130,"&lt;&gt;1",V$31:V$130)*(1-SUMIF(U$31:U$130,"=1",V$31:V$130))))</f>
        <v/>
      </c>
      <c r="X35" s="428" t="str">
        <f t="shared" si="11"/>
        <v/>
      </c>
      <c r="Y35" s="428" t="str">
        <f t="shared" ref="Y35:Y98" si="34">IF($C35="","",IF(X35+$G35=2,1,0))</f>
        <v/>
      </c>
      <c r="Z35" s="429" t="str">
        <f t="shared" si="12"/>
        <v/>
      </c>
      <c r="AA35" s="429" t="str">
        <f t="shared" ref="AA35:AA98" si="35">IF(X35="","",IF(Y35=1,Z35,Z35/SUMIF(Y$31:Y$130,"&lt;&gt;1",Z$31:Z$130)*(1-SUMIF(Y$31:Y$130,"=1",Z$31:Z$130))))</f>
        <v/>
      </c>
      <c r="AB35" s="428" t="str">
        <f t="shared" si="13"/>
        <v/>
      </c>
      <c r="AC35" s="428" t="str">
        <f t="shared" ref="AC35:AC98" si="36">IF($C35="","",IF(AB35+$G35=2,1,0))</f>
        <v/>
      </c>
      <c r="AD35" s="429" t="str">
        <f t="shared" si="14"/>
        <v/>
      </c>
      <c r="AE35" s="429" t="str">
        <f t="shared" ref="AE35:AE98" si="37">IF(AB35="","",IF(AC35=1,AD35,AD35/SUMIF(AC$31:AC$130,"&lt;&gt;1",AD$31:AD$130)*(1-SUMIF(AC$31:AC$130,"=1",AD$31:AD$130))))</f>
        <v/>
      </c>
      <c r="AF35" s="428" t="str">
        <f t="shared" si="15"/>
        <v/>
      </c>
      <c r="AG35" s="428" t="str">
        <f t="shared" ref="AG35:AG98" si="38">IF($C35="","",IF(AF35+$G35=2,1,0))</f>
        <v/>
      </c>
      <c r="AH35" s="429" t="str">
        <f t="shared" si="16"/>
        <v/>
      </c>
      <c r="AI35" s="429" t="str">
        <f t="shared" ref="AI35:AI98" si="39">IF(AF35="","",IF(AG35=1,AH35,AH35/SUMIF(AG$31:AG$130,"&lt;&gt;1",AH$31:AH$130)*(1-SUMIF(AG$31:AG$130,"=1",AH$31:AH$130))))</f>
        <v/>
      </c>
      <c r="AJ35" s="428" t="str">
        <f t="shared" si="17"/>
        <v/>
      </c>
      <c r="AK35" s="428" t="str">
        <f t="shared" ref="AK35:AK98" si="40">IF($C35="","",IF(AJ35+$G35=2,1,0))</f>
        <v/>
      </c>
      <c r="AL35" s="429" t="str">
        <f t="shared" si="18"/>
        <v/>
      </c>
      <c r="AM35" s="429" t="str">
        <f t="shared" ref="AM35:AM98" si="41">IF(AJ35="","",IF(AK35=1,AL35,AL35/SUMIF(AK$31:AK$130,"&lt;&gt;1",AL$31:AL$130)*(1-SUMIF(AK$31:AK$130,"=1",AL$31:AL$130))))</f>
        <v/>
      </c>
      <c r="AN35" s="428" t="str">
        <f t="shared" si="19"/>
        <v/>
      </c>
      <c r="AO35" s="428" t="str">
        <f t="shared" ref="AO35:AO98" si="42">IF($C35="","",IF(AN35+$G35=2,1,0))</f>
        <v/>
      </c>
      <c r="AP35" s="429" t="str">
        <f t="shared" si="20"/>
        <v/>
      </c>
      <c r="AQ35" s="429" t="str">
        <f t="shared" ref="AQ35:AQ98" si="43">IF(AN35="","",IF(AO35=1,AP35,AP35/SUMIF(AO$31:AO$130,"&lt;&gt;1",AP$31:AP$130)*(1-SUMIF(AO$31:AO$130,"=1",AP$31:AP$130))))</f>
        <v/>
      </c>
      <c r="AR35" s="428" t="str">
        <f t="shared" si="21"/>
        <v/>
      </c>
      <c r="AS35" s="428" t="str">
        <f t="shared" ref="AS35:AS98" si="44">IF($C35="","",IF(AR35+$G35=2,1,0))</f>
        <v/>
      </c>
      <c r="AT35" s="429" t="str">
        <f t="shared" si="22"/>
        <v/>
      </c>
      <c r="AU35" s="429" t="str">
        <f t="shared" si="25"/>
        <v/>
      </c>
      <c r="AV35" s="419" t="str">
        <f t="shared" si="23"/>
        <v/>
      </c>
      <c r="AW35" s="92" t="str">
        <f t="shared" si="24"/>
        <v/>
      </c>
      <c r="BB35" s="186" t="str">
        <f t="shared" si="26"/>
        <v/>
      </c>
      <c r="BC35" s="186" t="str">
        <f t="shared" si="26"/>
        <v/>
      </c>
      <c r="BE35" s="188">
        <f t="shared" si="27"/>
        <v>0</v>
      </c>
    </row>
    <row r="36" spans="2:57" x14ac:dyDescent="0.25">
      <c r="B36" s="57">
        <f t="shared" si="0"/>
        <v>6</v>
      </c>
      <c r="C36" s="417" t="str">
        <f>IF('תנאי סף'!AO36&lt;&gt;1,"",'תנאי סף'!F36)</f>
        <v>הפרויקט הקאמרי הישראלי</v>
      </c>
      <c r="D36" s="91">
        <f>IF($C36="","",IF(ייצוב!Y36="",$BA$1,ייצוב!Y36))</f>
        <v>2.6868036831799322E-2</v>
      </c>
      <c r="E36" s="165"/>
      <c r="F36" s="91">
        <f>IF($C36="","",IF(ייצוב!G36="",$BA$1,ייצוב!G36))</f>
        <v>2.8918534124482555E-2</v>
      </c>
      <c r="G36" s="426">
        <f>'סיכום לועדה- הזנת נתונים'!G36</f>
        <v>1</v>
      </c>
      <c r="H36" s="267">
        <f t="shared" si="1"/>
        <v>0</v>
      </c>
      <c r="I36" s="426">
        <f t="shared" si="2"/>
        <v>0</v>
      </c>
      <c r="J36" s="427">
        <f t="shared" si="3"/>
        <v>2.6868036831799322E-2</v>
      </c>
      <c r="K36" s="427">
        <f t="shared" si="4"/>
        <v>2.6868036831799311E-2</v>
      </c>
      <c r="L36" s="428">
        <f t="shared" si="5"/>
        <v>0</v>
      </c>
      <c r="M36" s="428">
        <f t="shared" si="28"/>
        <v>0</v>
      </c>
      <c r="N36" s="429">
        <f t="shared" si="6"/>
        <v>2.6868036831799322E-2</v>
      </c>
      <c r="O36" s="429">
        <f t="shared" si="29"/>
        <v>2.6868036831799311E-2</v>
      </c>
      <c r="P36" s="428">
        <f t="shared" si="7"/>
        <v>0</v>
      </c>
      <c r="Q36" s="428">
        <f t="shared" si="30"/>
        <v>0</v>
      </c>
      <c r="R36" s="429">
        <f t="shared" si="8"/>
        <v>2.6868036831799322E-2</v>
      </c>
      <c r="S36" s="429">
        <f t="shared" si="31"/>
        <v>2.6868036831799311E-2</v>
      </c>
      <c r="T36" s="428">
        <f t="shared" si="9"/>
        <v>0</v>
      </c>
      <c r="U36" s="428">
        <f t="shared" si="32"/>
        <v>0</v>
      </c>
      <c r="V36" s="429">
        <f t="shared" si="10"/>
        <v>2.6868036831799311E-2</v>
      </c>
      <c r="W36" s="429">
        <f t="shared" si="33"/>
        <v>2.6868036831799315E-2</v>
      </c>
      <c r="X36" s="428">
        <f t="shared" si="11"/>
        <v>0</v>
      </c>
      <c r="Y36" s="428">
        <f t="shared" si="34"/>
        <v>0</v>
      </c>
      <c r="Z36" s="429">
        <f t="shared" si="12"/>
        <v>2.6868036831799315E-2</v>
      </c>
      <c r="AA36" s="429">
        <f t="shared" si="35"/>
        <v>2.6868036831799308E-2</v>
      </c>
      <c r="AB36" s="428">
        <f t="shared" si="13"/>
        <v>0</v>
      </c>
      <c r="AC36" s="428">
        <f t="shared" si="36"/>
        <v>0</v>
      </c>
      <c r="AD36" s="429">
        <f t="shared" si="14"/>
        <v>2.6868036831799308E-2</v>
      </c>
      <c r="AE36" s="429">
        <f t="shared" si="37"/>
        <v>2.6868036831799315E-2</v>
      </c>
      <c r="AF36" s="428">
        <f t="shared" si="15"/>
        <v>0</v>
      </c>
      <c r="AG36" s="428">
        <f t="shared" si="38"/>
        <v>0</v>
      </c>
      <c r="AH36" s="429">
        <f t="shared" si="16"/>
        <v>2.6868036831799315E-2</v>
      </c>
      <c r="AI36" s="429">
        <f t="shared" si="39"/>
        <v>2.6868036831799308E-2</v>
      </c>
      <c r="AJ36" s="428">
        <f t="shared" si="17"/>
        <v>0</v>
      </c>
      <c r="AK36" s="428">
        <f t="shared" si="40"/>
        <v>0</v>
      </c>
      <c r="AL36" s="429">
        <f t="shared" si="18"/>
        <v>2.6868036831799308E-2</v>
      </c>
      <c r="AM36" s="429">
        <f t="shared" si="41"/>
        <v>2.6868036831799315E-2</v>
      </c>
      <c r="AN36" s="428">
        <f t="shared" si="19"/>
        <v>0</v>
      </c>
      <c r="AO36" s="428">
        <f t="shared" si="42"/>
        <v>0</v>
      </c>
      <c r="AP36" s="429">
        <f t="shared" si="20"/>
        <v>2.6868036831799315E-2</v>
      </c>
      <c r="AQ36" s="429">
        <f t="shared" si="43"/>
        <v>2.6868036831799308E-2</v>
      </c>
      <c r="AR36" s="428">
        <f t="shared" si="21"/>
        <v>0</v>
      </c>
      <c r="AS36" s="428">
        <f t="shared" si="44"/>
        <v>0</v>
      </c>
      <c r="AT36" s="429">
        <f t="shared" si="22"/>
        <v>2.6868036831799308E-2</v>
      </c>
      <c r="AU36" s="429">
        <f t="shared" si="25"/>
        <v>2.6868036831799315E-2</v>
      </c>
      <c r="AV36" s="419">
        <f t="shared" si="23"/>
        <v>2.6868036831799308E-2</v>
      </c>
      <c r="AW36" s="92">
        <f t="shared" si="24"/>
        <v>82655.941864131935</v>
      </c>
      <c r="BB36" s="186">
        <f t="shared" si="26"/>
        <v>0</v>
      </c>
      <c r="BC36" s="186">
        <f t="shared" si="26"/>
        <v>1</v>
      </c>
      <c r="BE36" s="188">
        <f t="shared" si="27"/>
        <v>1</v>
      </c>
    </row>
    <row r="37" spans="2:57" x14ac:dyDescent="0.25">
      <c r="B37" s="57">
        <f t="shared" si="0"/>
        <v>7</v>
      </c>
      <c r="C37" s="417" t="str">
        <f>IF('תנאי סף'!AO37&lt;&gt;1,"",'תנאי סף'!F37)</f>
        <v>מארש דונדורמה</v>
      </c>
      <c r="D37" s="91">
        <f>IF($C37="","",IF(ייצוב!Y37="",$BA$1,ייצוב!Y37))</f>
        <v>4.4791473605795266E-2</v>
      </c>
      <c r="E37" s="165"/>
      <c r="F37" s="91">
        <f>IF($C37="","",IF(ייצוב!G37="",$BA$1,ייצוב!G37))</f>
        <v>4.2794479512142936E-2</v>
      </c>
      <c r="G37" s="426">
        <f>'סיכום לועדה- הזנת נתונים'!G37</f>
        <v>1</v>
      </c>
      <c r="H37" s="267">
        <f t="shared" si="1"/>
        <v>0</v>
      </c>
      <c r="I37" s="426">
        <f t="shared" si="2"/>
        <v>0</v>
      </c>
      <c r="J37" s="427">
        <f t="shared" si="3"/>
        <v>4.4791473605795266E-2</v>
      </c>
      <c r="K37" s="427">
        <f t="shared" si="4"/>
        <v>4.4791473605795246E-2</v>
      </c>
      <c r="L37" s="428">
        <f t="shared" si="5"/>
        <v>0</v>
      </c>
      <c r="M37" s="428">
        <f t="shared" si="28"/>
        <v>0</v>
      </c>
      <c r="N37" s="429">
        <f t="shared" si="6"/>
        <v>4.4791473605795266E-2</v>
      </c>
      <c r="O37" s="429">
        <f t="shared" si="29"/>
        <v>4.4791473605795246E-2</v>
      </c>
      <c r="P37" s="428">
        <f t="shared" si="7"/>
        <v>0</v>
      </c>
      <c r="Q37" s="428">
        <f t="shared" si="30"/>
        <v>0</v>
      </c>
      <c r="R37" s="429">
        <f t="shared" si="8"/>
        <v>4.4791473605795266E-2</v>
      </c>
      <c r="S37" s="429">
        <f t="shared" si="31"/>
        <v>4.4791473605795246E-2</v>
      </c>
      <c r="T37" s="428">
        <f t="shared" si="9"/>
        <v>0</v>
      </c>
      <c r="U37" s="428">
        <f t="shared" si="32"/>
        <v>0</v>
      </c>
      <c r="V37" s="429">
        <f t="shared" si="10"/>
        <v>4.4791473605795246E-2</v>
      </c>
      <c r="W37" s="429">
        <f t="shared" si="33"/>
        <v>4.4791473605795253E-2</v>
      </c>
      <c r="X37" s="428">
        <f t="shared" si="11"/>
        <v>0</v>
      </c>
      <c r="Y37" s="428">
        <f t="shared" si="34"/>
        <v>0</v>
      </c>
      <c r="Z37" s="429">
        <f t="shared" si="12"/>
        <v>4.4791473605795253E-2</v>
      </c>
      <c r="AA37" s="429">
        <f t="shared" si="35"/>
        <v>4.4791473605795246E-2</v>
      </c>
      <c r="AB37" s="428">
        <f t="shared" si="13"/>
        <v>0</v>
      </c>
      <c r="AC37" s="428">
        <f t="shared" si="36"/>
        <v>0</v>
      </c>
      <c r="AD37" s="429">
        <f t="shared" si="14"/>
        <v>4.4791473605795246E-2</v>
      </c>
      <c r="AE37" s="429">
        <f t="shared" si="37"/>
        <v>4.4791473605795253E-2</v>
      </c>
      <c r="AF37" s="428">
        <f t="shared" si="15"/>
        <v>0</v>
      </c>
      <c r="AG37" s="428">
        <f t="shared" si="38"/>
        <v>0</v>
      </c>
      <c r="AH37" s="429">
        <f t="shared" si="16"/>
        <v>4.4791473605795253E-2</v>
      </c>
      <c r="AI37" s="429">
        <f t="shared" si="39"/>
        <v>4.4791473605795246E-2</v>
      </c>
      <c r="AJ37" s="428">
        <f t="shared" si="17"/>
        <v>0</v>
      </c>
      <c r="AK37" s="428">
        <f t="shared" si="40"/>
        <v>0</v>
      </c>
      <c r="AL37" s="429">
        <f t="shared" si="18"/>
        <v>4.4791473605795246E-2</v>
      </c>
      <c r="AM37" s="429">
        <f t="shared" si="41"/>
        <v>4.4791473605795253E-2</v>
      </c>
      <c r="AN37" s="428">
        <f t="shared" si="19"/>
        <v>0</v>
      </c>
      <c r="AO37" s="428">
        <f t="shared" si="42"/>
        <v>0</v>
      </c>
      <c r="AP37" s="429">
        <f t="shared" si="20"/>
        <v>4.4791473605795253E-2</v>
      </c>
      <c r="AQ37" s="429">
        <f t="shared" si="43"/>
        <v>4.4791473605795246E-2</v>
      </c>
      <c r="AR37" s="428">
        <f t="shared" si="21"/>
        <v>0</v>
      </c>
      <c r="AS37" s="428">
        <f t="shared" si="44"/>
        <v>0</v>
      </c>
      <c r="AT37" s="429">
        <f t="shared" si="22"/>
        <v>4.4791473605795246E-2</v>
      </c>
      <c r="AU37" s="429">
        <f t="shared" si="25"/>
        <v>4.4791473605795253E-2</v>
      </c>
      <c r="AV37" s="419">
        <f t="shared" si="23"/>
        <v>4.4791473605795246E-2</v>
      </c>
      <c r="AW37" s="92">
        <f t="shared" si="24"/>
        <v>137795.01128223952</v>
      </c>
      <c r="BB37" s="186">
        <f t="shared" si="26"/>
        <v>0</v>
      </c>
      <c r="BC37" s="186">
        <f t="shared" si="26"/>
        <v>1</v>
      </c>
      <c r="BE37" s="188">
        <f t="shared" si="27"/>
        <v>1</v>
      </c>
    </row>
    <row r="38" spans="2:57" x14ac:dyDescent="0.25">
      <c r="B38" s="57">
        <f t="shared" si="0"/>
        <v>8</v>
      </c>
      <c r="C38" s="417" t="str">
        <f>IF('תנאי סף'!AO38&lt;&gt;1,"",'תנאי סף'!F38)</f>
        <v>להקת מורין נהדר</v>
      </c>
      <c r="D38" s="91">
        <f>IF($C38="","",IF(ייצוב!Y38="",$BA$1,ייצוב!Y38))</f>
        <v>1.033921931017477E-2</v>
      </c>
      <c r="E38" s="165"/>
      <c r="F38" s="91">
        <f>IF($C38="","",IF(ייצוב!G38="",$BA$1,ייצוב!G38))</f>
        <v>1.2672103760153403E-2</v>
      </c>
      <c r="G38" s="426">
        <f>'סיכום לועדה- הזנת נתונים'!G38</f>
        <v>1</v>
      </c>
      <c r="H38" s="267">
        <f t="shared" si="1"/>
        <v>0</v>
      </c>
      <c r="I38" s="426">
        <f t="shared" si="2"/>
        <v>0</v>
      </c>
      <c r="J38" s="427">
        <f t="shared" si="3"/>
        <v>1.033921931017477E-2</v>
      </c>
      <c r="K38" s="427">
        <f t="shared" si="4"/>
        <v>1.0339219310174765E-2</v>
      </c>
      <c r="L38" s="428">
        <f t="shared" si="5"/>
        <v>0</v>
      </c>
      <c r="M38" s="428">
        <f t="shared" si="28"/>
        <v>0</v>
      </c>
      <c r="N38" s="429">
        <f t="shared" si="6"/>
        <v>1.033921931017477E-2</v>
      </c>
      <c r="O38" s="429">
        <f t="shared" si="29"/>
        <v>1.0339219310174765E-2</v>
      </c>
      <c r="P38" s="428">
        <f t="shared" si="7"/>
        <v>0</v>
      </c>
      <c r="Q38" s="428">
        <f t="shared" si="30"/>
        <v>0</v>
      </c>
      <c r="R38" s="429">
        <f t="shared" si="8"/>
        <v>1.033921931017477E-2</v>
      </c>
      <c r="S38" s="429">
        <f t="shared" si="31"/>
        <v>1.0339219310174765E-2</v>
      </c>
      <c r="T38" s="428">
        <f t="shared" si="9"/>
        <v>0</v>
      </c>
      <c r="U38" s="428">
        <f t="shared" si="32"/>
        <v>0</v>
      </c>
      <c r="V38" s="429">
        <f t="shared" si="10"/>
        <v>1.0339219310174765E-2</v>
      </c>
      <c r="W38" s="429">
        <f t="shared" si="33"/>
        <v>1.0339219310174766E-2</v>
      </c>
      <c r="X38" s="428">
        <f t="shared" si="11"/>
        <v>0</v>
      </c>
      <c r="Y38" s="428">
        <f t="shared" si="34"/>
        <v>0</v>
      </c>
      <c r="Z38" s="429">
        <f t="shared" si="12"/>
        <v>1.0339219310174766E-2</v>
      </c>
      <c r="AA38" s="429">
        <f t="shared" si="35"/>
        <v>1.0339219310174765E-2</v>
      </c>
      <c r="AB38" s="428">
        <f t="shared" si="13"/>
        <v>0</v>
      </c>
      <c r="AC38" s="428">
        <f t="shared" si="36"/>
        <v>0</v>
      </c>
      <c r="AD38" s="429">
        <f t="shared" si="14"/>
        <v>1.0339219310174765E-2</v>
      </c>
      <c r="AE38" s="429">
        <f t="shared" si="37"/>
        <v>1.0339219310174766E-2</v>
      </c>
      <c r="AF38" s="428">
        <f t="shared" si="15"/>
        <v>0</v>
      </c>
      <c r="AG38" s="428">
        <f t="shared" si="38"/>
        <v>0</v>
      </c>
      <c r="AH38" s="429">
        <f t="shared" si="16"/>
        <v>1.0339219310174766E-2</v>
      </c>
      <c r="AI38" s="429">
        <f t="shared" si="39"/>
        <v>1.0339219310174765E-2</v>
      </c>
      <c r="AJ38" s="428">
        <f t="shared" si="17"/>
        <v>0</v>
      </c>
      <c r="AK38" s="428">
        <f t="shared" si="40"/>
        <v>0</v>
      </c>
      <c r="AL38" s="429">
        <f t="shared" si="18"/>
        <v>1.0339219310174765E-2</v>
      </c>
      <c r="AM38" s="429">
        <f t="shared" si="41"/>
        <v>1.0339219310174766E-2</v>
      </c>
      <c r="AN38" s="428">
        <f t="shared" si="19"/>
        <v>0</v>
      </c>
      <c r="AO38" s="428">
        <f t="shared" si="42"/>
        <v>0</v>
      </c>
      <c r="AP38" s="429">
        <f t="shared" si="20"/>
        <v>1.0339219310174766E-2</v>
      </c>
      <c r="AQ38" s="429">
        <f t="shared" si="43"/>
        <v>1.0339219310174765E-2</v>
      </c>
      <c r="AR38" s="428">
        <f t="shared" si="21"/>
        <v>0</v>
      </c>
      <c r="AS38" s="428">
        <f t="shared" si="44"/>
        <v>0</v>
      </c>
      <c r="AT38" s="429">
        <f t="shared" si="22"/>
        <v>1.0339219310174765E-2</v>
      </c>
      <c r="AU38" s="429">
        <f t="shared" si="25"/>
        <v>1.0339219310174766E-2</v>
      </c>
      <c r="AV38" s="419">
        <f t="shared" si="23"/>
        <v>1.0339219310174765E-2</v>
      </c>
      <c r="AW38" s="92">
        <f t="shared" si="24"/>
        <v>31807.23309158441</v>
      </c>
      <c r="BB38" s="186">
        <f t="shared" si="26"/>
        <v>0</v>
      </c>
      <c r="BC38" s="186">
        <f t="shared" si="26"/>
        <v>1</v>
      </c>
      <c r="BE38" s="188">
        <f t="shared" si="27"/>
        <v>1</v>
      </c>
    </row>
    <row r="39" spans="2:57" x14ac:dyDescent="0.25">
      <c r="B39" s="57" t="str">
        <f t="shared" si="0"/>
        <v/>
      </c>
      <c r="C39" s="417" t="str">
        <f>IF('תנאי סף'!AO39&lt;&gt;1,"",'תנאי סף'!F39)</f>
        <v/>
      </c>
      <c r="D39" s="91" t="str">
        <f>IF($C39="","",IF(ייצוב!Y39="",$BA$1,ייצוב!Y39))</f>
        <v/>
      </c>
      <c r="E39" s="165"/>
      <c r="F39" s="91" t="str">
        <f>IF($C39="","",IF(ייצוב!G39="",$BA$1,ייצוב!G39))</f>
        <v/>
      </c>
      <c r="G39" s="426" t="str">
        <f>'סיכום לועדה- הזנת נתונים'!G39</f>
        <v/>
      </c>
      <c r="H39" s="267" t="str">
        <f t="shared" si="1"/>
        <v/>
      </c>
      <c r="I39" s="426" t="str">
        <f t="shared" si="2"/>
        <v/>
      </c>
      <c r="J39" s="427" t="str">
        <f t="shared" si="3"/>
        <v/>
      </c>
      <c r="K39" s="427" t="str">
        <f t="shared" si="4"/>
        <v/>
      </c>
      <c r="L39" s="428" t="str">
        <f t="shared" si="5"/>
        <v/>
      </c>
      <c r="M39" s="428" t="str">
        <f t="shared" si="28"/>
        <v/>
      </c>
      <c r="N39" s="429" t="str">
        <f t="shared" si="6"/>
        <v/>
      </c>
      <c r="O39" s="429" t="str">
        <f t="shared" si="29"/>
        <v/>
      </c>
      <c r="P39" s="428" t="str">
        <f t="shared" si="7"/>
        <v/>
      </c>
      <c r="Q39" s="428" t="str">
        <f t="shared" si="30"/>
        <v/>
      </c>
      <c r="R39" s="429" t="str">
        <f t="shared" si="8"/>
        <v/>
      </c>
      <c r="S39" s="429" t="str">
        <f t="shared" si="31"/>
        <v/>
      </c>
      <c r="T39" s="428" t="str">
        <f t="shared" si="9"/>
        <v/>
      </c>
      <c r="U39" s="428" t="str">
        <f t="shared" si="32"/>
        <v/>
      </c>
      <c r="V39" s="429" t="str">
        <f t="shared" si="10"/>
        <v/>
      </c>
      <c r="W39" s="429" t="str">
        <f t="shared" si="33"/>
        <v/>
      </c>
      <c r="X39" s="428" t="str">
        <f t="shared" si="11"/>
        <v/>
      </c>
      <c r="Y39" s="428" t="str">
        <f t="shared" si="34"/>
        <v/>
      </c>
      <c r="Z39" s="429" t="str">
        <f t="shared" si="12"/>
        <v/>
      </c>
      <c r="AA39" s="429" t="str">
        <f t="shared" si="35"/>
        <v/>
      </c>
      <c r="AB39" s="428" t="str">
        <f t="shared" si="13"/>
        <v/>
      </c>
      <c r="AC39" s="428" t="str">
        <f t="shared" si="36"/>
        <v/>
      </c>
      <c r="AD39" s="429" t="str">
        <f t="shared" si="14"/>
        <v/>
      </c>
      <c r="AE39" s="429" t="str">
        <f t="shared" si="37"/>
        <v/>
      </c>
      <c r="AF39" s="428" t="str">
        <f t="shared" si="15"/>
        <v/>
      </c>
      <c r="AG39" s="428" t="str">
        <f t="shared" si="38"/>
        <v/>
      </c>
      <c r="AH39" s="429" t="str">
        <f t="shared" si="16"/>
        <v/>
      </c>
      <c r="AI39" s="429" t="str">
        <f t="shared" si="39"/>
        <v/>
      </c>
      <c r="AJ39" s="428" t="str">
        <f t="shared" si="17"/>
        <v/>
      </c>
      <c r="AK39" s="428" t="str">
        <f t="shared" si="40"/>
        <v/>
      </c>
      <c r="AL39" s="429" t="str">
        <f t="shared" si="18"/>
        <v/>
      </c>
      <c r="AM39" s="429" t="str">
        <f t="shared" si="41"/>
        <v/>
      </c>
      <c r="AN39" s="428" t="str">
        <f t="shared" si="19"/>
        <v/>
      </c>
      <c r="AO39" s="428" t="str">
        <f t="shared" si="42"/>
        <v/>
      </c>
      <c r="AP39" s="429" t="str">
        <f t="shared" si="20"/>
        <v/>
      </c>
      <c r="AQ39" s="429" t="str">
        <f t="shared" si="43"/>
        <v/>
      </c>
      <c r="AR39" s="428" t="str">
        <f t="shared" si="21"/>
        <v/>
      </c>
      <c r="AS39" s="428" t="str">
        <f t="shared" si="44"/>
        <v/>
      </c>
      <c r="AT39" s="429" t="str">
        <f t="shared" si="22"/>
        <v/>
      </c>
      <c r="AU39" s="429" t="str">
        <f t="shared" si="25"/>
        <v/>
      </c>
      <c r="AV39" s="419" t="str">
        <f t="shared" si="23"/>
        <v/>
      </c>
      <c r="AW39" s="92" t="str">
        <f t="shared" si="24"/>
        <v/>
      </c>
      <c r="BB39" s="186" t="str">
        <f t="shared" si="26"/>
        <v/>
      </c>
      <c r="BC39" s="186" t="str">
        <f t="shared" si="26"/>
        <v/>
      </c>
      <c r="BE39" s="188">
        <f t="shared" si="27"/>
        <v>0</v>
      </c>
    </row>
    <row r="40" spans="2:57" x14ac:dyDescent="0.25">
      <c r="B40" s="57">
        <f t="shared" si="0"/>
        <v>10</v>
      </c>
      <c r="C40" s="417" t="str">
        <f>IF('תנאי סף'!AO40&lt;&gt;1,"",'תנאי סף'!F40)</f>
        <v>אנסמבל גלעד אפרת</v>
      </c>
      <c r="D40" s="91">
        <f>IF($C40="","",IF(ייצוב!Y40="",$BA$1,ייצוב!Y40))</f>
        <v>2.0836052644528293E-2</v>
      </c>
      <c r="E40" s="165"/>
      <c r="F40" s="91">
        <f>IF($C40="","",IF(ייצוב!G40="",$BA$1,ייצוב!G40))</f>
        <v>1.7566804651430734E-2</v>
      </c>
      <c r="G40" s="426">
        <f>'סיכום לועדה- הזנת נתונים'!G40</f>
        <v>1</v>
      </c>
      <c r="H40" s="267">
        <f t="shared" si="1"/>
        <v>0</v>
      </c>
      <c r="I40" s="426">
        <f t="shared" si="2"/>
        <v>0</v>
      </c>
      <c r="J40" s="427">
        <f t="shared" si="3"/>
        <v>2.0836052644528293E-2</v>
      </c>
      <c r="K40" s="427">
        <f t="shared" si="4"/>
        <v>2.0836052644528282E-2</v>
      </c>
      <c r="L40" s="428">
        <f t="shared" si="5"/>
        <v>0</v>
      </c>
      <c r="M40" s="428">
        <f t="shared" si="28"/>
        <v>0</v>
      </c>
      <c r="N40" s="429">
        <f t="shared" si="6"/>
        <v>2.0836052644528293E-2</v>
      </c>
      <c r="O40" s="429">
        <f t="shared" si="29"/>
        <v>2.0836052644528282E-2</v>
      </c>
      <c r="P40" s="428">
        <f t="shared" si="7"/>
        <v>0</v>
      </c>
      <c r="Q40" s="428">
        <f t="shared" si="30"/>
        <v>0</v>
      </c>
      <c r="R40" s="429">
        <f t="shared" si="8"/>
        <v>2.0836052644528293E-2</v>
      </c>
      <c r="S40" s="429">
        <f t="shared" si="31"/>
        <v>2.0836052644528282E-2</v>
      </c>
      <c r="T40" s="428">
        <f t="shared" si="9"/>
        <v>0</v>
      </c>
      <c r="U40" s="428">
        <f t="shared" si="32"/>
        <v>0</v>
      </c>
      <c r="V40" s="429">
        <f t="shared" si="10"/>
        <v>2.0836052644528282E-2</v>
      </c>
      <c r="W40" s="429">
        <f t="shared" si="33"/>
        <v>2.0836052644528286E-2</v>
      </c>
      <c r="X40" s="428">
        <f t="shared" si="11"/>
        <v>0</v>
      </c>
      <c r="Y40" s="428">
        <f t="shared" si="34"/>
        <v>0</v>
      </c>
      <c r="Z40" s="429">
        <f t="shared" si="12"/>
        <v>2.0836052644528286E-2</v>
      </c>
      <c r="AA40" s="429">
        <f t="shared" si="35"/>
        <v>2.0836052644528282E-2</v>
      </c>
      <c r="AB40" s="428">
        <f t="shared" si="13"/>
        <v>0</v>
      </c>
      <c r="AC40" s="428">
        <f t="shared" si="36"/>
        <v>0</v>
      </c>
      <c r="AD40" s="429">
        <f t="shared" si="14"/>
        <v>2.0836052644528282E-2</v>
      </c>
      <c r="AE40" s="429">
        <f t="shared" si="37"/>
        <v>2.0836052644528286E-2</v>
      </c>
      <c r="AF40" s="428">
        <f t="shared" si="15"/>
        <v>0</v>
      </c>
      <c r="AG40" s="428">
        <f t="shared" si="38"/>
        <v>0</v>
      </c>
      <c r="AH40" s="429">
        <f t="shared" si="16"/>
        <v>2.0836052644528286E-2</v>
      </c>
      <c r="AI40" s="429">
        <f t="shared" si="39"/>
        <v>2.0836052644528282E-2</v>
      </c>
      <c r="AJ40" s="428">
        <f t="shared" si="17"/>
        <v>0</v>
      </c>
      <c r="AK40" s="428">
        <f t="shared" si="40"/>
        <v>0</v>
      </c>
      <c r="AL40" s="429">
        <f t="shared" si="18"/>
        <v>2.0836052644528282E-2</v>
      </c>
      <c r="AM40" s="429">
        <f t="shared" si="41"/>
        <v>2.0836052644528286E-2</v>
      </c>
      <c r="AN40" s="428">
        <f t="shared" si="19"/>
        <v>0</v>
      </c>
      <c r="AO40" s="428">
        <f t="shared" si="42"/>
        <v>0</v>
      </c>
      <c r="AP40" s="429">
        <f t="shared" si="20"/>
        <v>2.0836052644528286E-2</v>
      </c>
      <c r="AQ40" s="429">
        <f t="shared" si="43"/>
        <v>2.0836052644528282E-2</v>
      </c>
      <c r="AR40" s="428">
        <f t="shared" si="21"/>
        <v>0</v>
      </c>
      <c r="AS40" s="428">
        <f t="shared" si="44"/>
        <v>0</v>
      </c>
      <c r="AT40" s="429">
        <f t="shared" si="22"/>
        <v>2.0836052644528282E-2</v>
      </c>
      <c r="AU40" s="429">
        <f t="shared" si="25"/>
        <v>2.0836052644528286E-2</v>
      </c>
      <c r="AV40" s="419">
        <f t="shared" si="23"/>
        <v>2.0836052644528282E-2</v>
      </c>
      <c r="AW40" s="92">
        <f t="shared" si="24"/>
        <v>64099.344765889538</v>
      </c>
      <c r="BB40" s="186">
        <f t="shared" si="26"/>
        <v>0</v>
      </c>
      <c r="BC40" s="186">
        <f t="shared" si="26"/>
        <v>1</v>
      </c>
      <c r="BE40" s="188">
        <f t="shared" si="27"/>
        <v>1</v>
      </c>
    </row>
    <row r="41" spans="2:57" x14ac:dyDescent="0.25">
      <c r="B41" s="57">
        <f t="shared" si="0"/>
        <v>11</v>
      </c>
      <c r="C41" s="417" t="str">
        <f>IF('תנאי סף'!AO41&lt;&gt;1,"",'תנאי סף'!F41)</f>
        <v>רביעיית כרמל</v>
      </c>
      <c r="D41" s="91">
        <f>IF($C41="","",IF(ייצוב!Y41="",$BA$1,ייצוב!Y41))</f>
        <v>4.2669511568340097E-2</v>
      </c>
      <c r="E41" s="165"/>
      <c r="F41" s="91">
        <f>IF($C41="","",IF(ייצוב!G41="",$BA$1,ייצוב!G41))</f>
        <v>3.9443671766342142E-2</v>
      </c>
      <c r="G41" s="426">
        <f>'סיכום לועדה- הזנת נתונים'!G41</f>
        <v>1</v>
      </c>
      <c r="H41" s="267">
        <f t="shared" si="1"/>
        <v>0</v>
      </c>
      <c r="I41" s="426">
        <f t="shared" si="2"/>
        <v>0</v>
      </c>
      <c r="J41" s="427">
        <f t="shared" si="3"/>
        <v>4.2669511568340097E-2</v>
      </c>
      <c r="K41" s="427">
        <f t="shared" si="4"/>
        <v>4.2669511568340077E-2</v>
      </c>
      <c r="L41" s="428">
        <f t="shared" si="5"/>
        <v>0</v>
      </c>
      <c r="M41" s="428">
        <f t="shared" si="28"/>
        <v>0</v>
      </c>
      <c r="N41" s="429">
        <f t="shared" si="6"/>
        <v>4.2669511568340097E-2</v>
      </c>
      <c r="O41" s="429">
        <f t="shared" si="29"/>
        <v>4.2669511568340077E-2</v>
      </c>
      <c r="P41" s="428">
        <f t="shared" si="7"/>
        <v>0</v>
      </c>
      <c r="Q41" s="428">
        <f t="shared" si="30"/>
        <v>0</v>
      </c>
      <c r="R41" s="429">
        <f t="shared" si="8"/>
        <v>4.2669511568340097E-2</v>
      </c>
      <c r="S41" s="429">
        <f t="shared" si="31"/>
        <v>4.2669511568340077E-2</v>
      </c>
      <c r="T41" s="428">
        <f t="shared" si="9"/>
        <v>0</v>
      </c>
      <c r="U41" s="428">
        <f t="shared" si="32"/>
        <v>0</v>
      </c>
      <c r="V41" s="429">
        <f t="shared" si="10"/>
        <v>4.2669511568340077E-2</v>
      </c>
      <c r="W41" s="429">
        <f t="shared" si="33"/>
        <v>4.2669511568340084E-2</v>
      </c>
      <c r="X41" s="428">
        <f t="shared" si="11"/>
        <v>0</v>
      </c>
      <c r="Y41" s="428">
        <f t="shared" si="34"/>
        <v>0</v>
      </c>
      <c r="Z41" s="429">
        <f t="shared" si="12"/>
        <v>4.2669511568340084E-2</v>
      </c>
      <c r="AA41" s="429">
        <f t="shared" si="35"/>
        <v>4.2669511568340077E-2</v>
      </c>
      <c r="AB41" s="428">
        <f t="shared" si="13"/>
        <v>0</v>
      </c>
      <c r="AC41" s="428">
        <f t="shared" si="36"/>
        <v>0</v>
      </c>
      <c r="AD41" s="429">
        <f t="shared" si="14"/>
        <v>4.2669511568340077E-2</v>
      </c>
      <c r="AE41" s="429">
        <f t="shared" si="37"/>
        <v>4.2669511568340084E-2</v>
      </c>
      <c r="AF41" s="428">
        <f t="shared" si="15"/>
        <v>0</v>
      </c>
      <c r="AG41" s="428">
        <f t="shared" si="38"/>
        <v>0</v>
      </c>
      <c r="AH41" s="429">
        <f t="shared" si="16"/>
        <v>4.2669511568340084E-2</v>
      </c>
      <c r="AI41" s="429">
        <f t="shared" si="39"/>
        <v>4.2669511568340077E-2</v>
      </c>
      <c r="AJ41" s="428">
        <f t="shared" si="17"/>
        <v>0</v>
      </c>
      <c r="AK41" s="428">
        <f t="shared" si="40"/>
        <v>0</v>
      </c>
      <c r="AL41" s="429">
        <f t="shared" si="18"/>
        <v>4.2669511568340077E-2</v>
      </c>
      <c r="AM41" s="429">
        <f t="shared" si="41"/>
        <v>4.2669511568340084E-2</v>
      </c>
      <c r="AN41" s="428">
        <f t="shared" si="19"/>
        <v>0</v>
      </c>
      <c r="AO41" s="428">
        <f t="shared" si="42"/>
        <v>0</v>
      </c>
      <c r="AP41" s="429">
        <f t="shared" si="20"/>
        <v>4.2669511568340084E-2</v>
      </c>
      <c r="AQ41" s="429">
        <f t="shared" si="43"/>
        <v>4.2669511568340077E-2</v>
      </c>
      <c r="AR41" s="428">
        <f t="shared" si="21"/>
        <v>0</v>
      </c>
      <c r="AS41" s="428">
        <f t="shared" si="44"/>
        <v>0</v>
      </c>
      <c r="AT41" s="429">
        <f t="shared" si="22"/>
        <v>4.2669511568340077E-2</v>
      </c>
      <c r="AU41" s="429">
        <f t="shared" si="25"/>
        <v>4.2669511568340084E-2</v>
      </c>
      <c r="AV41" s="419">
        <f t="shared" si="23"/>
        <v>4.2669511568340077E-2</v>
      </c>
      <c r="AW41" s="92">
        <f t="shared" si="24"/>
        <v>131267.07729495966</v>
      </c>
      <c r="BB41" s="186">
        <f t="shared" si="26"/>
        <v>0</v>
      </c>
      <c r="BC41" s="186">
        <f t="shared" si="26"/>
        <v>1</v>
      </c>
      <c r="BE41" s="188">
        <f t="shared" si="27"/>
        <v>1</v>
      </c>
    </row>
    <row r="42" spans="2:57" x14ac:dyDescent="0.25">
      <c r="B42" s="57">
        <f t="shared" si="0"/>
        <v>12</v>
      </c>
      <c r="C42" s="417" t="str">
        <f>IF('תנאי סף'!AO42&lt;&gt;1,"",'תנאי סף'!F42)</f>
        <v>שורולה</v>
      </c>
      <c r="D42" s="91">
        <f>IF($C42="","",IF(ייצוב!Y42="",$BA$1,ייצוב!Y42))</f>
        <v>1.2535476762081844E-2</v>
      </c>
      <c r="E42" s="165"/>
      <c r="F42" s="91">
        <f>IF($C42="","",IF(ייצוב!G42="",$BA$1,ייצוב!G42))</f>
        <v>1.1764860794495971E-2</v>
      </c>
      <c r="G42" s="426">
        <f>'סיכום לועדה- הזנת נתונים'!G42</f>
        <v>1</v>
      </c>
      <c r="H42" s="267">
        <f t="shared" si="1"/>
        <v>0</v>
      </c>
      <c r="I42" s="426">
        <f t="shared" si="2"/>
        <v>0</v>
      </c>
      <c r="J42" s="427">
        <f t="shared" si="3"/>
        <v>1.2535476762081844E-2</v>
      </c>
      <c r="K42" s="427">
        <f t="shared" si="4"/>
        <v>1.2535476762081839E-2</v>
      </c>
      <c r="L42" s="428">
        <f t="shared" si="5"/>
        <v>0</v>
      </c>
      <c r="M42" s="428">
        <f t="shared" si="28"/>
        <v>0</v>
      </c>
      <c r="N42" s="429">
        <f t="shared" si="6"/>
        <v>1.2535476762081844E-2</v>
      </c>
      <c r="O42" s="429">
        <f t="shared" si="29"/>
        <v>1.2535476762081839E-2</v>
      </c>
      <c r="P42" s="428">
        <f t="shared" si="7"/>
        <v>0</v>
      </c>
      <c r="Q42" s="428">
        <f t="shared" si="30"/>
        <v>0</v>
      </c>
      <c r="R42" s="429">
        <f t="shared" si="8"/>
        <v>1.2535476762081844E-2</v>
      </c>
      <c r="S42" s="429">
        <f t="shared" si="31"/>
        <v>1.2535476762081839E-2</v>
      </c>
      <c r="T42" s="428">
        <f t="shared" si="9"/>
        <v>0</v>
      </c>
      <c r="U42" s="428">
        <f t="shared" si="32"/>
        <v>0</v>
      </c>
      <c r="V42" s="429">
        <f t="shared" si="10"/>
        <v>1.2535476762081839E-2</v>
      </c>
      <c r="W42" s="429">
        <f t="shared" si="33"/>
        <v>1.2535476762081841E-2</v>
      </c>
      <c r="X42" s="428">
        <f t="shared" si="11"/>
        <v>0</v>
      </c>
      <c r="Y42" s="428">
        <f t="shared" si="34"/>
        <v>0</v>
      </c>
      <c r="Z42" s="429">
        <f t="shared" si="12"/>
        <v>1.2535476762081841E-2</v>
      </c>
      <c r="AA42" s="429">
        <f t="shared" si="35"/>
        <v>1.2535476762081837E-2</v>
      </c>
      <c r="AB42" s="428">
        <f t="shared" si="13"/>
        <v>0</v>
      </c>
      <c r="AC42" s="428">
        <f t="shared" si="36"/>
        <v>0</v>
      </c>
      <c r="AD42" s="429">
        <f t="shared" si="14"/>
        <v>1.2535476762081837E-2</v>
      </c>
      <c r="AE42" s="429">
        <f t="shared" si="37"/>
        <v>1.2535476762081841E-2</v>
      </c>
      <c r="AF42" s="428">
        <f t="shared" si="15"/>
        <v>0</v>
      </c>
      <c r="AG42" s="428">
        <f t="shared" si="38"/>
        <v>0</v>
      </c>
      <c r="AH42" s="429">
        <f t="shared" si="16"/>
        <v>1.2535476762081841E-2</v>
      </c>
      <c r="AI42" s="429">
        <f t="shared" si="39"/>
        <v>1.2535476762081837E-2</v>
      </c>
      <c r="AJ42" s="428">
        <f t="shared" si="17"/>
        <v>0</v>
      </c>
      <c r="AK42" s="428">
        <f t="shared" si="40"/>
        <v>0</v>
      </c>
      <c r="AL42" s="429">
        <f t="shared" si="18"/>
        <v>1.2535476762081837E-2</v>
      </c>
      <c r="AM42" s="429">
        <f t="shared" si="41"/>
        <v>1.2535476762081841E-2</v>
      </c>
      <c r="AN42" s="428">
        <f t="shared" si="19"/>
        <v>0</v>
      </c>
      <c r="AO42" s="428">
        <f t="shared" si="42"/>
        <v>0</v>
      </c>
      <c r="AP42" s="429">
        <f t="shared" si="20"/>
        <v>1.2535476762081841E-2</v>
      </c>
      <c r="AQ42" s="429">
        <f t="shared" si="43"/>
        <v>1.2535476762081837E-2</v>
      </c>
      <c r="AR42" s="428">
        <f t="shared" si="21"/>
        <v>0</v>
      </c>
      <c r="AS42" s="428">
        <f t="shared" si="44"/>
        <v>0</v>
      </c>
      <c r="AT42" s="429">
        <f t="shared" si="22"/>
        <v>1.2535476762081837E-2</v>
      </c>
      <c r="AU42" s="429">
        <f t="shared" si="25"/>
        <v>1.2535476762081841E-2</v>
      </c>
      <c r="AV42" s="419">
        <f t="shared" si="23"/>
        <v>1.2535476762081837E-2</v>
      </c>
      <c r="AW42" s="92">
        <f t="shared" si="24"/>
        <v>38563.727040135418</v>
      </c>
      <c r="BB42" s="186">
        <f t="shared" si="26"/>
        <v>0</v>
      </c>
      <c r="BC42" s="186">
        <f t="shared" si="26"/>
        <v>1</v>
      </c>
      <c r="BE42" s="188">
        <f t="shared" si="27"/>
        <v>1</v>
      </c>
    </row>
    <row r="43" spans="2:57" x14ac:dyDescent="0.25">
      <c r="B43" s="57" t="str">
        <f t="shared" si="0"/>
        <v/>
      </c>
      <c r="C43" s="417" t="str">
        <f>IF('תנאי סף'!AO43&lt;&gt;1,"",'תנאי סף'!F43)</f>
        <v/>
      </c>
      <c r="D43" s="91" t="str">
        <f>IF($C43="","",IF(ייצוב!Y43="",$BA$1,ייצוב!Y43))</f>
        <v/>
      </c>
      <c r="E43" s="165"/>
      <c r="F43" s="91" t="str">
        <f>IF($C43="","",IF(ייצוב!G43="",$BA$1,ייצוב!G43))</f>
        <v/>
      </c>
      <c r="G43" s="426" t="str">
        <f>'סיכום לועדה- הזנת נתונים'!G43</f>
        <v/>
      </c>
      <c r="H43" s="267" t="str">
        <f t="shared" si="1"/>
        <v/>
      </c>
      <c r="I43" s="426" t="str">
        <f t="shared" si="2"/>
        <v/>
      </c>
      <c r="J43" s="427" t="str">
        <f t="shared" si="3"/>
        <v/>
      </c>
      <c r="K43" s="427" t="str">
        <f t="shared" si="4"/>
        <v/>
      </c>
      <c r="L43" s="428" t="str">
        <f t="shared" si="5"/>
        <v/>
      </c>
      <c r="M43" s="428" t="str">
        <f t="shared" si="28"/>
        <v/>
      </c>
      <c r="N43" s="429" t="str">
        <f t="shared" si="6"/>
        <v/>
      </c>
      <c r="O43" s="429" t="str">
        <f t="shared" si="29"/>
        <v/>
      </c>
      <c r="P43" s="428" t="str">
        <f t="shared" si="7"/>
        <v/>
      </c>
      <c r="Q43" s="428" t="str">
        <f t="shared" si="30"/>
        <v/>
      </c>
      <c r="R43" s="429" t="str">
        <f t="shared" si="8"/>
        <v/>
      </c>
      <c r="S43" s="429" t="str">
        <f t="shared" si="31"/>
        <v/>
      </c>
      <c r="T43" s="428" t="str">
        <f t="shared" si="9"/>
        <v/>
      </c>
      <c r="U43" s="428" t="str">
        <f t="shared" si="32"/>
        <v/>
      </c>
      <c r="V43" s="429" t="str">
        <f t="shared" si="10"/>
        <v/>
      </c>
      <c r="W43" s="429" t="str">
        <f t="shared" si="33"/>
        <v/>
      </c>
      <c r="X43" s="428" t="str">
        <f t="shared" si="11"/>
        <v/>
      </c>
      <c r="Y43" s="428" t="str">
        <f t="shared" si="34"/>
        <v/>
      </c>
      <c r="Z43" s="429" t="str">
        <f t="shared" si="12"/>
        <v/>
      </c>
      <c r="AA43" s="429" t="str">
        <f t="shared" si="35"/>
        <v/>
      </c>
      <c r="AB43" s="428" t="str">
        <f t="shared" si="13"/>
        <v/>
      </c>
      <c r="AC43" s="428" t="str">
        <f t="shared" si="36"/>
        <v/>
      </c>
      <c r="AD43" s="429" t="str">
        <f t="shared" si="14"/>
        <v/>
      </c>
      <c r="AE43" s="429" t="str">
        <f t="shared" si="37"/>
        <v/>
      </c>
      <c r="AF43" s="428" t="str">
        <f t="shared" si="15"/>
        <v/>
      </c>
      <c r="AG43" s="428" t="str">
        <f t="shared" si="38"/>
        <v/>
      </c>
      <c r="AH43" s="429" t="str">
        <f t="shared" si="16"/>
        <v/>
      </c>
      <c r="AI43" s="429" t="str">
        <f t="shared" si="39"/>
        <v/>
      </c>
      <c r="AJ43" s="428" t="str">
        <f t="shared" si="17"/>
        <v/>
      </c>
      <c r="AK43" s="428" t="str">
        <f t="shared" si="40"/>
        <v/>
      </c>
      <c r="AL43" s="429" t="str">
        <f t="shared" si="18"/>
        <v/>
      </c>
      <c r="AM43" s="429" t="str">
        <f t="shared" si="41"/>
        <v/>
      </c>
      <c r="AN43" s="428" t="str">
        <f t="shared" si="19"/>
        <v/>
      </c>
      <c r="AO43" s="428" t="str">
        <f t="shared" si="42"/>
        <v/>
      </c>
      <c r="AP43" s="429" t="str">
        <f t="shared" si="20"/>
        <v/>
      </c>
      <c r="AQ43" s="429" t="str">
        <f t="shared" si="43"/>
        <v/>
      </c>
      <c r="AR43" s="428" t="str">
        <f t="shared" si="21"/>
        <v/>
      </c>
      <c r="AS43" s="428" t="str">
        <f t="shared" si="44"/>
        <v/>
      </c>
      <c r="AT43" s="429" t="str">
        <f t="shared" si="22"/>
        <v/>
      </c>
      <c r="AU43" s="429" t="str">
        <f t="shared" si="25"/>
        <v/>
      </c>
      <c r="AV43" s="419" t="str">
        <f t="shared" si="23"/>
        <v/>
      </c>
      <c r="AW43" s="92" t="str">
        <f t="shared" si="24"/>
        <v/>
      </c>
      <c r="BB43" s="186" t="str">
        <f t="shared" si="26"/>
        <v/>
      </c>
      <c r="BC43" s="186" t="str">
        <f t="shared" si="26"/>
        <v/>
      </c>
      <c r="BE43" s="188">
        <f t="shared" si="27"/>
        <v>0</v>
      </c>
    </row>
    <row r="44" spans="2:57" x14ac:dyDescent="0.25">
      <c r="B44" s="57" t="str">
        <f t="shared" si="0"/>
        <v/>
      </c>
      <c r="C44" s="417" t="str">
        <f>IF('תנאי סף'!AO44&lt;&gt;1,"",'תנאי סף'!F44)</f>
        <v/>
      </c>
      <c r="D44" s="91" t="str">
        <f>IF($C44="","",IF(ייצוב!Y44="",$BA$1,ייצוב!Y44))</f>
        <v/>
      </c>
      <c r="E44" s="165"/>
      <c r="F44" s="91" t="str">
        <f>IF($C44="","",IF(ייצוב!G44="",$BA$1,ייצוב!G44))</f>
        <v/>
      </c>
      <c r="G44" s="426" t="str">
        <f>'סיכום לועדה- הזנת נתונים'!G44</f>
        <v/>
      </c>
      <c r="H44" s="267" t="str">
        <f t="shared" si="1"/>
        <v/>
      </c>
      <c r="I44" s="426" t="str">
        <f t="shared" si="2"/>
        <v/>
      </c>
      <c r="J44" s="427" t="str">
        <f t="shared" si="3"/>
        <v/>
      </c>
      <c r="K44" s="427" t="str">
        <f t="shared" si="4"/>
        <v/>
      </c>
      <c r="L44" s="428" t="str">
        <f t="shared" si="5"/>
        <v/>
      </c>
      <c r="M44" s="428" t="str">
        <f t="shared" si="28"/>
        <v/>
      </c>
      <c r="N44" s="429" t="str">
        <f t="shared" si="6"/>
        <v/>
      </c>
      <c r="O44" s="429" t="str">
        <f t="shared" si="29"/>
        <v/>
      </c>
      <c r="P44" s="428" t="str">
        <f t="shared" si="7"/>
        <v/>
      </c>
      <c r="Q44" s="428" t="str">
        <f t="shared" si="30"/>
        <v/>
      </c>
      <c r="R44" s="429" t="str">
        <f t="shared" si="8"/>
        <v/>
      </c>
      <c r="S44" s="429" t="str">
        <f t="shared" si="31"/>
        <v/>
      </c>
      <c r="T44" s="428" t="str">
        <f t="shared" si="9"/>
        <v/>
      </c>
      <c r="U44" s="428" t="str">
        <f t="shared" si="32"/>
        <v/>
      </c>
      <c r="V44" s="429" t="str">
        <f t="shared" si="10"/>
        <v/>
      </c>
      <c r="W44" s="429" t="str">
        <f t="shared" si="33"/>
        <v/>
      </c>
      <c r="X44" s="428" t="str">
        <f t="shared" si="11"/>
        <v/>
      </c>
      <c r="Y44" s="428" t="str">
        <f t="shared" si="34"/>
        <v/>
      </c>
      <c r="Z44" s="429" t="str">
        <f t="shared" si="12"/>
        <v/>
      </c>
      <c r="AA44" s="429" t="str">
        <f t="shared" si="35"/>
        <v/>
      </c>
      <c r="AB44" s="428" t="str">
        <f t="shared" si="13"/>
        <v/>
      </c>
      <c r="AC44" s="428" t="str">
        <f t="shared" si="36"/>
        <v/>
      </c>
      <c r="AD44" s="429" t="str">
        <f t="shared" si="14"/>
        <v/>
      </c>
      <c r="AE44" s="429" t="str">
        <f t="shared" si="37"/>
        <v/>
      </c>
      <c r="AF44" s="428" t="str">
        <f t="shared" si="15"/>
        <v/>
      </c>
      <c r="AG44" s="428" t="str">
        <f t="shared" si="38"/>
        <v/>
      </c>
      <c r="AH44" s="429" t="str">
        <f t="shared" si="16"/>
        <v/>
      </c>
      <c r="AI44" s="429" t="str">
        <f t="shared" si="39"/>
        <v/>
      </c>
      <c r="AJ44" s="428" t="str">
        <f t="shared" si="17"/>
        <v/>
      </c>
      <c r="AK44" s="428" t="str">
        <f t="shared" si="40"/>
        <v/>
      </c>
      <c r="AL44" s="429" t="str">
        <f t="shared" si="18"/>
        <v/>
      </c>
      <c r="AM44" s="429" t="str">
        <f t="shared" si="41"/>
        <v/>
      </c>
      <c r="AN44" s="428" t="str">
        <f t="shared" si="19"/>
        <v/>
      </c>
      <c r="AO44" s="428" t="str">
        <f t="shared" si="42"/>
        <v/>
      </c>
      <c r="AP44" s="429" t="str">
        <f t="shared" si="20"/>
        <v/>
      </c>
      <c r="AQ44" s="429" t="str">
        <f t="shared" si="43"/>
        <v/>
      </c>
      <c r="AR44" s="428" t="str">
        <f t="shared" si="21"/>
        <v/>
      </c>
      <c r="AS44" s="428" t="str">
        <f t="shared" si="44"/>
        <v/>
      </c>
      <c r="AT44" s="429" t="str">
        <f t="shared" si="22"/>
        <v/>
      </c>
      <c r="AU44" s="429" t="str">
        <f t="shared" si="25"/>
        <v/>
      </c>
      <c r="AV44" s="419" t="str">
        <f t="shared" si="23"/>
        <v/>
      </c>
      <c r="AW44" s="92" t="str">
        <f t="shared" si="24"/>
        <v/>
      </c>
      <c r="BB44" s="186" t="str">
        <f t="shared" si="26"/>
        <v/>
      </c>
      <c r="BC44" s="186" t="str">
        <f t="shared" si="26"/>
        <v/>
      </c>
      <c r="BE44" s="188">
        <f t="shared" si="27"/>
        <v>0</v>
      </c>
    </row>
    <row r="45" spans="2:57" x14ac:dyDescent="0.25">
      <c r="B45" s="57" t="str">
        <f t="shared" si="0"/>
        <v/>
      </c>
      <c r="C45" s="417" t="str">
        <f>IF('תנאי סף'!AO45&lt;&gt;1,"",'תנאי סף'!F45)</f>
        <v/>
      </c>
      <c r="D45" s="91" t="str">
        <f>IF($C45="","",IF(ייצוב!Y45="",$BA$1,ייצוב!Y45))</f>
        <v/>
      </c>
      <c r="E45" s="165"/>
      <c r="F45" s="91" t="str">
        <f>IF($C45="","",IF(ייצוב!G45="",$BA$1,ייצוב!G45))</f>
        <v/>
      </c>
      <c r="G45" s="426" t="str">
        <f>'סיכום לועדה- הזנת נתונים'!G45</f>
        <v/>
      </c>
      <c r="H45" s="267" t="str">
        <f t="shared" si="1"/>
        <v/>
      </c>
      <c r="I45" s="426" t="str">
        <f t="shared" si="2"/>
        <v/>
      </c>
      <c r="J45" s="427" t="str">
        <f t="shared" si="3"/>
        <v/>
      </c>
      <c r="K45" s="427" t="str">
        <f t="shared" si="4"/>
        <v/>
      </c>
      <c r="L45" s="428" t="str">
        <f t="shared" si="5"/>
        <v/>
      </c>
      <c r="M45" s="428" t="str">
        <f t="shared" si="28"/>
        <v/>
      </c>
      <c r="N45" s="429" t="str">
        <f t="shared" si="6"/>
        <v/>
      </c>
      <c r="O45" s="429" t="str">
        <f t="shared" si="29"/>
        <v/>
      </c>
      <c r="P45" s="428" t="str">
        <f t="shared" si="7"/>
        <v/>
      </c>
      <c r="Q45" s="428" t="str">
        <f t="shared" si="30"/>
        <v/>
      </c>
      <c r="R45" s="429" t="str">
        <f t="shared" si="8"/>
        <v/>
      </c>
      <c r="S45" s="429" t="str">
        <f t="shared" si="31"/>
        <v/>
      </c>
      <c r="T45" s="428" t="str">
        <f t="shared" si="9"/>
        <v/>
      </c>
      <c r="U45" s="428" t="str">
        <f t="shared" si="32"/>
        <v/>
      </c>
      <c r="V45" s="429" t="str">
        <f t="shared" si="10"/>
        <v/>
      </c>
      <c r="W45" s="429" t="str">
        <f t="shared" si="33"/>
        <v/>
      </c>
      <c r="X45" s="428" t="str">
        <f t="shared" si="11"/>
        <v/>
      </c>
      <c r="Y45" s="428" t="str">
        <f t="shared" si="34"/>
        <v/>
      </c>
      <c r="Z45" s="429" t="str">
        <f t="shared" si="12"/>
        <v/>
      </c>
      <c r="AA45" s="429" t="str">
        <f t="shared" si="35"/>
        <v/>
      </c>
      <c r="AB45" s="428" t="str">
        <f t="shared" si="13"/>
        <v/>
      </c>
      <c r="AC45" s="428" t="str">
        <f t="shared" si="36"/>
        <v/>
      </c>
      <c r="AD45" s="429" t="str">
        <f t="shared" si="14"/>
        <v/>
      </c>
      <c r="AE45" s="429" t="str">
        <f t="shared" si="37"/>
        <v/>
      </c>
      <c r="AF45" s="428" t="str">
        <f t="shared" si="15"/>
        <v/>
      </c>
      <c r="AG45" s="428" t="str">
        <f t="shared" si="38"/>
        <v/>
      </c>
      <c r="AH45" s="429" t="str">
        <f t="shared" si="16"/>
        <v/>
      </c>
      <c r="AI45" s="429" t="str">
        <f t="shared" si="39"/>
        <v/>
      </c>
      <c r="AJ45" s="428" t="str">
        <f t="shared" si="17"/>
        <v/>
      </c>
      <c r="AK45" s="428" t="str">
        <f t="shared" si="40"/>
        <v/>
      </c>
      <c r="AL45" s="429" t="str">
        <f t="shared" si="18"/>
        <v/>
      </c>
      <c r="AM45" s="429" t="str">
        <f t="shared" si="41"/>
        <v/>
      </c>
      <c r="AN45" s="428" t="str">
        <f t="shared" si="19"/>
        <v/>
      </c>
      <c r="AO45" s="428" t="str">
        <f t="shared" si="42"/>
        <v/>
      </c>
      <c r="AP45" s="429" t="str">
        <f t="shared" si="20"/>
        <v/>
      </c>
      <c r="AQ45" s="429" t="str">
        <f t="shared" si="43"/>
        <v/>
      </c>
      <c r="AR45" s="428" t="str">
        <f t="shared" si="21"/>
        <v/>
      </c>
      <c r="AS45" s="428" t="str">
        <f t="shared" si="44"/>
        <v/>
      </c>
      <c r="AT45" s="429" t="str">
        <f t="shared" si="22"/>
        <v/>
      </c>
      <c r="AU45" s="429" t="str">
        <f t="shared" si="25"/>
        <v/>
      </c>
      <c r="AV45" s="419" t="str">
        <f t="shared" si="23"/>
        <v/>
      </c>
      <c r="AW45" s="92" t="str">
        <f t="shared" si="24"/>
        <v/>
      </c>
      <c r="BB45" s="186" t="str">
        <f t="shared" si="26"/>
        <v/>
      </c>
      <c r="BC45" s="186" t="str">
        <f t="shared" si="26"/>
        <v/>
      </c>
      <c r="BE45" s="188">
        <f t="shared" si="27"/>
        <v>0</v>
      </c>
    </row>
    <row r="46" spans="2:57" x14ac:dyDescent="0.25">
      <c r="B46" s="57" t="str">
        <f t="shared" si="0"/>
        <v/>
      </c>
      <c r="C46" s="417" t="str">
        <f>IF('תנאי סף'!AO46&lt;&gt;1,"",'תנאי סף'!F46)</f>
        <v/>
      </c>
      <c r="D46" s="91" t="str">
        <f>IF($C46="","",IF(ייצוב!Y46="",$BA$1,ייצוב!Y46))</f>
        <v/>
      </c>
      <c r="E46" s="165"/>
      <c r="F46" s="91" t="str">
        <f>IF($C46="","",IF(ייצוב!G46="",$BA$1,ייצוב!G46))</f>
        <v/>
      </c>
      <c r="G46" s="426" t="str">
        <f>'סיכום לועדה- הזנת נתונים'!G46</f>
        <v/>
      </c>
      <c r="H46" s="267" t="str">
        <f t="shared" si="1"/>
        <v/>
      </c>
      <c r="I46" s="426" t="str">
        <f t="shared" si="2"/>
        <v/>
      </c>
      <c r="J46" s="427" t="str">
        <f t="shared" si="3"/>
        <v/>
      </c>
      <c r="K46" s="427" t="str">
        <f t="shared" si="4"/>
        <v/>
      </c>
      <c r="L46" s="428" t="str">
        <f t="shared" si="5"/>
        <v/>
      </c>
      <c r="M46" s="428" t="str">
        <f t="shared" si="28"/>
        <v/>
      </c>
      <c r="N46" s="429" t="str">
        <f t="shared" si="6"/>
        <v/>
      </c>
      <c r="O46" s="429" t="str">
        <f t="shared" si="29"/>
        <v/>
      </c>
      <c r="P46" s="428" t="str">
        <f t="shared" si="7"/>
        <v/>
      </c>
      <c r="Q46" s="428" t="str">
        <f t="shared" si="30"/>
        <v/>
      </c>
      <c r="R46" s="429" t="str">
        <f t="shared" si="8"/>
        <v/>
      </c>
      <c r="S46" s="429" t="str">
        <f t="shared" si="31"/>
        <v/>
      </c>
      <c r="T46" s="428" t="str">
        <f t="shared" si="9"/>
        <v/>
      </c>
      <c r="U46" s="428" t="str">
        <f t="shared" si="32"/>
        <v/>
      </c>
      <c r="V46" s="429" t="str">
        <f t="shared" si="10"/>
        <v/>
      </c>
      <c r="W46" s="429" t="str">
        <f t="shared" si="33"/>
        <v/>
      </c>
      <c r="X46" s="428" t="str">
        <f t="shared" si="11"/>
        <v/>
      </c>
      <c r="Y46" s="428" t="str">
        <f t="shared" si="34"/>
        <v/>
      </c>
      <c r="Z46" s="429" t="str">
        <f t="shared" si="12"/>
        <v/>
      </c>
      <c r="AA46" s="429" t="str">
        <f t="shared" si="35"/>
        <v/>
      </c>
      <c r="AB46" s="428" t="str">
        <f t="shared" si="13"/>
        <v/>
      </c>
      <c r="AC46" s="428" t="str">
        <f t="shared" si="36"/>
        <v/>
      </c>
      <c r="AD46" s="429" t="str">
        <f t="shared" si="14"/>
        <v/>
      </c>
      <c r="AE46" s="429" t="str">
        <f t="shared" si="37"/>
        <v/>
      </c>
      <c r="AF46" s="428" t="str">
        <f t="shared" si="15"/>
        <v/>
      </c>
      <c r="AG46" s="428" t="str">
        <f t="shared" si="38"/>
        <v/>
      </c>
      <c r="AH46" s="429" t="str">
        <f t="shared" si="16"/>
        <v/>
      </c>
      <c r="AI46" s="429" t="str">
        <f t="shared" si="39"/>
        <v/>
      </c>
      <c r="AJ46" s="428" t="str">
        <f t="shared" si="17"/>
        <v/>
      </c>
      <c r="AK46" s="428" t="str">
        <f t="shared" si="40"/>
        <v/>
      </c>
      <c r="AL46" s="429" t="str">
        <f t="shared" si="18"/>
        <v/>
      </c>
      <c r="AM46" s="429" t="str">
        <f t="shared" si="41"/>
        <v/>
      </c>
      <c r="AN46" s="428" t="str">
        <f t="shared" si="19"/>
        <v/>
      </c>
      <c r="AO46" s="428" t="str">
        <f t="shared" si="42"/>
        <v/>
      </c>
      <c r="AP46" s="429" t="str">
        <f t="shared" si="20"/>
        <v/>
      </c>
      <c r="AQ46" s="429" t="str">
        <f t="shared" si="43"/>
        <v/>
      </c>
      <c r="AR46" s="428" t="str">
        <f t="shared" si="21"/>
        <v/>
      </c>
      <c r="AS46" s="428" t="str">
        <f t="shared" si="44"/>
        <v/>
      </c>
      <c r="AT46" s="429" t="str">
        <f t="shared" si="22"/>
        <v/>
      </c>
      <c r="AU46" s="429" t="str">
        <f t="shared" si="25"/>
        <v/>
      </c>
      <c r="AV46" s="419" t="str">
        <f t="shared" si="23"/>
        <v/>
      </c>
      <c r="AW46" s="92" t="str">
        <f t="shared" si="24"/>
        <v/>
      </c>
      <c r="BB46" s="186" t="str">
        <f t="shared" si="26"/>
        <v/>
      </c>
      <c r="BC46" s="186" t="str">
        <f t="shared" si="26"/>
        <v/>
      </c>
      <c r="BE46" s="188">
        <f t="shared" si="27"/>
        <v>0</v>
      </c>
    </row>
    <row r="47" spans="2:57" x14ac:dyDescent="0.25">
      <c r="B47" s="57">
        <f t="shared" si="0"/>
        <v>17</v>
      </c>
      <c r="C47" s="417" t="str">
        <f>IF('תנאי סף'!AO47&lt;&gt;1,"",'תנאי סף'!F47)</f>
        <v>הרכב עמית פרידמן</v>
      </c>
      <c r="D47" s="91">
        <f>IF($C47="","",IF(ייצוב!Y47="",$BA$1,ייצוב!Y47))</f>
        <v>2.4670223090117144E-2</v>
      </c>
      <c r="E47" s="165"/>
      <c r="F47" s="91">
        <f>IF($C47="","",IF(ייצוב!G47="",$BA$1,ייצוב!G47))</f>
        <v>2.1397239756071468E-2</v>
      </c>
      <c r="G47" s="426">
        <f>'סיכום לועדה- הזנת נתונים'!G47</f>
        <v>1</v>
      </c>
      <c r="H47" s="267">
        <f t="shared" si="1"/>
        <v>0</v>
      </c>
      <c r="I47" s="426">
        <f t="shared" si="2"/>
        <v>0</v>
      </c>
      <c r="J47" s="427">
        <f t="shared" si="3"/>
        <v>2.4670223090117144E-2</v>
      </c>
      <c r="K47" s="427">
        <f t="shared" si="4"/>
        <v>2.4670223090117134E-2</v>
      </c>
      <c r="L47" s="428">
        <f t="shared" si="5"/>
        <v>0</v>
      </c>
      <c r="M47" s="428">
        <f t="shared" si="28"/>
        <v>0</v>
      </c>
      <c r="N47" s="429">
        <f t="shared" si="6"/>
        <v>2.4670223090117144E-2</v>
      </c>
      <c r="O47" s="429">
        <f t="shared" si="29"/>
        <v>2.4670223090117134E-2</v>
      </c>
      <c r="P47" s="428">
        <f t="shared" si="7"/>
        <v>0</v>
      </c>
      <c r="Q47" s="428">
        <f t="shared" si="30"/>
        <v>0</v>
      </c>
      <c r="R47" s="429">
        <f t="shared" si="8"/>
        <v>2.4670223090117144E-2</v>
      </c>
      <c r="S47" s="429">
        <f t="shared" si="31"/>
        <v>2.4670223090117134E-2</v>
      </c>
      <c r="T47" s="428">
        <f t="shared" si="9"/>
        <v>0</v>
      </c>
      <c r="U47" s="428">
        <f t="shared" si="32"/>
        <v>0</v>
      </c>
      <c r="V47" s="429">
        <f t="shared" si="10"/>
        <v>2.4670223090117134E-2</v>
      </c>
      <c r="W47" s="429">
        <f t="shared" si="33"/>
        <v>2.4670223090117138E-2</v>
      </c>
      <c r="X47" s="428">
        <f t="shared" si="11"/>
        <v>0</v>
      </c>
      <c r="Y47" s="428">
        <f t="shared" si="34"/>
        <v>0</v>
      </c>
      <c r="Z47" s="429">
        <f t="shared" si="12"/>
        <v>2.4670223090117138E-2</v>
      </c>
      <c r="AA47" s="429">
        <f t="shared" si="35"/>
        <v>2.4670223090117131E-2</v>
      </c>
      <c r="AB47" s="428">
        <f t="shared" si="13"/>
        <v>0</v>
      </c>
      <c r="AC47" s="428">
        <f t="shared" si="36"/>
        <v>0</v>
      </c>
      <c r="AD47" s="429">
        <f t="shared" si="14"/>
        <v>2.4670223090117131E-2</v>
      </c>
      <c r="AE47" s="429">
        <f t="shared" si="37"/>
        <v>2.4670223090117138E-2</v>
      </c>
      <c r="AF47" s="428">
        <f t="shared" si="15"/>
        <v>0</v>
      </c>
      <c r="AG47" s="428">
        <f t="shared" si="38"/>
        <v>0</v>
      </c>
      <c r="AH47" s="429">
        <f t="shared" si="16"/>
        <v>2.4670223090117138E-2</v>
      </c>
      <c r="AI47" s="429">
        <f t="shared" si="39"/>
        <v>2.4670223090117131E-2</v>
      </c>
      <c r="AJ47" s="428">
        <f t="shared" si="17"/>
        <v>0</v>
      </c>
      <c r="AK47" s="428">
        <f t="shared" si="40"/>
        <v>0</v>
      </c>
      <c r="AL47" s="429">
        <f t="shared" si="18"/>
        <v>2.4670223090117131E-2</v>
      </c>
      <c r="AM47" s="429">
        <f t="shared" si="41"/>
        <v>2.4670223090117138E-2</v>
      </c>
      <c r="AN47" s="428">
        <f t="shared" si="19"/>
        <v>0</v>
      </c>
      <c r="AO47" s="428">
        <f t="shared" si="42"/>
        <v>0</v>
      </c>
      <c r="AP47" s="429">
        <f t="shared" si="20"/>
        <v>2.4670223090117138E-2</v>
      </c>
      <c r="AQ47" s="429">
        <f t="shared" si="43"/>
        <v>2.4670223090117131E-2</v>
      </c>
      <c r="AR47" s="428">
        <f t="shared" si="21"/>
        <v>0</v>
      </c>
      <c r="AS47" s="428">
        <f t="shared" si="44"/>
        <v>0</v>
      </c>
      <c r="AT47" s="429">
        <f t="shared" si="22"/>
        <v>2.4670223090117131E-2</v>
      </c>
      <c r="AU47" s="429">
        <f t="shared" si="25"/>
        <v>2.4670223090117138E-2</v>
      </c>
      <c r="AV47" s="419">
        <f t="shared" si="23"/>
        <v>2.4670223090117131E-2</v>
      </c>
      <c r="AW47" s="92">
        <f t="shared" si="24"/>
        <v>75894.660197074365</v>
      </c>
      <c r="BB47" s="186">
        <f t="shared" si="26"/>
        <v>0</v>
      </c>
      <c r="BC47" s="186">
        <f t="shared" si="26"/>
        <v>1</v>
      </c>
      <c r="BE47" s="188">
        <f t="shared" si="27"/>
        <v>1</v>
      </c>
    </row>
    <row r="48" spans="2:57" x14ac:dyDescent="0.25">
      <c r="B48" s="57" t="str">
        <f t="shared" si="0"/>
        <v/>
      </c>
      <c r="C48" s="417" t="str">
        <f>IF('תנאי סף'!AO48&lt;&gt;1,"",'תנאי סף'!F48)</f>
        <v/>
      </c>
      <c r="D48" s="91" t="str">
        <f>IF($C48="","",IF(ייצוב!Y48="",$BA$1,ייצוב!Y48))</f>
        <v/>
      </c>
      <c r="E48" s="165"/>
      <c r="F48" s="91" t="str">
        <f>IF($C48="","",IF(ייצוב!G48="",$BA$1,ייצוב!G48))</f>
        <v/>
      </c>
      <c r="G48" s="426" t="str">
        <f>'סיכום לועדה- הזנת נתונים'!G48</f>
        <v/>
      </c>
      <c r="H48" s="267" t="str">
        <f t="shared" si="1"/>
        <v/>
      </c>
      <c r="I48" s="426" t="str">
        <f t="shared" si="2"/>
        <v/>
      </c>
      <c r="J48" s="427" t="str">
        <f t="shared" si="3"/>
        <v/>
      </c>
      <c r="K48" s="427" t="str">
        <f t="shared" si="4"/>
        <v/>
      </c>
      <c r="L48" s="428" t="str">
        <f t="shared" si="5"/>
        <v/>
      </c>
      <c r="M48" s="428" t="str">
        <f t="shared" si="28"/>
        <v/>
      </c>
      <c r="N48" s="429" t="str">
        <f t="shared" si="6"/>
        <v/>
      </c>
      <c r="O48" s="429" t="str">
        <f t="shared" si="29"/>
        <v/>
      </c>
      <c r="P48" s="428" t="str">
        <f t="shared" si="7"/>
        <v/>
      </c>
      <c r="Q48" s="428" t="str">
        <f t="shared" si="30"/>
        <v/>
      </c>
      <c r="R48" s="429" t="str">
        <f t="shared" si="8"/>
        <v/>
      </c>
      <c r="S48" s="429" t="str">
        <f t="shared" si="31"/>
        <v/>
      </c>
      <c r="T48" s="428" t="str">
        <f t="shared" si="9"/>
        <v/>
      </c>
      <c r="U48" s="428" t="str">
        <f t="shared" si="32"/>
        <v/>
      </c>
      <c r="V48" s="429" t="str">
        <f t="shared" si="10"/>
        <v/>
      </c>
      <c r="W48" s="429" t="str">
        <f t="shared" si="33"/>
        <v/>
      </c>
      <c r="X48" s="428" t="str">
        <f t="shared" si="11"/>
        <v/>
      </c>
      <c r="Y48" s="428" t="str">
        <f t="shared" si="34"/>
        <v/>
      </c>
      <c r="Z48" s="429" t="str">
        <f t="shared" si="12"/>
        <v/>
      </c>
      <c r="AA48" s="429" t="str">
        <f t="shared" si="35"/>
        <v/>
      </c>
      <c r="AB48" s="428" t="str">
        <f t="shared" si="13"/>
        <v/>
      </c>
      <c r="AC48" s="428" t="str">
        <f t="shared" si="36"/>
        <v/>
      </c>
      <c r="AD48" s="429" t="str">
        <f t="shared" si="14"/>
        <v/>
      </c>
      <c r="AE48" s="429" t="str">
        <f t="shared" si="37"/>
        <v/>
      </c>
      <c r="AF48" s="428" t="str">
        <f t="shared" si="15"/>
        <v/>
      </c>
      <c r="AG48" s="428" t="str">
        <f t="shared" si="38"/>
        <v/>
      </c>
      <c r="AH48" s="429" t="str">
        <f t="shared" si="16"/>
        <v/>
      </c>
      <c r="AI48" s="429" t="str">
        <f t="shared" si="39"/>
        <v/>
      </c>
      <c r="AJ48" s="428" t="str">
        <f t="shared" si="17"/>
        <v/>
      </c>
      <c r="AK48" s="428" t="str">
        <f t="shared" si="40"/>
        <v/>
      </c>
      <c r="AL48" s="429" t="str">
        <f t="shared" si="18"/>
        <v/>
      </c>
      <c r="AM48" s="429" t="str">
        <f t="shared" si="41"/>
        <v/>
      </c>
      <c r="AN48" s="428" t="str">
        <f t="shared" si="19"/>
        <v/>
      </c>
      <c r="AO48" s="428" t="str">
        <f t="shared" si="42"/>
        <v/>
      </c>
      <c r="AP48" s="429" t="str">
        <f t="shared" si="20"/>
        <v/>
      </c>
      <c r="AQ48" s="429" t="str">
        <f t="shared" si="43"/>
        <v/>
      </c>
      <c r="AR48" s="428" t="str">
        <f t="shared" si="21"/>
        <v/>
      </c>
      <c r="AS48" s="428" t="str">
        <f t="shared" si="44"/>
        <v/>
      </c>
      <c r="AT48" s="429" t="str">
        <f t="shared" si="22"/>
        <v/>
      </c>
      <c r="AU48" s="429" t="str">
        <f t="shared" si="25"/>
        <v/>
      </c>
      <c r="AV48" s="419" t="str">
        <f t="shared" si="23"/>
        <v/>
      </c>
      <c r="AW48" s="92" t="str">
        <f t="shared" si="24"/>
        <v/>
      </c>
      <c r="BB48" s="186" t="str">
        <f t="shared" si="26"/>
        <v/>
      </c>
      <c r="BC48" s="186" t="str">
        <f t="shared" si="26"/>
        <v/>
      </c>
      <c r="BE48" s="188">
        <f t="shared" si="27"/>
        <v>0</v>
      </c>
    </row>
    <row r="49" spans="2:57" x14ac:dyDescent="0.25">
      <c r="B49" s="57" t="str">
        <f t="shared" si="0"/>
        <v/>
      </c>
      <c r="C49" s="417" t="str">
        <f>IF('תנאי סף'!AO49&lt;&gt;1,"",'תנאי סף'!F49)</f>
        <v/>
      </c>
      <c r="D49" s="91" t="str">
        <f>IF($C49="","",IF(ייצוב!Y49="",$BA$1,ייצוב!Y49))</f>
        <v/>
      </c>
      <c r="E49" s="165"/>
      <c r="F49" s="91" t="str">
        <f>IF($C49="","",IF(ייצוב!G49="",$BA$1,ייצוב!G49))</f>
        <v/>
      </c>
      <c r="G49" s="426" t="str">
        <f>'סיכום לועדה- הזנת נתונים'!G49</f>
        <v/>
      </c>
      <c r="H49" s="267" t="str">
        <f t="shared" si="1"/>
        <v/>
      </c>
      <c r="I49" s="426" t="str">
        <f t="shared" si="2"/>
        <v/>
      </c>
      <c r="J49" s="427" t="str">
        <f t="shared" si="3"/>
        <v/>
      </c>
      <c r="K49" s="427" t="str">
        <f t="shared" si="4"/>
        <v/>
      </c>
      <c r="L49" s="428" t="str">
        <f t="shared" si="5"/>
        <v/>
      </c>
      <c r="M49" s="428" t="str">
        <f t="shared" si="28"/>
        <v/>
      </c>
      <c r="N49" s="429" t="str">
        <f t="shared" si="6"/>
        <v/>
      </c>
      <c r="O49" s="429" t="str">
        <f t="shared" si="29"/>
        <v/>
      </c>
      <c r="P49" s="428" t="str">
        <f t="shared" si="7"/>
        <v/>
      </c>
      <c r="Q49" s="428" t="str">
        <f t="shared" si="30"/>
        <v/>
      </c>
      <c r="R49" s="429" t="str">
        <f t="shared" si="8"/>
        <v/>
      </c>
      <c r="S49" s="429" t="str">
        <f t="shared" si="31"/>
        <v/>
      </c>
      <c r="T49" s="428" t="str">
        <f t="shared" si="9"/>
        <v/>
      </c>
      <c r="U49" s="428" t="str">
        <f t="shared" si="32"/>
        <v/>
      </c>
      <c r="V49" s="429" t="str">
        <f t="shared" si="10"/>
        <v/>
      </c>
      <c r="W49" s="429" t="str">
        <f t="shared" si="33"/>
        <v/>
      </c>
      <c r="X49" s="428" t="str">
        <f t="shared" si="11"/>
        <v/>
      </c>
      <c r="Y49" s="428" t="str">
        <f t="shared" si="34"/>
        <v/>
      </c>
      <c r="Z49" s="429" t="str">
        <f t="shared" si="12"/>
        <v/>
      </c>
      <c r="AA49" s="429" t="str">
        <f t="shared" si="35"/>
        <v/>
      </c>
      <c r="AB49" s="428" t="str">
        <f t="shared" si="13"/>
        <v/>
      </c>
      <c r="AC49" s="428" t="str">
        <f t="shared" si="36"/>
        <v/>
      </c>
      <c r="AD49" s="429" t="str">
        <f t="shared" si="14"/>
        <v/>
      </c>
      <c r="AE49" s="429" t="str">
        <f t="shared" si="37"/>
        <v/>
      </c>
      <c r="AF49" s="428" t="str">
        <f t="shared" si="15"/>
        <v/>
      </c>
      <c r="AG49" s="428" t="str">
        <f t="shared" si="38"/>
        <v/>
      </c>
      <c r="AH49" s="429" t="str">
        <f t="shared" si="16"/>
        <v/>
      </c>
      <c r="AI49" s="429" t="str">
        <f t="shared" si="39"/>
        <v/>
      </c>
      <c r="AJ49" s="428" t="str">
        <f t="shared" si="17"/>
        <v/>
      </c>
      <c r="AK49" s="428" t="str">
        <f t="shared" si="40"/>
        <v/>
      </c>
      <c r="AL49" s="429" t="str">
        <f t="shared" si="18"/>
        <v/>
      </c>
      <c r="AM49" s="429" t="str">
        <f t="shared" si="41"/>
        <v/>
      </c>
      <c r="AN49" s="428" t="str">
        <f t="shared" si="19"/>
        <v/>
      </c>
      <c r="AO49" s="428" t="str">
        <f t="shared" si="42"/>
        <v/>
      </c>
      <c r="AP49" s="429" t="str">
        <f t="shared" si="20"/>
        <v/>
      </c>
      <c r="AQ49" s="429" t="str">
        <f t="shared" si="43"/>
        <v/>
      </c>
      <c r="AR49" s="428" t="str">
        <f t="shared" si="21"/>
        <v/>
      </c>
      <c r="AS49" s="428" t="str">
        <f t="shared" si="44"/>
        <v/>
      </c>
      <c r="AT49" s="429" t="str">
        <f t="shared" si="22"/>
        <v/>
      </c>
      <c r="AU49" s="429" t="str">
        <f t="shared" si="25"/>
        <v/>
      </c>
      <c r="AV49" s="419" t="str">
        <f t="shared" si="23"/>
        <v/>
      </c>
      <c r="AW49" s="92" t="str">
        <f t="shared" si="24"/>
        <v/>
      </c>
      <c r="BB49" s="186" t="str">
        <f t="shared" si="26"/>
        <v/>
      </c>
      <c r="BC49" s="186" t="str">
        <f t="shared" si="26"/>
        <v/>
      </c>
      <c r="BE49" s="188">
        <f t="shared" si="27"/>
        <v>0</v>
      </c>
    </row>
    <row r="50" spans="2:57" x14ac:dyDescent="0.25">
      <c r="B50" s="57" t="str">
        <f t="shared" si="0"/>
        <v/>
      </c>
      <c r="C50" s="417" t="str">
        <f>IF('תנאי סף'!AO50&lt;&gt;1,"",'תנאי סף'!F50)</f>
        <v/>
      </c>
      <c r="D50" s="91" t="str">
        <f>IF($C50="","",IF(ייצוב!Y50="",$BA$1,ייצוב!Y50))</f>
        <v/>
      </c>
      <c r="E50" s="165"/>
      <c r="F50" s="91" t="str">
        <f>IF($C50="","",IF(ייצוב!G50="",$BA$1,ייצוב!G50))</f>
        <v/>
      </c>
      <c r="G50" s="426" t="str">
        <f>'סיכום לועדה- הזנת נתונים'!G50</f>
        <v/>
      </c>
      <c r="H50" s="267" t="str">
        <f t="shared" si="1"/>
        <v/>
      </c>
      <c r="I50" s="426" t="str">
        <f t="shared" si="2"/>
        <v/>
      </c>
      <c r="J50" s="427" t="str">
        <f t="shared" si="3"/>
        <v/>
      </c>
      <c r="K50" s="427" t="str">
        <f t="shared" si="4"/>
        <v/>
      </c>
      <c r="L50" s="428" t="str">
        <f t="shared" si="5"/>
        <v/>
      </c>
      <c r="M50" s="428" t="str">
        <f t="shared" si="28"/>
        <v/>
      </c>
      <c r="N50" s="429" t="str">
        <f t="shared" si="6"/>
        <v/>
      </c>
      <c r="O50" s="429" t="str">
        <f t="shared" si="29"/>
        <v/>
      </c>
      <c r="P50" s="428" t="str">
        <f t="shared" si="7"/>
        <v/>
      </c>
      <c r="Q50" s="428" t="str">
        <f t="shared" si="30"/>
        <v/>
      </c>
      <c r="R50" s="429" t="str">
        <f t="shared" si="8"/>
        <v/>
      </c>
      <c r="S50" s="429" t="str">
        <f t="shared" si="31"/>
        <v/>
      </c>
      <c r="T50" s="428" t="str">
        <f t="shared" si="9"/>
        <v/>
      </c>
      <c r="U50" s="428" t="str">
        <f t="shared" si="32"/>
        <v/>
      </c>
      <c r="V50" s="429" t="str">
        <f t="shared" si="10"/>
        <v/>
      </c>
      <c r="W50" s="429" t="str">
        <f t="shared" si="33"/>
        <v/>
      </c>
      <c r="X50" s="428" t="str">
        <f t="shared" si="11"/>
        <v/>
      </c>
      <c r="Y50" s="428" t="str">
        <f t="shared" si="34"/>
        <v/>
      </c>
      <c r="Z50" s="429" t="str">
        <f t="shared" si="12"/>
        <v/>
      </c>
      <c r="AA50" s="429" t="str">
        <f t="shared" si="35"/>
        <v/>
      </c>
      <c r="AB50" s="428" t="str">
        <f t="shared" si="13"/>
        <v/>
      </c>
      <c r="AC50" s="428" t="str">
        <f t="shared" si="36"/>
        <v/>
      </c>
      <c r="AD50" s="429" t="str">
        <f t="shared" si="14"/>
        <v/>
      </c>
      <c r="AE50" s="429" t="str">
        <f t="shared" si="37"/>
        <v/>
      </c>
      <c r="AF50" s="428" t="str">
        <f t="shared" si="15"/>
        <v/>
      </c>
      <c r="AG50" s="428" t="str">
        <f t="shared" si="38"/>
        <v/>
      </c>
      <c r="AH50" s="429" t="str">
        <f t="shared" si="16"/>
        <v/>
      </c>
      <c r="AI50" s="429" t="str">
        <f t="shared" si="39"/>
        <v/>
      </c>
      <c r="AJ50" s="428" t="str">
        <f t="shared" si="17"/>
        <v/>
      </c>
      <c r="AK50" s="428" t="str">
        <f t="shared" si="40"/>
        <v/>
      </c>
      <c r="AL50" s="429" t="str">
        <f t="shared" si="18"/>
        <v/>
      </c>
      <c r="AM50" s="429" t="str">
        <f t="shared" si="41"/>
        <v/>
      </c>
      <c r="AN50" s="428" t="str">
        <f t="shared" si="19"/>
        <v/>
      </c>
      <c r="AO50" s="428" t="str">
        <f t="shared" si="42"/>
        <v/>
      </c>
      <c r="AP50" s="429" t="str">
        <f t="shared" si="20"/>
        <v/>
      </c>
      <c r="AQ50" s="429" t="str">
        <f t="shared" si="43"/>
        <v/>
      </c>
      <c r="AR50" s="428" t="str">
        <f t="shared" si="21"/>
        <v/>
      </c>
      <c r="AS50" s="428" t="str">
        <f t="shared" si="44"/>
        <v/>
      </c>
      <c r="AT50" s="429" t="str">
        <f t="shared" si="22"/>
        <v/>
      </c>
      <c r="AU50" s="429" t="str">
        <f t="shared" si="25"/>
        <v/>
      </c>
      <c r="AV50" s="419" t="str">
        <f t="shared" si="23"/>
        <v/>
      </c>
      <c r="AW50" s="92" t="str">
        <f t="shared" si="24"/>
        <v/>
      </c>
      <c r="BB50" s="186" t="str">
        <f t="shared" si="26"/>
        <v/>
      </c>
      <c r="BC50" s="186" t="str">
        <f t="shared" si="26"/>
        <v/>
      </c>
      <c r="BE50" s="188">
        <f t="shared" si="27"/>
        <v>0</v>
      </c>
    </row>
    <row r="51" spans="2:57" x14ac:dyDescent="0.25">
      <c r="B51" s="57">
        <f t="shared" si="0"/>
        <v>21</v>
      </c>
      <c r="C51" s="417" t="str">
        <f>IF('תנאי סף'!AO51&lt;&gt;1,"",'תנאי סף'!F51)</f>
        <v>חמישיית תל אביב לכלי נשיפה</v>
      </c>
      <c r="D51" s="91">
        <f>IF($C51="","",IF(ייצוב!Y51="",$BA$1,ייצוב!Y51))</f>
        <v>3.3279755353558038E-2</v>
      </c>
      <c r="E51" s="165"/>
      <c r="F51" s="91">
        <f>IF($C51="","",IF(ייצוב!G51="",$BA$1,ייצוב!G51))</f>
        <v>2.6335064315164882E-2</v>
      </c>
      <c r="G51" s="426">
        <f>'סיכום לועדה- הזנת נתונים'!G51</f>
        <v>1</v>
      </c>
      <c r="H51" s="267">
        <f t="shared" si="1"/>
        <v>0</v>
      </c>
      <c r="I51" s="426">
        <f t="shared" si="2"/>
        <v>0</v>
      </c>
      <c r="J51" s="427">
        <f t="shared" si="3"/>
        <v>3.3279755353558038E-2</v>
      </c>
      <c r="K51" s="427">
        <f t="shared" si="4"/>
        <v>3.3279755353558024E-2</v>
      </c>
      <c r="L51" s="428">
        <f t="shared" si="5"/>
        <v>0</v>
      </c>
      <c r="M51" s="428">
        <f t="shared" si="28"/>
        <v>0</v>
      </c>
      <c r="N51" s="429">
        <f t="shared" si="6"/>
        <v>3.3279755353558038E-2</v>
      </c>
      <c r="O51" s="429">
        <f t="shared" si="29"/>
        <v>3.3279755353558024E-2</v>
      </c>
      <c r="P51" s="428">
        <f t="shared" si="7"/>
        <v>0</v>
      </c>
      <c r="Q51" s="428">
        <f t="shared" si="30"/>
        <v>0</v>
      </c>
      <c r="R51" s="429">
        <f t="shared" si="8"/>
        <v>3.3279755353558038E-2</v>
      </c>
      <c r="S51" s="429">
        <f t="shared" si="31"/>
        <v>3.3279755353558024E-2</v>
      </c>
      <c r="T51" s="428">
        <f t="shared" si="9"/>
        <v>0</v>
      </c>
      <c r="U51" s="428">
        <f t="shared" si="32"/>
        <v>0</v>
      </c>
      <c r="V51" s="429">
        <f t="shared" si="10"/>
        <v>3.3279755353558024E-2</v>
      </c>
      <c r="W51" s="429">
        <f t="shared" si="33"/>
        <v>3.3279755353558031E-2</v>
      </c>
      <c r="X51" s="428">
        <f t="shared" si="11"/>
        <v>0</v>
      </c>
      <c r="Y51" s="428">
        <f t="shared" si="34"/>
        <v>0</v>
      </c>
      <c r="Z51" s="429">
        <f t="shared" si="12"/>
        <v>3.3279755353558031E-2</v>
      </c>
      <c r="AA51" s="429">
        <f t="shared" si="35"/>
        <v>3.3279755353558024E-2</v>
      </c>
      <c r="AB51" s="428">
        <f t="shared" si="13"/>
        <v>0</v>
      </c>
      <c r="AC51" s="428">
        <f t="shared" si="36"/>
        <v>0</v>
      </c>
      <c r="AD51" s="429">
        <f t="shared" si="14"/>
        <v>3.3279755353558024E-2</v>
      </c>
      <c r="AE51" s="429">
        <f t="shared" si="37"/>
        <v>3.3279755353558031E-2</v>
      </c>
      <c r="AF51" s="428">
        <f t="shared" si="15"/>
        <v>0</v>
      </c>
      <c r="AG51" s="428">
        <f t="shared" si="38"/>
        <v>0</v>
      </c>
      <c r="AH51" s="429">
        <f t="shared" si="16"/>
        <v>3.3279755353558031E-2</v>
      </c>
      <c r="AI51" s="429">
        <f t="shared" si="39"/>
        <v>3.3279755353558024E-2</v>
      </c>
      <c r="AJ51" s="428">
        <f t="shared" si="17"/>
        <v>0</v>
      </c>
      <c r="AK51" s="428">
        <f t="shared" si="40"/>
        <v>0</v>
      </c>
      <c r="AL51" s="429">
        <f t="shared" si="18"/>
        <v>3.3279755353558024E-2</v>
      </c>
      <c r="AM51" s="429">
        <f t="shared" si="41"/>
        <v>3.3279755353558031E-2</v>
      </c>
      <c r="AN51" s="428">
        <f t="shared" si="19"/>
        <v>0</v>
      </c>
      <c r="AO51" s="428">
        <f t="shared" si="42"/>
        <v>0</v>
      </c>
      <c r="AP51" s="429">
        <f t="shared" si="20"/>
        <v>3.3279755353558031E-2</v>
      </c>
      <c r="AQ51" s="429">
        <f t="shared" si="43"/>
        <v>3.3279755353558024E-2</v>
      </c>
      <c r="AR51" s="428">
        <f t="shared" si="21"/>
        <v>0</v>
      </c>
      <c r="AS51" s="428">
        <f t="shared" si="44"/>
        <v>0</v>
      </c>
      <c r="AT51" s="429">
        <f t="shared" si="22"/>
        <v>3.3279755353558024E-2</v>
      </c>
      <c r="AU51" s="429">
        <f t="shared" si="25"/>
        <v>3.3279755353558031E-2</v>
      </c>
      <c r="AV51" s="419">
        <f t="shared" si="23"/>
        <v>3.3279755353558024E-2</v>
      </c>
      <c r="AW51" s="92">
        <f t="shared" si="24"/>
        <v>102380.74113775924</v>
      </c>
      <c r="BB51" s="186">
        <f t="shared" si="26"/>
        <v>0</v>
      </c>
      <c r="BC51" s="186">
        <f t="shared" si="26"/>
        <v>1</v>
      </c>
      <c r="BE51" s="188">
        <f t="shared" si="27"/>
        <v>1</v>
      </c>
    </row>
    <row r="52" spans="2:57" x14ac:dyDescent="0.25">
      <c r="B52" s="57">
        <f t="shared" si="0"/>
        <v>22</v>
      </c>
      <c r="C52" s="417" t="str">
        <f>IF('תנאי סף'!AO52&lt;&gt;1,"",'תנאי סף'!F52)</f>
        <v>הרכב אקוט</v>
      </c>
      <c r="D52" s="91">
        <f>IF($C52="","",IF(ייצוב!Y52="",$BA$1,ייצוב!Y52))</f>
        <v>3.8827740995897683E-2</v>
      </c>
      <c r="E52" s="165"/>
      <c r="F52" s="91">
        <f>IF($C52="","",IF(ייצוב!G52="",$BA$1,ייצוב!G52))</f>
        <v>3.6210713433351714E-2</v>
      </c>
      <c r="G52" s="426">
        <f>'סיכום לועדה- הזנת נתונים'!G52</f>
        <v>1</v>
      </c>
      <c r="H52" s="267">
        <f t="shared" si="1"/>
        <v>0</v>
      </c>
      <c r="I52" s="426">
        <f t="shared" si="2"/>
        <v>0</v>
      </c>
      <c r="J52" s="427">
        <f t="shared" si="3"/>
        <v>3.8827740995897683E-2</v>
      </c>
      <c r="K52" s="427">
        <f t="shared" si="4"/>
        <v>3.8827740995897669E-2</v>
      </c>
      <c r="L52" s="428">
        <f t="shared" si="5"/>
        <v>0</v>
      </c>
      <c r="M52" s="428">
        <f t="shared" si="28"/>
        <v>0</v>
      </c>
      <c r="N52" s="429">
        <f t="shared" si="6"/>
        <v>3.8827740995897683E-2</v>
      </c>
      <c r="O52" s="429">
        <f t="shared" si="29"/>
        <v>3.8827740995897669E-2</v>
      </c>
      <c r="P52" s="428">
        <f t="shared" si="7"/>
        <v>0</v>
      </c>
      <c r="Q52" s="428">
        <f t="shared" si="30"/>
        <v>0</v>
      </c>
      <c r="R52" s="429">
        <f t="shared" si="8"/>
        <v>3.8827740995897683E-2</v>
      </c>
      <c r="S52" s="429">
        <f t="shared" si="31"/>
        <v>3.8827740995897669E-2</v>
      </c>
      <c r="T52" s="428">
        <f t="shared" si="9"/>
        <v>0</v>
      </c>
      <c r="U52" s="428">
        <f t="shared" si="32"/>
        <v>0</v>
      </c>
      <c r="V52" s="429">
        <f t="shared" si="10"/>
        <v>3.8827740995897669E-2</v>
      </c>
      <c r="W52" s="429">
        <f t="shared" si="33"/>
        <v>3.8827740995897676E-2</v>
      </c>
      <c r="X52" s="428">
        <f t="shared" si="11"/>
        <v>0</v>
      </c>
      <c r="Y52" s="428">
        <f t="shared" si="34"/>
        <v>0</v>
      </c>
      <c r="Z52" s="429">
        <f t="shared" si="12"/>
        <v>3.8827740995897676E-2</v>
      </c>
      <c r="AA52" s="429">
        <f t="shared" si="35"/>
        <v>3.8827740995897669E-2</v>
      </c>
      <c r="AB52" s="428">
        <f t="shared" si="13"/>
        <v>0</v>
      </c>
      <c r="AC52" s="428">
        <f t="shared" si="36"/>
        <v>0</v>
      </c>
      <c r="AD52" s="429">
        <f t="shared" si="14"/>
        <v>3.8827740995897669E-2</v>
      </c>
      <c r="AE52" s="429">
        <f t="shared" si="37"/>
        <v>3.8827740995897676E-2</v>
      </c>
      <c r="AF52" s="428">
        <f t="shared" si="15"/>
        <v>0</v>
      </c>
      <c r="AG52" s="428">
        <f t="shared" si="38"/>
        <v>0</v>
      </c>
      <c r="AH52" s="429">
        <f t="shared" si="16"/>
        <v>3.8827740995897676E-2</v>
      </c>
      <c r="AI52" s="429">
        <f t="shared" si="39"/>
        <v>3.8827740995897669E-2</v>
      </c>
      <c r="AJ52" s="428">
        <f t="shared" si="17"/>
        <v>0</v>
      </c>
      <c r="AK52" s="428">
        <f t="shared" si="40"/>
        <v>0</v>
      </c>
      <c r="AL52" s="429">
        <f t="shared" si="18"/>
        <v>3.8827740995897669E-2</v>
      </c>
      <c r="AM52" s="429">
        <f t="shared" si="41"/>
        <v>3.8827740995897676E-2</v>
      </c>
      <c r="AN52" s="428">
        <f t="shared" si="19"/>
        <v>0</v>
      </c>
      <c r="AO52" s="428">
        <f t="shared" si="42"/>
        <v>0</v>
      </c>
      <c r="AP52" s="429">
        <f t="shared" si="20"/>
        <v>3.8827740995897676E-2</v>
      </c>
      <c r="AQ52" s="429">
        <f t="shared" si="43"/>
        <v>3.8827740995897669E-2</v>
      </c>
      <c r="AR52" s="428">
        <f t="shared" si="21"/>
        <v>0</v>
      </c>
      <c r="AS52" s="428">
        <f t="shared" si="44"/>
        <v>0</v>
      </c>
      <c r="AT52" s="429">
        <f t="shared" si="22"/>
        <v>3.8827740995897669E-2</v>
      </c>
      <c r="AU52" s="429">
        <f t="shared" si="25"/>
        <v>3.8827740995897676E-2</v>
      </c>
      <c r="AV52" s="419">
        <f t="shared" si="23"/>
        <v>3.8827740995897669E-2</v>
      </c>
      <c r="AW52" s="92">
        <f t="shared" si="24"/>
        <v>119448.38108432673</v>
      </c>
      <c r="BB52" s="186">
        <f t="shared" si="26"/>
        <v>0</v>
      </c>
      <c r="BC52" s="186">
        <f t="shared" si="26"/>
        <v>1</v>
      </c>
      <c r="BE52" s="188">
        <f t="shared" si="27"/>
        <v>1</v>
      </c>
    </row>
    <row r="53" spans="2:57" x14ac:dyDescent="0.25">
      <c r="B53" s="57">
        <f t="shared" si="0"/>
        <v>23</v>
      </c>
      <c r="C53" s="417" t="str">
        <f>IF('תנאי סף'!AO53&lt;&gt;1,"",'תנאי סף'!F53)</f>
        <v>שלישיית עתר</v>
      </c>
      <c r="D53" s="91">
        <f>IF($C53="","",IF(ייצוב!Y53="",$BA$1,ייצוב!Y53))</f>
        <v>2.6539975338912287E-2</v>
      </c>
      <c r="E53" s="165"/>
      <c r="F53" s="91">
        <f>IF($C53="","",IF(ייצוב!G53="",$BA$1,ייצוב!G53))</f>
        <v>2.3043181275769271E-2</v>
      </c>
      <c r="G53" s="426">
        <f>'סיכום לועדה- הזנת נתונים'!G53</f>
        <v>1</v>
      </c>
      <c r="H53" s="267">
        <f t="shared" si="1"/>
        <v>0</v>
      </c>
      <c r="I53" s="426">
        <f t="shared" si="2"/>
        <v>0</v>
      </c>
      <c r="J53" s="427">
        <f t="shared" si="3"/>
        <v>2.6539975338912287E-2</v>
      </c>
      <c r="K53" s="427">
        <f t="shared" si="4"/>
        <v>2.6539975338912277E-2</v>
      </c>
      <c r="L53" s="428">
        <f t="shared" si="5"/>
        <v>0</v>
      </c>
      <c r="M53" s="428">
        <f t="shared" si="28"/>
        <v>0</v>
      </c>
      <c r="N53" s="429">
        <f t="shared" si="6"/>
        <v>2.6539975338912287E-2</v>
      </c>
      <c r="O53" s="429">
        <f t="shared" si="29"/>
        <v>2.6539975338912277E-2</v>
      </c>
      <c r="P53" s="428">
        <f t="shared" si="7"/>
        <v>0</v>
      </c>
      <c r="Q53" s="428">
        <f t="shared" si="30"/>
        <v>0</v>
      </c>
      <c r="R53" s="429">
        <f t="shared" si="8"/>
        <v>2.6539975338912287E-2</v>
      </c>
      <c r="S53" s="429">
        <f t="shared" si="31"/>
        <v>2.6539975338912277E-2</v>
      </c>
      <c r="T53" s="428">
        <f t="shared" si="9"/>
        <v>0</v>
      </c>
      <c r="U53" s="428">
        <f t="shared" si="32"/>
        <v>0</v>
      </c>
      <c r="V53" s="429">
        <f t="shared" si="10"/>
        <v>2.6539975338912277E-2</v>
      </c>
      <c r="W53" s="429">
        <f t="shared" si="33"/>
        <v>2.6539975338912281E-2</v>
      </c>
      <c r="X53" s="428">
        <f t="shared" si="11"/>
        <v>0</v>
      </c>
      <c r="Y53" s="428">
        <f t="shared" si="34"/>
        <v>0</v>
      </c>
      <c r="Z53" s="429">
        <f t="shared" si="12"/>
        <v>2.6539975338912281E-2</v>
      </c>
      <c r="AA53" s="429">
        <f t="shared" si="35"/>
        <v>2.6539975338912274E-2</v>
      </c>
      <c r="AB53" s="428">
        <f t="shared" si="13"/>
        <v>0</v>
      </c>
      <c r="AC53" s="428">
        <f t="shared" si="36"/>
        <v>0</v>
      </c>
      <c r="AD53" s="429">
        <f t="shared" si="14"/>
        <v>2.6539975338912274E-2</v>
      </c>
      <c r="AE53" s="429">
        <f t="shared" si="37"/>
        <v>2.6539975338912281E-2</v>
      </c>
      <c r="AF53" s="428">
        <f t="shared" si="15"/>
        <v>0</v>
      </c>
      <c r="AG53" s="428">
        <f t="shared" si="38"/>
        <v>0</v>
      </c>
      <c r="AH53" s="429">
        <f t="shared" si="16"/>
        <v>2.6539975338912281E-2</v>
      </c>
      <c r="AI53" s="429">
        <f t="shared" si="39"/>
        <v>2.6539975338912274E-2</v>
      </c>
      <c r="AJ53" s="428">
        <f t="shared" si="17"/>
        <v>0</v>
      </c>
      <c r="AK53" s="428">
        <f t="shared" si="40"/>
        <v>0</v>
      </c>
      <c r="AL53" s="429">
        <f t="shared" si="18"/>
        <v>2.6539975338912274E-2</v>
      </c>
      <c r="AM53" s="429">
        <f t="shared" si="41"/>
        <v>2.6539975338912281E-2</v>
      </c>
      <c r="AN53" s="428">
        <f t="shared" si="19"/>
        <v>0</v>
      </c>
      <c r="AO53" s="428">
        <f t="shared" si="42"/>
        <v>0</v>
      </c>
      <c r="AP53" s="429">
        <f t="shared" si="20"/>
        <v>2.6539975338912281E-2</v>
      </c>
      <c r="AQ53" s="429">
        <f t="shared" si="43"/>
        <v>2.6539975338912274E-2</v>
      </c>
      <c r="AR53" s="428">
        <f t="shared" si="21"/>
        <v>0</v>
      </c>
      <c r="AS53" s="428">
        <f t="shared" si="44"/>
        <v>0</v>
      </c>
      <c r="AT53" s="429">
        <f t="shared" si="22"/>
        <v>2.6539975338912274E-2</v>
      </c>
      <c r="AU53" s="429">
        <f t="shared" si="25"/>
        <v>2.6539975338912281E-2</v>
      </c>
      <c r="AV53" s="419">
        <f t="shared" si="23"/>
        <v>2.6539975338912274E-2</v>
      </c>
      <c r="AW53" s="92">
        <f t="shared" si="24"/>
        <v>81646.704313443537</v>
      </c>
      <c r="BB53" s="186">
        <f t="shared" si="26"/>
        <v>0</v>
      </c>
      <c r="BC53" s="186">
        <f t="shared" si="26"/>
        <v>1</v>
      </c>
      <c r="BE53" s="188">
        <f t="shared" si="27"/>
        <v>1</v>
      </c>
    </row>
    <row r="54" spans="2:57" x14ac:dyDescent="0.25">
      <c r="B54" s="57" t="str">
        <f t="shared" si="0"/>
        <v/>
      </c>
      <c r="C54" s="417" t="str">
        <f>IF('תנאי סף'!AO54&lt;&gt;1,"",'תנאי סף'!F54)</f>
        <v/>
      </c>
      <c r="D54" s="91" t="str">
        <f>IF($C54="","",IF(ייצוב!Y54="",$BA$1,ייצוב!Y54))</f>
        <v/>
      </c>
      <c r="E54" s="165"/>
      <c r="F54" s="91" t="str">
        <f>IF($C54="","",IF(ייצוב!G54="",$BA$1,ייצוב!G54))</f>
        <v/>
      </c>
      <c r="G54" s="426" t="str">
        <f>'סיכום לועדה- הזנת נתונים'!G54</f>
        <v/>
      </c>
      <c r="H54" s="267" t="str">
        <f t="shared" si="1"/>
        <v/>
      </c>
      <c r="I54" s="426" t="str">
        <f t="shared" si="2"/>
        <v/>
      </c>
      <c r="J54" s="427" t="str">
        <f t="shared" si="3"/>
        <v/>
      </c>
      <c r="K54" s="427" t="str">
        <f t="shared" si="4"/>
        <v/>
      </c>
      <c r="L54" s="428" t="str">
        <f t="shared" si="5"/>
        <v/>
      </c>
      <c r="M54" s="428" t="str">
        <f t="shared" si="28"/>
        <v/>
      </c>
      <c r="N54" s="429" t="str">
        <f t="shared" si="6"/>
        <v/>
      </c>
      <c r="O54" s="429" t="str">
        <f t="shared" si="29"/>
        <v/>
      </c>
      <c r="P54" s="428" t="str">
        <f t="shared" si="7"/>
        <v/>
      </c>
      <c r="Q54" s="428" t="str">
        <f t="shared" si="30"/>
        <v/>
      </c>
      <c r="R54" s="429" t="str">
        <f t="shared" si="8"/>
        <v/>
      </c>
      <c r="S54" s="429" t="str">
        <f t="shared" si="31"/>
        <v/>
      </c>
      <c r="T54" s="428" t="str">
        <f t="shared" si="9"/>
        <v/>
      </c>
      <c r="U54" s="428" t="str">
        <f t="shared" si="32"/>
        <v/>
      </c>
      <c r="V54" s="429" t="str">
        <f t="shared" si="10"/>
        <v/>
      </c>
      <c r="W54" s="429" t="str">
        <f t="shared" si="33"/>
        <v/>
      </c>
      <c r="X54" s="428" t="str">
        <f t="shared" si="11"/>
        <v/>
      </c>
      <c r="Y54" s="428" t="str">
        <f t="shared" si="34"/>
        <v/>
      </c>
      <c r="Z54" s="429" t="str">
        <f t="shared" si="12"/>
        <v/>
      </c>
      <c r="AA54" s="429" t="str">
        <f t="shared" si="35"/>
        <v/>
      </c>
      <c r="AB54" s="428" t="str">
        <f t="shared" si="13"/>
        <v/>
      </c>
      <c r="AC54" s="428" t="str">
        <f t="shared" si="36"/>
        <v/>
      </c>
      <c r="AD54" s="429" t="str">
        <f t="shared" si="14"/>
        <v/>
      </c>
      <c r="AE54" s="429" t="str">
        <f t="shared" si="37"/>
        <v/>
      </c>
      <c r="AF54" s="428" t="str">
        <f t="shared" si="15"/>
        <v/>
      </c>
      <c r="AG54" s="428" t="str">
        <f t="shared" si="38"/>
        <v/>
      </c>
      <c r="AH54" s="429" t="str">
        <f t="shared" si="16"/>
        <v/>
      </c>
      <c r="AI54" s="429" t="str">
        <f t="shared" si="39"/>
        <v/>
      </c>
      <c r="AJ54" s="428" t="str">
        <f t="shared" si="17"/>
        <v/>
      </c>
      <c r="AK54" s="428" t="str">
        <f t="shared" si="40"/>
        <v/>
      </c>
      <c r="AL54" s="429" t="str">
        <f t="shared" si="18"/>
        <v/>
      </c>
      <c r="AM54" s="429" t="str">
        <f t="shared" si="41"/>
        <v/>
      </c>
      <c r="AN54" s="428" t="str">
        <f t="shared" si="19"/>
        <v/>
      </c>
      <c r="AO54" s="428" t="str">
        <f t="shared" si="42"/>
        <v/>
      </c>
      <c r="AP54" s="429" t="str">
        <f t="shared" si="20"/>
        <v/>
      </c>
      <c r="AQ54" s="429" t="str">
        <f t="shared" si="43"/>
        <v/>
      </c>
      <c r="AR54" s="428" t="str">
        <f t="shared" si="21"/>
        <v/>
      </c>
      <c r="AS54" s="428" t="str">
        <f t="shared" si="44"/>
        <v/>
      </c>
      <c r="AT54" s="429" t="str">
        <f t="shared" si="22"/>
        <v/>
      </c>
      <c r="AU54" s="429" t="str">
        <f t="shared" si="25"/>
        <v/>
      </c>
      <c r="AV54" s="419" t="str">
        <f t="shared" si="23"/>
        <v/>
      </c>
      <c r="AW54" s="92" t="str">
        <f t="shared" si="24"/>
        <v/>
      </c>
      <c r="BB54" s="186" t="str">
        <f t="shared" si="26"/>
        <v/>
      </c>
      <c r="BC54" s="186" t="str">
        <f t="shared" si="26"/>
        <v/>
      </c>
      <c r="BE54" s="188">
        <f t="shared" si="27"/>
        <v>0</v>
      </c>
    </row>
    <row r="55" spans="2:57" x14ac:dyDescent="0.25">
      <c r="B55" s="57" t="str">
        <f t="shared" si="0"/>
        <v/>
      </c>
      <c r="C55" s="417" t="str">
        <f>IF('תנאי סף'!AO55&lt;&gt;1,"",'תנאי סף'!F55)</f>
        <v/>
      </c>
      <c r="D55" s="91" t="str">
        <f>IF($C55="","",IF(ייצוב!Y55="",$BA$1,ייצוב!Y55))</f>
        <v/>
      </c>
      <c r="E55" s="165"/>
      <c r="F55" s="91" t="str">
        <f>IF($C55="","",IF(ייצוב!G55="",$BA$1,ייצוב!G55))</f>
        <v/>
      </c>
      <c r="G55" s="426" t="str">
        <f>'סיכום לועדה- הזנת נתונים'!G55</f>
        <v/>
      </c>
      <c r="H55" s="267" t="str">
        <f t="shared" si="1"/>
        <v/>
      </c>
      <c r="I55" s="426" t="str">
        <f t="shared" si="2"/>
        <v/>
      </c>
      <c r="J55" s="427" t="str">
        <f t="shared" si="3"/>
        <v/>
      </c>
      <c r="K55" s="427" t="str">
        <f t="shared" si="4"/>
        <v/>
      </c>
      <c r="L55" s="428" t="str">
        <f t="shared" si="5"/>
        <v/>
      </c>
      <c r="M55" s="428" t="str">
        <f t="shared" si="28"/>
        <v/>
      </c>
      <c r="N55" s="429" t="str">
        <f t="shared" si="6"/>
        <v/>
      </c>
      <c r="O55" s="429" t="str">
        <f t="shared" si="29"/>
        <v/>
      </c>
      <c r="P55" s="428" t="str">
        <f t="shared" si="7"/>
        <v/>
      </c>
      <c r="Q55" s="428" t="str">
        <f t="shared" si="30"/>
        <v/>
      </c>
      <c r="R55" s="429" t="str">
        <f t="shared" si="8"/>
        <v/>
      </c>
      <c r="S55" s="429" t="str">
        <f t="shared" si="31"/>
        <v/>
      </c>
      <c r="T55" s="428" t="str">
        <f t="shared" si="9"/>
        <v/>
      </c>
      <c r="U55" s="428" t="str">
        <f t="shared" si="32"/>
        <v/>
      </c>
      <c r="V55" s="429" t="str">
        <f t="shared" si="10"/>
        <v/>
      </c>
      <c r="W55" s="429" t="str">
        <f t="shared" si="33"/>
        <v/>
      </c>
      <c r="X55" s="428" t="str">
        <f t="shared" si="11"/>
        <v/>
      </c>
      <c r="Y55" s="428" t="str">
        <f t="shared" si="34"/>
        <v/>
      </c>
      <c r="Z55" s="429" t="str">
        <f t="shared" si="12"/>
        <v/>
      </c>
      <c r="AA55" s="429" t="str">
        <f t="shared" si="35"/>
        <v/>
      </c>
      <c r="AB55" s="428" t="str">
        <f t="shared" si="13"/>
        <v/>
      </c>
      <c r="AC55" s="428" t="str">
        <f t="shared" si="36"/>
        <v/>
      </c>
      <c r="AD55" s="429" t="str">
        <f t="shared" si="14"/>
        <v/>
      </c>
      <c r="AE55" s="429" t="str">
        <f t="shared" si="37"/>
        <v/>
      </c>
      <c r="AF55" s="428" t="str">
        <f t="shared" si="15"/>
        <v/>
      </c>
      <c r="AG55" s="428" t="str">
        <f t="shared" si="38"/>
        <v/>
      </c>
      <c r="AH55" s="429" t="str">
        <f t="shared" si="16"/>
        <v/>
      </c>
      <c r="AI55" s="429" t="str">
        <f t="shared" si="39"/>
        <v/>
      </c>
      <c r="AJ55" s="428" t="str">
        <f t="shared" si="17"/>
        <v/>
      </c>
      <c r="AK55" s="428" t="str">
        <f t="shared" si="40"/>
        <v/>
      </c>
      <c r="AL55" s="429" t="str">
        <f t="shared" si="18"/>
        <v/>
      </c>
      <c r="AM55" s="429" t="str">
        <f t="shared" si="41"/>
        <v/>
      </c>
      <c r="AN55" s="428" t="str">
        <f t="shared" si="19"/>
        <v/>
      </c>
      <c r="AO55" s="428" t="str">
        <f t="shared" si="42"/>
        <v/>
      </c>
      <c r="AP55" s="429" t="str">
        <f t="shared" si="20"/>
        <v/>
      </c>
      <c r="AQ55" s="429" t="str">
        <f t="shared" si="43"/>
        <v/>
      </c>
      <c r="AR55" s="428" t="str">
        <f t="shared" si="21"/>
        <v/>
      </c>
      <c r="AS55" s="428" t="str">
        <f t="shared" si="44"/>
        <v/>
      </c>
      <c r="AT55" s="429" t="str">
        <f t="shared" si="22"/>
        <v/>
      </c>
      <c r="AU55" s="429" t="str">
        <f t="shared" si="25"/>
        <v/>
      </c>
      <c r="AV55" s="419" t="str">
        <f t="shared" si="23"/>
        <v/>
      </c>
      <c r="AW55" s="92" t="str">
        <f t="shared" si="24"/>
        <v/>
      </c>
      <c r="BB55" s="186" t="str">
        <f t="shared" si="26"/>
        <v/>
      </c>
      <c r="BC55" s="186" t="str">
        <f t="shared" si="26"/>
        <v/>
      </c>
      <c r="BE55" s="188">
        <f t="shared" si="27"/>
        <v>0</v>
      </c>
    </row>
    <row r="56" spans="2:57" x14ac:dyDescent="0.25">
      <c r="B56" s="57">
        <f t="shared" si="0"/>
        <v>26</v>
      </c>
      <c r="C56" s="417" t="str">
        <f>IF('תנאי סף'!AO56&lt;&gt;1,"",'תנאי סף'!F56)</f>
        <v>אנסמבל מצו</v>
      </c>
      <c r="D56" s="91">
        <f>IF($C56="","",IF(ייצוב!Y56="",$BA$1,ייצוב!Y56))</f>
        <v>2.9917116413481201E-2</v>
      </c>
      <c r="E56" s="165"/>
      <c r="F56" s="91">
        <f>IF($C56="","",IF(ייצוב!G56="",$BA$1,ייצוב!G56))</f>
        <v>2.4689122795467078E-2</v>
      </c>
      <c r="G56" s="426">
        <f>'סיכום לועדה- הזנת נתונים'!G56</f>
        <v>1</v>
      </c>
      <c r="H56" s="267">
        <f t="shared" si="1"/>
        <v>0</v>
      </c>
      <c r="I56" s="426">
        <f t="shared" si="2"/>
        <v>0</v>
      </c>
      <c r="J56" s="427">
        <f t="shared" si="3"/>
        <v>2.9917116413481201E-2</v>
      </c>
      <c r="K56" s="427">
        <f t="shared" si="4"/>
        <v>2.9917116413481187E-2</v>
      </c>
      <c r="L56" s="428">
        <f t="shared" si="5"/>
        <v>0</v>
      </c>
      <c r="M56" s="428">
        <f t="shared" si="28"/>
        <v>0</v>
      </c>
      <c r="N56" s="429">
        <f t="shared" si="6"/>
        <v>2.9917116413481201E-2</v>
      </c>
      <c r="O56" s="429">
        <f t="shared" si="29"/>
        <v>2.9917116413481187E-2</v>
      </c>
      <c r="P56" s="428">
        <f t="shared" si="7"/>
        <v>0</v>
      </c>
      <c r="Q56" s="428">
        <f t="shared" si="30"/>
        <v>0</v>
      </c>
      <c r="R56" s="429">
        <f t="shared" si="8"/>
        <v>2.9917116413481201E-2</v>
      </c>
      <c r="S56" s="429">
        <f t="shared" si="31"/>
        <v>2.9917116413481187E-2</v>
      </c>
      <c r="T56" s="428">
        <f t="shared" si="9"/>
        <v>0</v>
      </c>
      <c r="U56" s="428">
        <f t="shared" si="32"/>
        <v>0</v>
      </c>
      <c r="V56" s="429">
        <f t="shared" si="10"/>
        <v>2.9917116413481187E-2</v>
      </c>
      <c r="W56" s="429">
        <f t="shared" si="33"/>
        <v>2.9917116413481191E-2</v>
      </c>
      <c r="X56" s="428">
        <f t="shared" si="11"/>
        <v>0</v>
      </c>
      <c r="Y56" s="428">
        <f t="shared" si="34"/>
        <v>0</v>
      </c>
      <c r="Z56" s="429">
        <f t="shared" si="12"/>
        <v>2.9917116413481191E-2</v>
      </c>
      <c r="AA56" s="429">
        <f t="shared" si="35"/>
        <v>2.9917116413481184E-2</v>
      </c>
      <c r="AB56" s="428">
        <f t="shared" si="13"/>
        <v>0</v>
      </c>
      <c r="AC56" s="428">
        <f t="shared" si="36"/>
        <v>0</v>
      </c>
      <c r="AD56" s="429">
        <f t="shared" si="14"/>
        <v>2.9917116413481184E-2</v>
      </c>
      <c r="AE56" s="429">
        <f t="shared" si="37"/>
        <v>2.9917116413481191E-2</v>
      </c>
      <c r="AF56" s="428">
        <f t="shared" si="15"/>
        <v>0</v>
      </c>
      <c r="AG56" s="428">
        <f t="shared" si="38"/>
        <v>0</v>
      </c>
      <c r="AH56" s="429">
        <f t="shared" si="16"/>
        <v>2.9917116413481191E-2</v>
      </c>
      <c r="AI56" s="429">
        <f t="shared" si="39"/>
        <v>2.9917116413481184E-2</v>
      </c>
      <c r="AJ56" s="428">
        <f t="shared" si="17"/>
        <v>0</v>
      </c>
      <c r="AK56" s="428">
        <f t="shared" si="40"/>
        <v>0</v>
      </c>
      <c r="AL56" s="429">
        <f t="shared" si="18"/>
        <v>2.9917116413481184E-2</v>
      </c>
      <c r="AM56" s="429">
        <f t="shared" si="41"/>
        <v>2.9917116413481191E-2</v>
      </c>
      <c r="AN56" s="428">
        <f t="shared" si="19"/>
        <v>0</v>
      </c>
      <c r="AO56" s="428">
        <f t="shared" si="42"/>
        <v>0</v>
      </c>
      <c r="AP56" s="429">
        <f t="shared" si="20"/>
        <v>2.9917116413481191E-2</v>
      </c>
      <c r="AQ56" s="429">
        <f t="shared" si="43"/>
        <v>2.9917116413481184E-2</v>
      </c>
      <c r="AR56" s="428">
        <f t="shared" si="21"/>
        <v>0</v>
      </c>
      <c r="AS56" s="428">
        <f t="shared" si="44"/>
        <v>0</v>
      </c>
      <c r="AT56" s="429">
        <f t="shared" si="22"/>
        <v>2.9917116413481184E-2</v>
      </c>
      <c r="AU56" s="429">
        <f t="shared" si="25"/>
        <v>2.9917116413481191E-2</v>
      </c>
      <c r="AV56" s="419">
        <f t="shared" si="23"/>
        <v>2.9917116413481184E-2</v>
      </c>
      <c r="AW56" s="92">
        <f t="shared" si="24"/>
        <v>92036.029669591866</v>
      </c>
      <c r="BB56" s="186">
        <f t="shared" si="26"/>
        <v>0</v>
      </c>
      <c r="BC56" s="186">
        <f t="shared" si="26"/>
        <v>1</v>
      </c>
      <c r="BE56" s="188">
        <f t="shared" si="27"/>
        <v>1</v>
      </c>
    </row>
    <row r="57" spans="2:57" x14ac:dyDescent="0.25">
      <c r="B57" s="57" t="str">
        <f t="shared" si="0"/>
        <v/>
      </c>
      <c r="C57" s="417" t="str">
        <f>IF('תנאי סף'!AO57&lt;&gt;1,"",'תנאי סף'!F57)</f>
        <v/>
      </c>
      <c r="D57" s="91" t="str">
        <f>IF($C57="","",IF(ייצוב!Y57="",$BA$1,ייצוב!Y57))</f>
        <v/>
      </c>
      <c r="E57" s="165"/>
      <c r="F57" s="91" t="str">
        <f>IF($C57="","",IF(ייצוב!G57="",$BA$1,ייצוב!G57))</f>
        <v/>
      </c>
      <c r="G57" s="426">
        <f>'סיכום לועדה- הזנת נתונים'!G57</f>
        <v>1</v>
      </c>
      <c r="H57" s="267" t="str">
        <f t="shared" si="1"/>
        <v/>
      </c>
      <c r="I57" s="426" t="str">
        <f t="shared" si="2"/>
        <v/>
      </c>
      <c r="J57" s="427" t="str">
        <f t="shared" si="3"/>
        <v/>
      </c>
      <c r="K57" s="427" t="str">
        <f t="shared" si="4"/>
        <v/>
      </c>
      <c r="L57" s="428" t="str">
        <f t="shared" si="5"/>
        <v/>
      </c>
      <c r="M57" s="428" t="str">
        <f t="shared" si="28"/>
        <v/>
      </c>
      <c r="N57" s="429" t="str">
        <f t="shared" si="6"/>
        <v/>
      </c>
      <c r="O57" s="429" t="str">
        <f t="shared" si="29"/>
        <v/>
      </c>
      <c r="P57" s="428" t="str">
        <f t="shared" si="7"/>
        <v/>
      </c>
      <c r="Q57" s="428" t="str">
        <f t="shared" si="30"/>
        <v/>
      </c>
      <c r="R57" s="429" t="str">
        <f t="shared" si="8"/>
        <v/>
      </c>
      <c r="S57" s="429" t="str">
        <f t="shared" si="31"/>
        <v/>
      </c>
      <c r="T57" s="428" t="str">
        <f t="shared" si="9"/>
        <v/>
      </c>
      <c r="U57" s="428" t="str">
        <f t="shared" si="32"/>
        <v/>
      </c>
      <c r="V57" s="429" t="str">
        <f t="shared" si="10"/>
        <v/>
      </c>
      <c r="W57" s="429" t="str">
        <f t="shared" si="33"/>
        <v/>
      </c>
      <c r="X57" s="428" t="str">
        <f t="shared" si="11"/>
        <v/>
      </c>
      <c r="Y57" s="428" t="str">
        <f t="shared" si="34"/>
        <v/>
      </c>
      <c r="Z57" s="429" t="str">
        <f t="shared" si="12"/>
        <v/>
      </c>
      <c r="AA57" s="429" t="str">
        <f t="shared" si="35"/>
        <v/>
      </c>
      <c r="AB57" s="428" t="str">
        <f t="shared" si="13"/>
        <v/>
      </c>
      <c r="AC57" s="428" t="str">
        <f t="shared" si="36"/>
        <v/>
      </c>
      <c r="AD57" s="429" t="str">
        <f t="shared" si="14"/>
        <v/>
      </c>
      <c r="AE57" s="429" t="str">
        <f t="shared" si="37"/>
        <v/>
      </c>
      <c r="AF57" s="428" t="str">
        <f t="shared" si="15"/>
        <v/>
      </c>
      <c r="AG57" s="428" t="str">
        <f t="shared" si="38"/>
        <v/>
      </c>
      <c r="AH57" s="429" t="str">
        <f t="shared" si="16"/>
        <v/>
      </c>
      <c r="AI57" s="429" t="str">
        <f t="shared" si="39"/>
        <v/>
      </c>
      <c r="AJ57" s="428" t="str">
        <f t="shared" si="17"/>
        <v/>
      </c>
      <c r="AK57" s="428" t="str">
        <f t="shared" si="40"/>
        <v/>
      </c>
      <c r="AL57" s="429" t="str">
        <f t="shared" si="18"/>
        <v/>
      </c>
      <c r="AM57" s="429" t="str">
        <f t="shared" si="41"/>
        <v/>
      </c>
      <c r="AN57" s="428" t="str">
        <f t="shared" si="19"/>
        <v/>
      </c>
      <c r="AO57" s="428" t="str">
        <f t="shared" si="42"/>
        <v/>
      </c>
      <c r="AP57" s="429" t="str">
        <f t="shared" si="20"/>
        <v/>
      </c>
      <c r="AQ57" s="429" t="str">
        <f t="shared" si="43"/>
        <v/>
      </c>
      <c r="AR57" s="428" t="str">
        <f t="shared" si="21"/>
        <v/>
      </c>
      <c r="AS57" s="428" t="str">
        <f t="shared" si="44"/>
        <v/>
      </c>
      <c r="AT57" s="429" t="str">
        <f t="shared" si="22"/>
        <v/>
      </c>
      <c r="AU57" s="429" t="str">
        <f t="shared" si="25"/>
        <v/>
      </c>
      <c r="AV57" s="419" t="str">
        <f t="shared" si="23"/>
        <v/>
      </c>
      <c r="AW57" s="92" t="str">
        <f t="shared" si="24"/>
        <v/>
      </c>
      <c r="BB57" s="186" t="str">
        <f t="shared" si="26"/>
        <v/>
      </c>
      <c r="BC57" s="186" t="str">
        <f t="shared" si="26"/>
        <v/>
      </c>
      <c r="BE57" s="188">
        <f t="shared" si="27"/>
        <v>1</v>
      </c>
    </row>
    <row r="58" spans="2:57" x14ac:dyDescent="0.25">
      <c r="B58" s="57">
        <f t="shared" si="0"/>
        <v>28</v>
      </c>
      <c r="C58" s="417" t="str">
        <f>IF('תנאי סף'!AO58&lt;&gt;1,"",'תנאי סף'!F58)</f>
        <v>תמיכה שותפת- קבוצת מוסיקה נובה</v>
      </c>
      <c r="D58" s="91">
        <f>IF($C58="","",IF(ייצוב!Y58="",$BA$1,ייצוב!Y58))</f>
        <v>2.8433417449644491E-2</v>
      </c>
      <c r="E58" s="165"/>
      <c r="F58" s="91">
        <f>IF($C58="","",IF(ייצוב!G58="",$BA$1,ייצוב!G58))</f>
        <v>3.0859099176206269E-2</v>
      </c>
      <c r="G58" s="426">
        <f>'סיכום לועדה- הזנת נתונים'!G58</f>
        <v>1</v>
      </c>
      <c r="H58" s="267">
        <f t="shared" si="1"/>
        <v>0</v>
      </c>
      <c r="I58" s="426">
        <f t="shared" si="2"/>
        <v>0</v>
      </c>
      <c r="J58" s="427">
        <f t="shared" si="3"/>
        <v>2.8433417449644491E-2</v>
      </c>
      <c r="K58" s="427">
        <f t="shared" si="4"/>
        <v>2.8433417449644477E-2</v>
      </c>
      <c r="L58" s="428">
        <f t="shared" si="5"/>
        <v>0</v>
      </c>
      <c r="M58" s="428">
        <f t="shared" si="28"/>
        <v>0</v>
      </c>
      <c r="N58" s="429">
        <f t="shared" si="6"/>
        <v>2.8433417449644491E-2</v>
      </c>
      <c r="O58" s="429">
        <f t="shared" si="29"/>
        <v>2.8433417449644477E-2</v>
      </c>
      <c r="P58" s="428">
        <f t="shared" si="7"/>
        <v>0</v>
      </c>
      <c r="Q58" s="428">
        <f t="shared" si="30"/>
        <v>0</v>
      </c>
      <c r="R58" s="429">
        <f t="shared" si="8"/>
        <v>2.8433417449644491E-2</v>
      </c>
      <c r="S58" s="429">
        <f t="shared" si="31"/>
        <v>2.8433417449644477E-2</v>
      </c>
      <c r="T58" s="428">
        <f t="shared" si="9"/>
        <v>0</v>
      </c>
      <c r="U58" s="428">
        <f t="shared" si="32"/>
        <v>0</v>
      </c>
      <c r="V58" s="429">
        <f t="shared" si="10"/>
        <v>2.8433417449644477E-2</v>
      </c>
      <c r="W58" s="429">
        <f t="shared" si="33"/>
        <v>2.843341744964448E-2</v>
      </c>
      <c r="X58" s="428">
        <f t="shared" si="11"/>
        <v>0</v>
      </c>
      <c r="Y58" s="428">
        <f t="shared" si="34"/>
        <v>0</v>
      </c>
      <c r="Z58" s="429">
        <f t="shared" si="12"/>
        <v>2.843341744964448E-2</v>
      </c>
      <c r="AA58" s="429">
        <f t="shared" si="35"/>
        <v>2.8433417449644473E-2</v>
      </c>
      <c r="AB58" s="428">
        <f t="shared" si="13"/>
        <v>0</v>
      </c>
      <c r="AC58" s="428">
        <f t="shared" si="36"/>
        <v>0</v>
      </c>
      <c r="AD58" s="429">
        <f t="shared" si="14"/>
        <v>2.8433417449644473E-2</v>
      </c>
      <c r="AE58" s="429">
        <f t="shared" si="37"/>
        <v>2.843341744964448E-2</v>
      </c>
      <c r="AF58" s="428">
        <f t="shared" si="15"/>
        <v>0</v>
      </c>
      <c r="AG58" s="428">
        <f t="shared" si="38"/>
        <v>0</v>
      </c>
      <c r="AH58" s="429">
        <f t="shared" si="16"/>
        <v>2.843341744964448E-2</v>
      </c>
      <c r="AI58" s="429">
        <f t="shared" si="39"/>
        <v>2.8433417449644473E-2</v>
      </c>
      <c r="AJ58" s="428">
        <f t="shared" si="17"/>
        <v>0</v>
      </c>
      <c r="AK58" s="428">
        <f t="shared" si="40"/>
        <v>0</v>
      </c>
      <c r="AL58" s="429">
        <f t="shared" si="18"/>
        <v>2.8433417449644473E-2</v>
      </c>
      <c r="AM58" s="429">
        <f t="shared" si="41"/>
        <v>2.843341744964448E-2</v>
      </c>
      <c r="AN58" s="428">
        <f t="shared" si="19"/>
        <v>0</v>
      </c>
      <c r="AO58" s="428">
        <f t="shared" si="42"/>
        <v>0</v>
      </c>
      <c r="AP58" s="429">
        <f t="shared" si="20"/>
        <v>2.843341744964448E-2</v>
      </c>
      <c r="AQ58" s="429">
        <f t="shared" si="43"/>
        <v>2.8433417449644473E-2</v>
      </c>
      <c r="AR58" s="428">
        <f t="shared" si="21"/>
        <v>0</v>
      </c>
      <c r="AS58" s="428">
        <f t="shared" si="44"/>
        <v>0</v>
      </c>
      <c r="AT58" s="429">
        <f t="shared" si="22"/>
        <v>2.8433417449644473E-2</v>
      </c>
      <c r="AU58" s="429">
        <f t="shared" si="25"/>
        <v>2.843341744964448E-2</v>
      </c>
      <c r="AV58" s="419">
        <f t="shared" si="23"/>
        <v>2.8433417449644473E-2</v>
      </c>
      <c r="AW58" s="92">
        <f t="shared" si="24"/>
        <v>87471.627139310425</v>
      </c>
      <c r="BB58" s="186">
        <f t="shared" si="26"/>
        <v>0</v>
      </c>
      <c r="BC58" s="186">
        <f t="shared" si="26"/>
        <v>1</v>
      </c>
      <c r="BE58" s="188">
        <f t="shared" si="27"/>
        <v>1</v>
      </c>
    </row>
    <row r="59" spans="2:57" x14ac:dyDescent="0.25">
      <c r="B59" s="57" t="str">
        <f t="shared" si="0"/>
        <v/>
      </c>
      <c r="C59" s="417" t="str">
        <f>IF('תנאי סף'!AO59&lt;&gt;1,"",'תנאי סף'!F59)</f>
        <v/>
      </c>
      <c r="D59" s="91" t="str">
        <f>IF($C59="","",IF(ייצוב!Y59="",$BA$1,ייצוב!Y59))</f>
        <v/>
      </c>
      <c r="E59" s="165"/>
      <c r="F59" s="91" t="str">
        <f>IF($C59="","",IF(ייצוב!G59="",$BA$1,ייצוב!G59))</f>
        <v/>
      </c>
      <c r="G59" s="426" t="str">
        <f>'סיכום לועדה- הזנת נתונים'!G59</f>
        <v/>
      </c>
      <c r="H59" s="267" t="str">
        <f t="shared" si="1"/>
        <v/>
      </c>
      <c r="I59" s="426" t="str">
        <f t="shared" si="2"/>
        <v/>
      </c>
      <c r="J59" s="427" t="str">
        <f t="shared" si="3"/>
        <v/>
      </c>
      <c r="K59" s="427" t="str">
        <f t="shared" si="4"/>
        <v/>
      </c>
      <c r="L59" s="428" t="str">
        <f t="shared" si="5"/>
        <v/>
      </c>
      <c r="M59" s="428" t="str">
        <f t="shared" si="28"/>
        <v/>
      </c>
      <c r="N59" s="429" t="str">
        <f t="shared" si="6"/>
        <v/>
      </c>
      <c r="O59" s="429" t="str">
        <f t="shared" si="29"/>
        <v/>
      </c>
      <c r="P59" s="428" t="str">
        <f t="shared" si="7"/>
        <v/>
      </c>
      <c r="Q59" s="428" t="str">
        <f t="shared" si="30"/>
        <v/>
      </c>
      <c r="R59" s="429" t="str">
        <f t="shared" si="8"/>
        <v/>
      </c>
      <c r="S59" s="429" t="str">
        <f t="shared" si="31"/>
        <v/>
      </c>
      <c r="T59" s="428" t="str">
        <f t="shared" si="9"/>
        <v/>
      </c>
      <c r="U59" s="428" t="str">
        <f t="shared" si="32"/>
        <v/>
      </c>
      <c r="V59" s="429" t="str">
        <f t="shared" si="10"/>
        <v/>
      </c>
      <c r="W59" s="429" t="str">
        <f t="shared" si="33"/>
        <v/>
      </c>
      <c r="X59" s="428" t="str">
        <f t="shared" si="11"/>
        <v/>
      </c>
      <c r="Y59" s="428" t="str">
        <f t="shared" si="34"/>
        <v/>
      </c>
      <c r="Z59" s="429" t="str">
        <f t="shared" si="12"/>
        <v/>
      </c>
      <c r="AA59" s="429" t="str">
        <f t="shared" si="35"/>
        <v/>
      </c>
      <c r="AB59" s="428" t="str">
        <f t="shared" si="13"/>
        <v/>
      </c>
      <c r="AC59" s="428" t="str">
        <f t="shared" si="36"/>
        <v/>
      </c>
      <c r="AD59" s="429" t="str">
        <f t="shared" si="14"/>
        <v/>
      </c>
      <c r="AE59" s="429" t="str">
        <f t="shared" si="37"/>
        <v/>
      </c>
      <c r="AF59" s="428" t="str">
        <f t="shared" si="15"/>
        <v/>
      </c>
      <c r="AG59" s="428" t="str">
        <f t="shared" si="38"/>
        <v/>
      </c>
      <c r="AH59" s="429" t="str">
        <f t="shared" si="16"/>
        <v/>
      </c>
      <c r="AI59" s="429" t="str">
        <f t="shared" si="39"/>
        <v/>
      </c>
      <c r="AJ59" s="428" t="str">
        <f t="shared" si="17"/>
        <v/>
      </c>
      <c r="AK59" s="428" t="str">
        <f t="shared" si="40"/>
        <v/>
      </c>
      <c r="AL59" s="429" t="str">
        <f t="shared" si="18"/>
        <v/>
      </c>
      <c r="AM59" s="429" t="str">
        <f t="shared" si="41"/>
        <v/>
      </c>
      <c r="AN59" s="428" t="str">
        <f t="shared" si="19"/>
        <v/>
      </c>
      <c r="AO59" s="428" t="str">
        <f t="shared" si="42"/>
        <v/>
      </c>
      <c r="AP59" s="429" t="str">
        <f t="shared" si="20"/>
        <v/>
      </c>
      <c r="AQ59" s="429" t="str">
        <f t="shared" si="43"/>
        <v/>
      </c>
      <c r="AR59" s="428" t="str">
        <f t="shared" si="21"/>
        <v/>
      </c>
      <c r="AS59" s="428" t="str">
        <f t="shared" si="44"/>
        <v/>
      </c>
      <c r="AT59" s="429" t="str">
        <f t="shared" si="22"/>
        <v/>
      </c>
      <c r="AU59" s="429" t="str">
        <f t="shared" si="25"/>
        <v/>
      </c>
      <c r="AV59" s="419" t="str">
        <f t="shared" si="23"/>
        <v/>
      </c>
      <c r="AW59" s="92" t="str">
        <f t="shared" si="24"/>
        <v/>
      </c>
      <c r="BB59" s="186" t="str">
        <f t="shared" si="26"/>
        <v/>
      </c>
      <c r="BC59" s="186" t="str">
        <f t="shared" si="26"/>
        <v/>
      </c>
      <c r="BE59" s="188">
        <f t="shared" si="27"/>
        <v>0</v>
      </c>
    </row>
    <row r="60" spans="2:57" x14ac:dyDescent="0.25">
      <c r="B60" s="57" t="str">
        <f t="shared" si="0"/>
        <v/>
      </c>
      <c r="C60" s="417" t="str">
        <f>IF('תנאי סף'!AO60&lt;&gt;1,"",'תנאי סף'!F60)</f>
        <v/>
      </c>
      <c r="D60" s="91" t="str">
        <f>IF($C60="","",IF(ייצוב!Y60="",$BA$1,ייצוב!Y60))</f>
        <v/>
      </c>
      <c r="E60" s="165"/>
      <c r="F60" s="91" t="str">
        <f>IF($C60="","",IF(ייצוב!G60="",$BA$1,ייצוב!G60))</f>
        <v/>
      </c>
      <c r="G60" s="426" t="str">
        <f>'סיכום לועדה- הזנת נתונים'!G60</f>
        <v/>
      </c>
      <c r="H60" s="267" t="str">
        <f t="shared" si="1"/>
        <v/>
      </c>
      <c r="I60" s="426" t="str">
        <f t="shared" si="2"/>
        <v/>
      </c>
      <c r="J60" s="427" t="str">
        <f t="shared" si="3"/>
        <v/>
      </c>
      <c r="K60" s="427" t="str">
        <f t="shared" si="4"/>
        <v/>
      </c>
      <c r="L60" s="428" t="str">
        <f t="shared" si="5"/>
        <v/>
      </c>
      <c r="M60" s="428" t="str">
        <f t="shared" si="28"/>
        <v/>
      </c>
      <c r="N60" s="429" t="str">
        <f t="shared" si="6"/>
        <v/>
      </c>
      <c r="O60" s="429" t="str">
        <f t="shared" si="29"/>
        <v/>
      </c>
      <c r="P60" s="428" t="str">
        <f t="shared" si="7"/>
        <v/>
      </c>
      <c r="Q60" s="428" t="str">
        <f t="shared" si="30"/>
        <v/>
      </c>
      <c r="R60" s="429" t="str">
        <f t="shared" si="8"/>
        <v/>
      </c>
      <c r="S60" s="429" t="str">
        <f t="shared" si="31"/>
        <v/>
      </c>
      <c r="T60" s="428" t="str">
        <f t="shared" si="9"/>
        <v/>
      </c>
      <c r="U60" s="428" t="str">
        <f t="shared" si="32"/>
        <v/>
      </c>
      <c r="V60" s="429" t="str">
        <f t="shared" si="10"/>
        <v/>
      </c>
      <c r="W60" s="429" t="str">
        <f t="shared" si="33"/>
        <v/>
      </c>
      <c r="X60" s="428" t="str">
        <f t="shared" si="11"/>
        <v/>
      </c>
      <c r="Y60" s="428" t="str">
        <f t="shared" si="34"/>
        <v/>
      </c>
      <c r="Z60" s="429" t="str">
        <f t="shared" si="12"/>
        <v/>
      </c>
      <c r="AA60" s="429" t="str">
        <f t="shared" si="35"/>
        <v/>
      </c>
      <c r="AB60" s="428" t="str">
        <f t="shared" si="13"/>
        <v/>
      </c>
      <c r="AC60" s="428" t="str">
        <f t="shared" si="36"/>
        <v/>
      </c>
      <c r="AD60" s="429" t="str">
        <f t="shared" si="14"/>
        <v/>
      </c>
      <c r="AE60" s="429" t="str">
        <f t="shared" si="37"/>
        <v/>
      </c>
      <c r="AF60" s="428" t="str">
        <f t="shared" si="15"/>
        <v/>
      </c>
      <c r="AG60" s="428" t="str">
        <f t="shared" si="38"/>
        <v/>
      </c>
      <c r="AH60" s="429" t="str">
        <f t="shared" si="16"/>
        <v/>
      </c>
      <c r="AI60" s="429" t="str">
        <f t="shared" si="39"/>
        <v/>
      </c>
      <c r="AJ60" s="428" t="str">
        <f t="shared" si="17"/>
        <v/>
      </c>
      <c r="AK60" s="428" t="str">
        <f t="shared" si="40"/>
        <v/>
      </c>
      <c r="AL60" s="429" t="str">
        <f t="shared" si="18"/>
        <v/>
      </c>
      <c r="AM60" s="429" t="str">
        <f t="shared" si="41"/>
        <v/>
      </c>
      <c r="AN60" s="428" t="str">
        <f t="shared" si="19"/>
        <v/>
      </c>
      <c r="AO60" s="428" t="str">
        <f t="shared" si="42"/>
        <v/>
      </c>
      <c r="AP60" s="429" t="str">
        <f t="shared" si="20"/>
        <v/>
      </c>
      <c r="AQ60" s="429" t="str">
        <f t="shared" si="43"/>
        <v/>
      </c>
      <c r="AR60" s="428" t="str">
        <f t="shared" si="21"/>
        <v/>
      </c>
      <c r="AS60" s="428" t="str">
        <f t="shared" si="44"/>
        <v/>
      </c>
      <c r="AT60" s="429" t="str">
        <f t="shared" si="22"/>
        <v/>
      </c>
      <c r="AU60" s="429" t="str">
        <f t="shared" si="25"/>
        <v/>
      </c>
      <c r="AV60" s="419" t="str">
        <f t="shared" si="23"/>
        <v/>
      </c>
      <c r="AW60" s="92" t="str">
        <f t="shared" si="24"/>
        <v/>
      </c>
      <c r="BB60" s="186" t="str">
        <f t="shared" si="26"/>
        <v/>
      </c>
      <c r="BC60" s="186" t="str">
        <f t="shared" si="26"/>
        <v/>
      </c>
      <c r="BE60" s="188">
        <f t="shared" si="27"/>
        <v>0</v>
      </c>
    </row>
    <row r="61" spans="2:57" x14ac:dyDescent="0.25">
      <c r="B61" s="57" t="str">
        <f t="shared" si="0"/>
        <v/>
      </c>
      <c r="C61" s="417" t="str">
        <f>IF('תנאי סף'!AO61&lt;&gt;1,"",'תנאי סף'!F61)</f>
        <v/>
      </c>
      <c r="D61" s="91" t="str">
        <f>IF($C61="","",IF(ייצוב!Y61="",$BA$1,ייצוב!Y61))</f>
        <v/>
      </c>
      <c r="E61" s="165"/>
      <c r="F61" s="91" t="str">
        <f>IF($C61="","",IF(ייצוב!G61="",$BA$1,ייצוב!G61))</f>
        <v/>
      </c>
      <c r="G61" s="426" t="str">
        <f>'סיכום לועדה- הזנת נתונים'!G61</f>
        <v/>
      </c>
      <c r="H61" s="267" t="str">
        <f t="shared" si="1"/>
        <v/>
      </c>
      <c r="I61" s="426" t="str">
        <f t="shared" si="2"/>
        <v/>
      </c>
      <c r="J61" s="427" t="str">
        <f t="shared" si="3"/>
        <v/>
      </c>
      <c r="K61" s="427" t="str">
        <f t="shared" si="4"/>
        <v/>
      </c>
      <c r="L61" s="428" t="str">
        <f t="shared" si="5"/>
        <v/>
      </c>
      <c r="M61" s="428" t="str">
        <f t="shared" si="28"/>
        <v/>
      </c>
      <c r="N61" s="429" t="str">
        <f t="shared" si="6"/>
        <v/>
      </c>
      <c r="O61" s="429" t="str">
        <f t="shared" si="29"/>
        <v/>
      </c>
      <c r="P61" s="428" t="str">
        <f t="shared" si="7"/>
        <v/>
      </c>
      <c r="Q61" s="428" t="str">
        <f t="shared" si="30"/>
        <v/>
      </c>
      <c r="R61" s="429" t="str">
        <f t="shared" si="8"/>
        <v/>
      </c>
      <c r="S61" s="429" t="str">
        <f t="shared" si="31"/>
        <v/>
      </c>
      <c r="T61" s="428" t="str">
        <f t="shared" si="9"/>
        <v/>
      </c>
      <c r="U61" s="428" t="str">
        <f t="shared" si="32"/>
        <v/>
      </c>
      <c r="V61" s="429" t="str">
        <f t="shared" si="10"/>
        <v/>
      </c>
      <c r="W61" s="429" t="str">
        <f t="shared" si="33"/>
        <v/>
      </c>
      <c r="X61" s="428" t="str">
        <f t="shared" si="11"/>
        <v/>
      </c>
      <c r="Y61" s="428" t="str">
        <f t="shared" si="34"/>
        <v/>
      </c>
      <c r="Z61" s="429" t="str">
        <f t="shared" si="12"/>
        <v/>
      </c>
      <c r="AA61" s="429" t="str">
        <f t="shared" si="35"/>
        <v/>
      </c>
      <c r="AB61" s="428" t="str">
        <f t="shared" si="13"/>
        <v/>
      </c>
      <c r="AC61" s="428" t="str">
        <f t="shared" si="36"/>
        <v/>
      </c>
      <c r="AD61" s="429" t="str">
        <f t="shared" si="14"/>
        <v/>
      </c>
      <c r="AE61" s="429" t="str">
        <f t="shared" si="37"/>
        <v/>
      </c>
      <c r="AF61" s="428" t="str">
        <f t="shared" si="15"/>
        <v/>
      </c>
      <c r="AG61" s="428" t="str">
        <f t="shared" si="38"/>
        <v/>
      </c>
      <c r="AH61" s="429" t="str">
        <f t="shared" si="16"/>
        <v/>
      </c>
      <c r="AI61" s="429" t="str">
        <f t="shared" si="39"/>
        <v/>
      </c>
      <c r="AJ61" s="428" t="str">
        <f t="shared" si="17"/>
        <v/>
      </c>
      <c r="AK61" s="428" t="str">
        <f t="shared" si="40"/>
        <v/>
      </c>
      <c r="AL61" s="429" t="str">
        <f t="shared" si="18"/>
        <v/>
      </c>
      <c r="AM61" s="429" t="str">
        <f t="shared" si="41"/>
        <v/>
      </c>
      <c r="AN61" s="428" t="str">
        <f t="shared" si="19"/>
        <v/>
      </c>
      <c r="AO61" s="428" t="str">
        <f t="shared" si="42"/>
        <v/>
      </c>
      <c r="AP61" s="429" t="str">
        <f t="shared" si="20"/>
        <v/>
      </c>
      <c r="AQ61" s="429" t="str">
        <f t="shared" si="43"/>
        <v/>
      </c>
      <c r="AR61" s="428" t="str">
        <f t="shared" si="21"/>
        <v/>
      </c>
      <c r="AS61" s="428" t="str">
        <f t="shared" si="44"/>
        <v/>
      </c>
      <c r="AT61" s="429" t="str">
        <f t="shared" si="22"/>
        <v/>
      </c>
      <c r="AU61" s="429" t="str">
        <f t="shared" si="25"/>
        <v/>
      </c>
      <c r="AV61" s="419" t="str">
        <f t="shared" si="23"/>
        <v/>
      </c>
      <c r="AW61" s="92" t="str">
        <f t="shared" si="24"/>
        <v/>
      </c>
      <c r="BB61" s="186" t="str">
        <f t="shared" si="26"/>
        <v/>
      </c>
      <c r="BC61" s="186" t="str">
        <f t="shared" si="26"/>
        <v/>
      </c>
      <c r="BE61" s="188">
        <f t="shared" si="27"/>
        <v>0</v>
      </c>
    </row>
    <row r="62" spans="2:57" x14ac:dyDescent="0.25">
      <c r="B62" s="57" t="str">
        <f t="shared" si="0"/>
        <v/>
      </c>
      <c r="C62" s="417" t="str">
        <f>IF('תנאי סף'!AO62&lt;&gt;1,"",'תנאי סף'!F62)</f>
        <v/>
      </c>
      <c r="D62" s="91" t="str">
        <f>IF($C62="","",IF(ייצוב!Y62="",$BA$1,ייצוב!Y62))</f>
        <v/>
      </c>
      <c r="E62" s="165"/>
      <c r="F62" s="91" t="str">
        <f>IF($C62="","",IF(ייצוב!G62="",$BA$1,ייצוב!G62))</f>
        <v/>
      </c>
      <c r="G62" s="426" t="str">
        <f>'סיכום לועדה- הזנת נתונים'!G62</f>
        <v/>
      </c>
      <c r="H62" s="267" t="str">
        <f t="shared" si="1"/>
        <v/>
      </c>
      <c r="I62" s="426" t="str">
        <f t="shared" si="2"/>
        <v/>
      </c>
      <c r="J62" s="427" t="str">
        <f t="shared" si="3"/>
        <v/>
      </c>
      <c r="K62" s="427" t="str">
        <f t="shared" si="4"/>
        <v/>
      </c>
      <c r="L62" s="428" t="str">
        <f t="shared" si="5"/>
        <v/>
      </c>
      <c r="M62" s="428" t="str">
        <f t="shared" si="28"/>
        <v/>
      </c>
      <c r="N62" s="429" t="str">
        <f t="shared" si="6"/>
        <v/>
      </c>
      <c r="O62" s="429" t="str">
        <f t="shared" si="29"/>
        <v/>
      </c>
      <c r="P62" s="428" t="str">
        <f t="shared" si="7"/>
        <v/>
      </c>
      <c r="Q62" s="428" t="str">
        <f t="shared" si="30"/>
        <v/>
      </c>
      <c r="R62" s="429" t="str">
        <f t="shared" si="8"/>
        <v/>
      </c>
      <c r="S62" s="429" t="str">
        <f t="shared" si="31"/>
        <v/>
      </c>
      <c r="T62" s="428" t="str">
        <f t="shared" si="9"/>
        <v/>
      </c>
      <c r="U62" s="428" t="str">
        <f t="shared" si="32"/>
        <v/>
      </c>
      <c r="V62" s="429" t="str">
        <f t="shared" si="10"/>
        <v/>
      </c>
      <c r="W62" s="429" t="str">
        <f t="shared" si="33"/>
        <v/>
      </c>
      <c r="X62" s="428" t="str">
        <f t="shared" si="11"/>
        <v/>
      </c>
      <c r="Y62" s="428" t="str">
        <f t="shared" si="34"/>
        <v/>
      </c>
      <c r="Z62" s="429" t="str">
        <f t="shared" si="12"/>
        <v/>
      </c>
      <c r="AA62" s="429" t="str">
        <f t="shared" si="35"/>
        <v/>
      </c>
      <c r="AB62" s="428" t="str">
        <f t="shared" si="13"/>
        <v/>
      </c>
      <c r="AC62" s="428" t="str">
        <f t="shared" si="36"/>
        <v/>
      </c>
      <c r="AD62" s="429" t="str">
        <f t="shared" si="14"/>
        <v/>
      </c>
      <c r="AE62" s="429" t="str">
        <f t="shared" si="37"/>
        <v/>
      </c>
      <c r="AF62" s="428" t="str">
        <f t="shared" si="15"/>
        <v/>
      </c>
      <c r="AG62" s="428" t="str">
        <f t="shared" si="38"/>
        <v/>
      </c>
      <c r="AH62" s="429" t="str">
        <f t="shared" si="16"/>
        <v/>
      </c>
      <c r="AI62" s="429" t="str">
        <f t="shared" si="39"/>
        <v/>
      </c>
      <c r="AJ62" s="428" t="str">
        <f t="shared" si="17"/>
        <v/>
      </c>
      <c r="AK62" s="428" t="str">
        <f t="shared" si="40"/>
        <v/>
      </c>
      <c r="AL62" s="429" t="str">
        <f t="shared" si="18"/>
        <v/>
      </c>
      <c r="AM62" s="429" t="str">
        <f t="shared" si="41"/>
        <v/>
      </c>
      <c r="AN62" s="428" t="str">
        <f t="shared" si="19"/>
        <v/>
      </c>
      <c r="AO62" s="428" t="str">
        <f t="shared" si="42"/>
        <v/>
      </c>
      <c r="AP62" s="429" t="str">
        <f t="shared" si="20"/>
        <v/>
      </c>
      <c r="AQ62" s="429" t="str">
        <f t="shared" si="43"/>
        <v/>
      </c>
      <c r="AR62" s="428" t="str">
        <f t="shared" si="21"/>
        <v/>
      </c>
      <c r="AS62" s="428" t="str">
        <f t="shared" si="44"/>
        <v/>
      </c>
      <c r="AT62" s="429" t="str">
        <f t="shared" si="22"/>
        <v/>
      </c>
      <c r="AU62" s="429" t="str">
        <f t="shared" si="25"/>
        <v/>
      </c>
      <c r="AV62" s="419" t="str">
        <f t="shared" si="23"/>
        <v/>
      </c>
      <c r="AW62" s="92" t="str">
        <f t="shared" si="24"/>
        <v/>
      </c>
      <c r="BB62" s="186" t="str">
        <f t="shared" si="26"/>
        <v/>
      </c>
      <c r="BC62" s="186" t="str">
        <f t="shared" si="26"/>
        <v/>
      </c>
      <c r="BE62" s="188">
        <f t="shared" si="27"/>
        <v>0</v>
      </c>
    </row>
    <row r="63" spans="2:57" x14ac:dyDescent="0.25">
      <c r="B63" s="57" t="str">
        <f t="shared" si="0"/>
        <v/>
      </c>
      <c r="C63" s="417" t="str">
        <f>IF('תנאי סף'!AO63&lt;&gt;1,"",'תנאי סף'!F63)</f>
        <v/>
      </c>
      <c r="D63" s="91" t="str">
        <f>IF($C63="","",IF(ייצוב!Y63="",$BA$1,ייצוב!Y63))</f>
        <v/>
      </c>
      <c r="E63" s="165"/>
      <c r="F63" s="91" t="str">
        <f>IF($C63="","",IF(ייצוב!G63="",$BA$1,ייצוב!G63))</f>
        <v/>
      </c>
      <c r="G63" s="426" t="str">
        <f>'סיכום לועדה- הזנת נתונים'!G63</f>
        <v/>
      </c>
      <c r="H63" s="267" t="str">
        <f t="shared" ref="H63:H94" si="45">IF($C63="","",IF(OR(D63="",F63="",BE63&lt;&gt;1),$BA$1,IF($D63&lt;$F63*$H$6,1,0)))</f>
        <v/>
      </c>
      <c r="I63" s="426" t="str">
        <f t="shared" si="2"/>
        <v/>
      </c>
      <c r="J63" s="427" t="str">
        <f t="shared" ref="J63:J94" si="46">IF($C63="","",IF(I63=1,$F63*$H$6,$D63))</f>
        <v/>
      </c>
      <c r="K63" s="427" t="str">
        <f t="shared" si="4"/>
        <v/>
      </c>
      <c r="L63" s="428" t="str">
        <f t="shared" ref="L63:L94" si="47">IF($C63="","",IF(K63&lt;$F63*$H$6,1,0))</f>
        <v/>
      </c>
      <c r="M63" s="428" t="str">
        <f t="shared" si="28"/>
        <v/>
      </c>
      <c r="N63" s="429" t="str">
        <f t="shared" ref="N63:N94" si="48">IF($C63="","",IF(M63=1,$F63*$H$6,$J63))</f>
        <v/>
      </c>
      <c r="O63" s="429" t="str">
        <f t="shared" si="29"/>
        <v/>
      </c>
      <c r="P63" s="428" t="str">
        <f t="shared" ref="P63:P94" si="49">IF($C63="","",IF(O63&lt;$F63*$H$6,1,0))</f>
        <v/>
      </c>
      <c r="Q63" s="428" t="str">
        <f t="shared" si="30"/>
        <v/>
      </c>
      <c r="R63" s="429" t="str">
        <f t="shared" ref="R63:R94" si="50">IF($C63="","",IF(Q63=1,$F63*$H$6,$N63))</f>
        <v/>
      </c>
      <c r="S63" s="429" t="str">
        <f t="shared" si="31"/>
        <v/>
      </c>
      <c r="T63" s="428" t="str">
        <f t="shared" ref="T63:T94" si="51">IF($C63="","",IF(S63&lt;$F63*$H$6,1,0))</f>
        <v/>
      </c>
      <c r="U63" s="428" t="str">
        <f t="shared" si="32"/>
        <v/>
      </c>
      <c r="V63" s="429" t="str">
        <f t="shared" ref="V63:V94" si="52">IF($C63="","",IF(U63=1,$F63*$H$6,S63))</f>
        <v/>
      </c>
      <c r="W63" s="429" t="str">
        <f t="shared" si="33"/>
        <v/>
      </c>
      <c r="X63" s="428" t="str">
        <f t="shared" ref="X63:X94" si="53">IF($C63="","",IF(W63&lt;$F63*$H$6,1,0))</f>
        <v/>
      </c>
      <c r="Y63" s="428" t="str">
        <f t="shared" si="34"/>
        <v/>
      </c>
      <c r="Z63" s="429" t="str">
        <f t="shared" ref="Z63:Z94" si="54">IF($C63="","",IF(Y63=1,$F63*$H$6,W63))</f>
        <v/>
      </c>
      <c r="AA63" s="429" t="str">
        <f t="shared" si="35"/>
        <v/>
      </c>
      <c r="AB63" s="428" t="str">
        <f t="shared" ref="AB63:AB94" si="55">IF($C63="","",IF(AA63&lt;$F63*$H$6,1,0))</f>
        <v/>
      </c>
      <c r="AC63" s="428" t="str">
        <f t="shared" si="36"/>
        <v/>
      </c>
      <c r="AD63" s="429" t="str">
        <f t="shared" ref="AD63:AD94" si="56">IF($C63="","",IF(AC63=1,$F63*$H$6,AA63))</f>
        <v/>
      </c>
      <c r="AE63" s="429" t="str">
        <f t="shared" si="37"/>
        <v/>
      </c>
      <c r="AF63" s="428" t="str">
        <f t="shared" ref="AF63:AF94" si="57">IF($C63="","",IF(AE63&lt;$F63*$H$6,1,0))</f>
        <v/>
      </c>
      <c r="AG63" s="428" t="str">
        <f t="shared" si="38"/>
        <v/>
      </c>
      <c r="AH63" s="429" t="str">
        <f t="shared" ref="AH63:AH94" si="58">IF($C63="","",IF(AG63=1,$F63*$H$6,AE63))</f>
        <v/>
      </c>
      <c r="AI63" s="429" t="str">
        <f t="shared" si="39"/>
        <v/>
      </c>
      <c r="AJ63" s="428" t="str">
        <f t="shared" ref="AJ63:AJ94" si="59">IF($C63="","",IF(AI63&lt;$F63*$H$6,1,0))</f>
        <v/>
      </c>
      <c r="AK63" s="428" t="str">
        <f t="shared" si="40"/>
        <v/>
      </c>
      <c r="AL63" s="429" t="str">
        <f t="shared" ref="AL63:AL94" si="60">IF($C63="","",IF(AK63=1,$F63*$H$6,AI63))</f>
        <v/>
      </c>
      <c r="AM63" s="429" t="str">
        <f t="shared" si="41"/>
        <v/>
      </c>
      <c r="AN63" s="428" t="str">
        <f t="shared" ref="AN63:AN94" si="61">IF($C63="","",IF(AM63&lt;$F63*$H$6,1,0))</f>
        <v/>
      </c>
      <c r="AO63" s="428" t="str">
        <f t="shared" si="42"/>
        <v/>
      </c>
      <c r="AP63" s="429" t="str">
        <f t="shared" ref="AP63:AP94" si="62">IF($C63="","",IF(AO63=1,$F63*$H$6,AM63))</f>
        <v/>
      </c>
      <c r="AQ63" s="429" t="str">
        <f t="shared" si="43"/>
        <v/>
      </c>
      <c r="AR63" s="428" t="str">
        <f t="shared" ref="AR63:AR94" si="63">IF($C63="","",IF(OR(AQ63&lt;$F63*$H$6,AO63=1,AK63=1,AG63=1,AC63=1,Y63=1,U63=1,Q63=1,M63=1,I63=1),1,0))</f>
        <v/>
      </c>
      <c r="AS63" s="428" t="str">
        <f t="shared" si="44"/>
        <v/>
      </c>
      <c r="AT63" s="429" t="str">
        <f t="shared" ref="AT63:AT94" si="64">IF($C63="","",IF(AS63=1,$F63*$H$6,AQ63))</f>
        <v/>
      </c>
      <c r="AU63" s="429" t="str">
        <f t="shared" si="25"/>
        <v/>
      </c>
      <c r="AV63" s="419" t="str">
        <f t="shared" ref="AV63:AV94" si="65">IF(C63="","",IFERROR(AU63/SUM($AU$31:$AU$130),$BA$1))</f>
        <v/>
      </c>
      <c r="AW63" s="92" t="str">
        <f t="shared" ref="AW63:AW94" si="66">IF(C63="","",IFERROR(AV63*$C$2,$BA$1))</f>
        <v/>
      </c>
      <c r="BB63" s="186" t="str">
        <f t="shared" si="26"/>
        <v/>
      </c>
      <c r="BC63" s="186" t="str">
        <f t="shared" si="26"/>
        <v/>
      </c>
      <c r="BE63" s="188">
        <f t="shared" si="27"/>
        <v>0</v>
      </c>
    </row>
    <row r="64" spans="2:57" x14ac:dyDescent="0.25">
      <c r="B64" s="57" t="str">
        <f t="shared" si="0"/>
        <v/>
      </c>
      <c r="C64" s="417" t="str">
        <f>IF('תנאי סף'!AO64&lt;&gt;1,"",'תנאי סף'!F64)</f>
        <v/>
      </c>
      <c r="D64" s="91" t="str">
        <f>IF($C64="","",IF(ייצוב!Y64="",$BA$1,ייצוב!Y64))</f>
        <v/>
      </c>
      <c r="E64" s="165"/>
      <c r="F64" s="91" t="str">
        <f>IF($C64="","",IF(ייצוב!G64="",$BA$1,ייצוב!G64))</f>
        <v/>
      </c>
      <c r="G64" s="426" t="str">
        <f>'סיכום לועדה- הזנת נתונים'!G64</f>
        <v/>
      </c>
      <c r="H64" s="267" t="str">
        <f t="shared" si="45"/>
        <v/>
      </c>
      <c r="I64" s="426" t="str">
        <f t="shared" si="2"/>
        <v/>
      </c>
      <c r="J64" s="427" t="str">
        <f t="shared" si="46"/>
        <v/>
      </c>
      <c r="K64" s="427" t="str">
        <f t="shared" si="4"/>
        <v/>
      </c>
      <c r="L64" s="428" t="str">
        <f t="shared" si="47"/>
        <v/>
      </c>
      <c r="M64" s="428" t="str">
        <f t="shared" si="28"/>
        <v/>
      </c>
      <c r="N64" s="429" t="str">
        <f t="shared" si="48"/>
        <v/>
      </c>
      <c r="O64" s="429" t="str">
        <f t="shared" si="29"/>
        <v/>
      </c>
      <c r="P64" s="428" t="str">
        <f t="shared" si="49"/>
        <v/>
      </c>
      <c r="Q64" s="428" t="str">
        <f t="shared" si="30"/>
        <v/>
      </c>
      <c r="R64" s="429" t="str">
        <f t="shared" si="50"/>
        <v/>
      </c>
      <c r="S64" s="429" t="str">
        <f t="shared" si="31"/>
        <v/>
      </c>
      <c r="T64" s="428" t="str">
        <f t="shared" si="51"/>
        <v/>
      </c>
      <c r="U64" s="428" t="str">
        <f t="shared" si="32"/>
        <v/>
      </c>
      <c r="V64" s="429" t="str">
        <f t="shared" si="52"/>
        <v/>
      </c>
      <c r="W64" s="429" t="str">
        <f t="shared" si="33"/>
        <v/>
      </c>
      <c r="X64" s="428" t="str">
        <f t="shared" si="53"/>
        <v/>
      </c>
      <c r="Y64" s="428" t="str">
        <f t="shared" si="34"/>
        <v/>
      </c>
      <c r="Z64" s="429" t="str">
        <f t="shared" si="54"/>
        <v/>
      </c>
      <c r="AA64" s="429" t="str">
        <f t="shared" si="35"/>
        <v/>
      </c>
      <c r="AB64" s="428" t="str">
        <f t="shared" si="55"/>
        <v/>
      </c>
      <c r="AC64" s="428" t="str">
        <f t="shared" si="36"/>
        <v/>
      </c>
      <c r="AD64" s="429" t="str">
        <f t="shared" si="56"/>
        <v/>
      </c>
      <c r="AE64" s="429" t="str">
        <f t="shared" si="37"/>
        <v/>
      </c>
      <c r="AF64" s="428" t="str">
        <f t="shared" si="57"/>
        <v/>
      </c>
      <c r="AG64" s="428" t="str">
        <f t="shared" si="38"/>
        <v/>
      </c>
      <c r="AH64" s="429" t="str">
        <f t="shared" si="58"/>
        <v/>
      </c>
      <c r="AI64" s="429" t="str">
        <f t="shared" si="39"/>
        <v/>
      </c>
      <c r="AJ64" s="428" t="str">
        <f t="shared" si="59"/>
        <v/>
      </c>
      <c r="AK64" s="428" t="str">
        <f t="shared" si="40"/>
        <v/>
      </c>
      <c r="AL64" s="429" t="str">
        <f t="shared" si="60"/>
        <v/>
      </c>
      <c r="AM64" s="429" t="str">
        <f t="shared" si="41"/>
        <v/>
      </c>
      <c r="AN64" s="428" t="str">
        <f t="shared" si="61"/>
        <v/>
      </c>
      <c r="AO64" s="428" t="str">
        <f t="shared" si="42"/>
        <v/>
      </c>
      <c r="AP64" s="429" t="str">
        <f t="shared" si="62"/>
        <v/>
      </c>
      <c r="AQ64" s="429" t="str">
        <f t="shared" si="43"/>
        <v/>
      </c>
      <c r="AR64" s="428" t="str">
        <f t="shared" si="63"/>
        <v/>
      </c>
      <c r="AS64" s="428" t="str">
        <f t="shared" si="44"/>
        <v/>
      </c>
      <c r="AT64" s="429" t="str">
        <f t="shared" si="64"/>
        <v/>
      </c>
      <c r="AU64" s="429" t="str">
        <f t="shared" si="25"/>
        <v/>
      </c>
      <c r="AV64" s="419" t="str">
        <f t="shared" si="65"/>
        <v/>
      </c>
      <c r="AW64" s="92" t="str">
        <f t="shared" si="66"/>
        <v/>
      </c>
      <c r="BB64" s="186" t="str">
        <f t="shared" ref="BB64:BC95" si="67">IF($C64="","",BB$30)</f>
        <v/>
      </c>
      <c r="BC64" s="186" t="str">
        <f t="shared" si="67"/>
        <v/>
      </c>
      <c r="BE64" s="188">
        <f t="shared" si="27"/>
        <v>0</v>
      </c>
    </row>
    <row r="65" spans="2:57" x14ac:dyDescent="0.25">
      <c r="B65" s="57">
        <f t="shared" si="0"/>
        <v>35</v>
      </c>
      <c r="C65" s="417" t="str">
        <f>IF('תנאי סף'!AO65&lt;&gt;1,"",'תנאי סף'!F65)</f>
        <v>אנסמבל מיתר</v>
      </c>
      <c r="D65" s="91">
        <f>IF($C65="","",IF(ייצוב!Y65="",$BA$1,ייצוב!Y65))</f>
        <v>6.5086405339862069E-2</v>
      </c>
      <c r="E65" s="165"/>
      <c r="F65" s="91">
        <f>IF($C65="","",IF(ייצוב!G65="",$BA$1,ייצוב!G65))</f>
        <v>5.5152208442034056E-2</v>
      </c>
      <c r="G65" s="426">
        <f>'סיכום לועדה- הזנת נתונים'!G65</f>
        <v>1</v>
      </c>
      <c r="H65" s="267">
        <f t="shared" si="45"/>
        <v>0</v>
      </c>
      <c r="I65" s="426">
        <f t="shared" si="2"/>
        <v>0</v>
      </c>
      <c r="J65" s="427">
        <f t="shared" si="46"/>
        <v>6.5086405339862069E-2</v>
      </c>
      <c r="K65" s="427">
        <f t="shared" si="4"/>
        <v>6.5086405339862041E-2</v>
      </c>
      <c r="L65" s="428">
        <f t="shared" si="47"/>
        <v>0</v>
      </c>
      <c r="M65" s="428">
        <f t="shared" si="28"/>
        <v>0</v>
      </c>
      <c r="N65" s="429">
        <f t="shared" si="48"/>
        <v>6.5086405339862069E-2</v>
      </c>
      <c r="O65" s="429">
        <f t="shared" si="29"/>
        <v>6.5086405339862041E-2</v>
      </c>
      <c r="P65" s="428">
        <f t="shared" si="49"/>
        <v>0</v>
      </c>
      <c r="Q65" s="428">
        <f t="shared" si="30"/>
        <v>0</v>
      </c>
      <c r="R65" s="429">
        <f t="shared" si="50"/>
        <v>6.5086405339862069E-2</v>
      </c>
      <c r="S65" s="429">
        <f t="shared" si="31"/>
        <v>6.5086405339862041E-2</v>
      </c>
      <c r="T65" s="428">
        <f t="shared" si="51"/>
        <v>0</v>
      </c>
      <c r="U65" s="428">
        <f t="shared" si="32"/>
        <v>0</v>
      </c>
      <c r="V65" s="429">
        <f t="shared" si="52"/>
        <v>6.5086405339862041E-2</v>
      </c>
      <c r="W65" s="429">
        <f t="shared" si="33"/>
        <v>6.5086405339862055E-2</v>
      </c>
      <c r="X65" s="428">
        <f t="shared" si="53"/>
        <v>0</v>
      </c>
      <c r="Y65" s="428">
        <f t="shared" si="34"/>
        <v>0</v>
      </c>
      <c r="Z65" s="429">
        <f t="shared" si="54"/>
        <v>6.5086405339862055E-2</v>
      </c>
      <c r="AA65" s="429">
        <f t="shared" si="35"/>
        <v>6.5086405339862041E-2</v>
      </c>
      <c r="AB65" s="428">
        <f t="shared" si="55"/>
        <v>0</v>
      </c>
      <c r="AC65" s="428">
        <f t="shared" si="36"/>
        <v>0</v>
      </c>
      <c r="AD65" s="429">
        <f t="shared" si="56"/>
        <v>6.5086405339862041E-2</v>
      </c>
      <c r="AE65" s="429">
        <f t="shared" si="37"/>
        <v>6.5086405339862055E-2</v>
      </c>
      <c r="AF65" s="428">
        <f t="shared" si="57"/>
        <v>0</v>
      </c>
      <c r="AG65" s="428">
        <f t="shared" si="38"/>
        <v>0</v>
      </c>
      <c r="AH65" s="429">
        <f t="shared" si="58"/>
        <v>6.5086405339862055E-2</v>
      </c>
      <c r="AI65" s="429">
        <f t="shared" si="39"/>
        <v>6.5086405339862041E-2</v>
      </c>
      <c r="AJ65" s="428">
        <f t="shared" si="59"/>
        <v>0</v>
      </c>
      <c r="AK65" s="428">
        <f t="shared" si="40"/>
        <v>0</v>
      </c>
      <c r="AL65" s="429">
        <f t="shared" si="60"/>
        <v>6.5086405339862041E-2</v>
      </c>
      <c r="AM65" s="429">
        <f t="shared" si="41"/>
        <v>6.5086405339862055E-2</v>
      </c>
      <c r="AN65" s="428">
        <f t="shared" si="61"/>
        <v>0</v>
      </c>
      <c r="AO65" s="428">
        <f t="shared" si="42"/>
        <v>0</v>
      </c>
      <c r="AP65" s="429">
        <f t="shared" si="62"/>
        <v>6.5086405339862055E-2</v>
      </c>
      <c r="AQ65" s="429">
        <f t="shared" si="43"/>
        <v>6.5086405339862041E-2</v>
      </c>
      <c r="AR65" s="428">
        <f t="shared" si="63"/>
        <v>0</v>
      </c>
      <c r="AS65" s="428">
        <f t="shared" si="44"/>
        <v>0</v>
      </c>
      <c r="AT65" s="429">
        <f t="shared" si="64"/>
        <v>6.5086405339862041E-2</v>
      </c>
      <c r="AU65" s="429">
        <f t="shared" si="25"/>
        <v>6.5086405339862055E-2</v>
      </c>
      <c r="AV65" s="419">
        <f t="shared" si="65"/>
        <v>6.5086405339862041E-2</v>
      </c>
      <c r="AW65" s="92">
        <f t="shared" si="66"/>
        <v>200229.66953617538</v>
      </c>
      <c r="BB65" s="186">
        <f t="shared" si="67"/>
        <v>0</v>
      </c>
      <c r="BC65" s="186">
        <f t="shared" si="67"/>
        <v>1</v>
      </c>
      <c r="BE65" s="188">
        <f t="shared" si="27"/>
        <v>1</v>
      </c>
    </row>
    <row r="66" spans="2:57" x14ac:dyDescent="0.25">
      <c r="B66" s="57" t="str">
        <f t="shared" si="0"/>
        <v/>
      </c>
      <c r="C66" s="417" t="str">
        <f>IF('תנאי סף'!AO66&lt;&gt;1,"",'תנאי סף'!F66)</f>
        <v/>
      </c>
      <c r="D66" s="91" t="str">
        <f>IF($C66="","",IF(ייצוב!Y66="",$BA$1,ייצוב!Y66))</f>
        <v/>
      </c>
      <c r="E66" s="165"/>
      <c r="F66" s="91" t="str">
        <f>IF($C66="","",IF(ייצוב!G66="",$BA$1,ייצוב!G66))</f>
        <v/>
      </c>
      <c r="G66" s="426" t="str">
        <f>'סיכום לועדה- הזנת נתונים'!G66</f>
        <v/>
      </c>
      <c r="H66" s="267" t="str">
        <f t="shared" si="45"/>
        <v/>
      </c>
      <c r="I66" s="426" t="str">
        <f t="shared" si="2"/>
        <v/>
      </c>
      <c r="J66" s="427" t="str">
        <f t="shared" si="46"/>
        <v/>
      </c>
      <c r="K66" s="427" t="str">
        <f t="shared" si="4"/>
        <v/>
      </c>
      <c r="L66" s="428" t="str">
        <f t="shared" si="47"/>
        <v/>
      </c>
      <c r="M66" s="428" t="str">
        <f t="shared" si="28"/>
        <v/>
      </c>
      <c r="N66" s="429" t="str">
        <f t="shared" si="48"/>
        <v/>
      </c>
      <c r="O66" s="429" t="str">
        <f t="shared" si="29"/>
        <v/>
      </c>
      <c r="P66" s="428" t="str">
        <f t="shared" si="49"/>
        <v/>
      </c>
      <c r="Q66" s="428" t="str">
        <f t="shared" si="30"/>
        <v/>
      </c>
      <c r="R66" s="429" t="str">
        <f t="shared" si="50"/>
        <v/>
      </c>
      <c r="S66" s="429" t="str">
        <f t="shared" si="31"/>
        <v/>
      </c>
      <c r="T66" s="428" t="str">
        <f t="shared" si="51"/>
        <v/>
      </c>
      <c r="U66" s="428" t="str">
        <f t="shared" si="32"/>
        <v/>
      </c>
      <c r="V66" s="429" t="str">
        <f t="shared" si="52"/>
        <v/>
      </c>
      <c r="W66" s="429" t="str">
        <f t="shared" si="33"/>
        <v/>
      </c>
      <c r="X66" s="428" t="str">
        <f t="shared" si="53"/>
        <v/>
      </c>
      <c r="Y66" s="428" t="str">
        <f t="shared" si="34"/>
        <v/>
      </c>
      <c r="Z66" s="429" t="str">
        <f t="shared" si="54"/>
        <v/>
      </c>
      <c r="AA66" s="429" t="str">
        <f t="shared" si="35"/>
        <v/>
      </c>
      <c r="AB66" s="428" t="str">
        <f t="shared" si="55"/>
        <v/>
      </c>
      <c r="AC66" s="428" t="str">
        <f t="shared" si="36"/>
        <v/>
      </c>
      <c r="AD66" s="429" t="str">
        <f t="shared" si="56"/>
        <v/>
      </c>
      <c r="AE66" s="429" t="str">
        <f t="shared" si="37"/>
        <v/>
      </c>
      <c r="AF66" s="428" t="str">
        <f t="shared" si="57"/>
        <v/>
      </c>
      <c r="AG66" s="428" t="str">
        <f t="shared" si="38"/>
        <v/>
      </c>
      <c r="AH66" s="429" t="str">
        <f t="shared" si="58"/>
        <v/>
      </c>
      <c r="AI66" s="429" t="str">
        <f t="shared" si="39"/>
        <v/>
      </c>
      <c r="AJ66" s="428" t="str">
        <f t="shared" si="59"/>
        <v/>
      </c>
      <c r="AK66" s="428" t="str">
        <f t="shared" si="40"/>
        <v/>
      </c>
      <c r="AL66" s="429" t="str">
        <f t="shared" si="60"/>
        <v/>
      </c>
      <c r="AM66" s="429" t="str">
        <f t="shared" si="41"/>
        <v/>
      </c>
      <c r="AN66" s="428" t="str">
        <f t="shared" si="61"/>
        <v/>
      </c>
      <c r="AO66" s="428" t="str">
        <f t="shared" si="42"/>
        <v/>
      </c>
      <c r="AP66" s="429" t="str">
        <f t="shared" si="62"/>
        <v/>
      </c>
      <c r="AQ66" s="429" t="str">
        <f t="shared" si="43"/>
        <v/>
      </c>
      <c r="AR66" s="428" t="str">
        <f t="shared" si="63"/>
        <v/>
      </c>
      <c r="AS66" s="428" t="str">
        <f t="shared" si="44"/>
        <v/>
      </c>
      <c r="AT66" s="429" t="str">
        <f t="shared" si="64"/>
        <v/>
      </c>
      <c r="AU66" s="429" t="str">
        <f t="shared" si="25"/>
        <v/>
      </c>
      <c r="AV66" s="419" t="str">
        <f t="shared" si="65"/>
        <v/>
      </c>
      <c r="AW66" s="92" t="str">
        <f t="shared" si="66"/>
        <v/>
      </c>
      <c r="BB66" s="186" t="str">
        <f t="shared" si="67"/>
        <v/>
      </c>
      <c r="BC66" s="186" t="str">
        <f t="shared" si="67"/>
        <v/>
      </c>
      <c r="BE66" s="188">
        <f t="shared" si="27"/>
        <v>0</v>
      </c>
    </row>
    <row r="67" spans="2:57" x14ac:dyDescent="0.25">
      <c r="B67" s="57">
        <f t="shared" si="0"/>
        <v>37</v>
      </c>
      <c r="C67" s="421" t="str">
        <f>IF('תנאי סף'!AO67&lt;&gt;1,"",'תנאי סף'!F67)</f>
        <v>אנסמבל ארז נטף</v>
      </c>
      <c r="D67" s="91">
        <f>IF($C67="","",IF(ייצוב!Y67="",$BA$1,ייצוב!Y67))</f>
        <v>3.0402618721232937E-2</v>
      </c>
      <c r="E67" s="165"/>
      <c r="F67" s="91">
        <f>IF($C67="","",IF(ייצוב!G67="",$BA$1,ייצוב!G67))</f>
        <v>2.4743768053921044E-2</v>
      </c>
      <c r="G67" s="426">
        <f>'סיכום לועדה- הזנת נתונים'!G67</f>
        <v>1</v>
      </c>
      <c r="H67" s="267">
        <f t="shared" si="45"/>
        <v>0</v>
      </c>
      <c r="I67" s="426">
        <f t="shared" si="2"/>
        <v>0</v>
      </c>
      <c r="J67" s="427">
        <f t="shared" si="46"/>
        <v>3.0402618721232937E-2</v>
      </c>
      <c r="K67" s="427">
        <f t="shared" si="4"/>
        <v>3.0402618721232923E-2</v>
      </c>
      <c r="L67" s="428">
        <f t="shared" si="47"/>
        <v>0</v>
      </c>
      <c r="M67" s="428">
        <f t="shared" si="28"/>
        <v>0</v>
      </c>
      <c r="N67" s="429">
        <f t="shared" si="48"/>
        <v>3.0402618721232937E-2</v>
      </c>
      <c r="O67" s="429">
        <f t="shared" si="29"/>
        <v>3.0402618721232923E-2</v>
      </c>
      <c r="P67" s="428">
        <f t="shared" si="49"/>
        <v>0</v>
      </c>
      <c r="Q67" s="428">
        <f t="shared" si="30"/>
        <v>0</v>
      </c>
      <c r="R67" s="429">
        <f t="shared" si="50"/>
        <v>3.0402618721232937E-2</v>
      </c>
      <c r="S67" s="429">
        <f t="shared" si="31"/>
        <v>3.0402618721232923E-2</v>
      </c>
      <c r="T67" s="428">
        <f t="shared" si="51"/>
        <v>0</v>
      </c>
      <c r="U67" s="428">
        <f t="shared" si="32"/>
        <v>0</v>
      </c>
      <c r="V67" s="429">
        <f t="shared" si="52"/>
        <v>3.0402618721232923E-2</v>
      </c>
      <c r="W67" s="429">
        <f t="shared" si="33"/>
        <v>3.0402618721232927E-2</v>
      </c>
      <c r="X67" s="428">
        <f t="shared" si="53"/>
        <v>0</v>
      </c>
      <c r="Y67" s="428">
        <f t="shared" si="34"/>
        <v>0</v>
      </c>
      <c r="Z67" s="429">
        <f t="shared" si="54"/>
        <v>3.0402618721232927E-2</v>
      </c>
      <c r="AA67" s="429">
        <f t="shared" si="35"/>
        <v>3.040261872123292E-2</v>
      </c>
      <c r="AB67" s="428">
        <f t="shared" si="55"/>
        <v>0</v>
      </c>
      <c r="AC67" s="428">
        <f t="shared" si="36"/>
        <v>0</v>
      </c>
      <c r="AD67" s="429">
        <f t="shared" si="56"/>
        <v>3.040261872123292E-2</v>
      </c>
      <c r="AE67" s="429">
        <f t="shared" si="37"/>
        <v>3.0402618721232927E-2</v>
      </c>
      <c r="AF67" s="428">
        <f t="shared" si="57"/>
        <v>0</v>
      </c>
      <c r="AG67" s="428">
        <f t="shared" si="38"/>
        <v>0</v>
      </c>
      <c r="AH67" s="429">
        <f t="shared" si="58"/>
        <v>3.0402618721232927E-2</v>
      </c>
      <c r="AI67" s="429">
        <f t="shared" si="39"/>
        <v>3.040261872123292E-2</v>
      </c>
      <c r="AJ67" s="428">
        <f t="shared" si="59"/>
        <v>0</v>
      </c>
      <c r="AK67" s="428">
        <f t="shared" si="40"/>
        <v>0</v>
      </c>
      <c r="AL67" s="429">
        <f t="shared" si="60"/>
        <v>3.040261872123292E-2</v>
      </c>
      <c r="AM67" s="429">
        <f t="shared" si="41"/>
        <v>3.0402618721232927E-2</v>
      </c>
      <c r="AN67" s="428">
        <f t="shared" si="61"/>
        <v>0</v>
      </c>
      <c r="AO67" s="428">
        <f t="shared" si="42"/>
        <v>0</v>
      </c>
      <c r="AP67" s="429">
        <f t="shared" si="62"/>
        <v>3.0402618721232927E-2</v>
      </c>
      <c r="AQ67" s="429">
        <f t="shared" si="43"/>
        <v>3.040261872123292E-2</v>
      </c>
      <c r="AR67" s="428">
        <f t="shared" si="63"/>
        <v>0</v>
      </c>
      <c r="AS67" s="428">
        <f t="shared" si="44"/>
        <v>0</v>
      </c>
      <c r="AT67" s="429">
        <f t="shared" si="64"/>
        <v>3.040261872123292E-2</v>
      </c>
      <c r="AU67" s="429">
        <f t="shared" si="25"/>
        <v>3.0402618721232927E-2</v>
      </c>
      <c r="AV67" s="419">
        <f t="shared" si="65"/>
        <v>3.040261872123292E-2</v>
      </c>
      <c r="AW67" s="92">
        <f t="shared" si="66"/>
        <v>93529.612947583155</v>
      </c>
      <c r="BB67" s="186">
        <f t="shared" si="67"/>
        <v>0</v>
      </c>
      <c r="BC67" s="186">
        <f t="shared" si="67"/>
        <v>1</v>
      </c>
      <c r="BE67" s="188">
        <f t="shared" si="27"/>
        <v>1</v>
      </c>
    </row>
    <row r="68" spans="2:57" x14ac:dyDescent="0.25">
      <c r="B68" s="57" t="str">
        <f t="shared" si="0"/>
        <v/>
      </c>
      <c r="C68" s="421" t="str">
        <f>IF('תנאי סף'!AO68&lt;&gt;1,"",'תנאי סף'!F68)</f>
        <v/>
      </c>
      <c r="D68" s="91" t="str">
        <f>IF($C68="","",IF(ייצוב!Y68="",$BA$1,ייצוב!Y68))</f>
        <v/>
      </c>
      <c r="E68" s="165"/>
      <c r="F68" s="91" t="str">
        <f>IF($C68="","",IF(ייצוב!G68="",$BA$1,ייצוב!G68))</f>
        <v/>
      </c>
      <c r="G68" s="426" t="str">
        <f>'סיכום לועדה- הזנת נתונים'!G68</f>
        <v/>
      </c>
      <c r="H68" s="267" t="str">
        <f t="shared" si="45"/>
        <v/>
      </c>
      <c r="I68" s="426" t="str">
        <f t="shared" si="2"/>
        <v/>
      </c>
      <c r="J68" s="427" t="str">
        <f t="shared" si="46"/>
        <v/>
      </c>
      <c r="K68" s="427" t="str">
        <f t="shared" si="4"/>
        <v/>
      </c>
      <c r="L68" s="428" t="str">
        <f t="shared" si="47"/>
        <v/>
      </c>
      <c r="M68" s="428" t="str">
        <f t="shared" si="28"/>
        <v/>
      </c>
      <c r="N68" s="429" t="str">
        <f t="shared" si="48"/>
        <v/>
      </c>
      <c r="O68" s="429" t="str">
        <f t="shared" si="29"/>
        <v/>
      </c>
      <c r="P68" s="428" t="str">
        <f t="shared" si="49"/>
        <v/>
      </c>
      <c r="Q68" s="428" t="str">
        <f t="shared" si="30"/>
        <v/>
      </c>
      <c r="R68" s="429" t="str">
        <f t="shared" si="50"/>
        <v/>
      </c>
      <c r="S68" s="429" t="str">
        <f t="shared" si="31"/>
        <v/>
      </c>
      <c r="T68" s="428" t="str">
        <f t="shared" si="51"/>
        <v/>
      </c>
      <c r="U68" s="428" t="str">
        <f t="shared" si="32"/>
        <v/>
      </c>
      <c r="V68" s="429" t="str">
        <f t="shared" si="52"/>
        <v/>
      </c>
      <c r="W68" s="429" t="str">
        <f t="shared" si="33"/>
        <v/>
      </c>
      <c r="X68" s="428" t="str">
        <f t="shared" si="53"/>
        <v/>
      </c>
      <c r="Y68" s="428" t="str">
        <f t="shared" si="34"/>
        <v/>
      </c>
      <c r="Z68" s="429" t="str">
        <f t="shared" si="54"/>
        <v/>
      </c>
      <c r="AA68" s="429" t="str">
        <f t="shared" si="35"/>
        <v/>
      </c>
      <c r="AB68" s="428" t="str">
        <f t="shared" si="55"/>
        <v/>
      </c>
      <c r="AC68" s="428" t="str">
        <f t="shared" si="36"/>
        <v/>
      </c>
      <c r="AD68" s="429" t="str">
        <f t="shared" si="56"/>
        <v/>
      </c>
      <c r="AE68" s="429" t="str">
        <f t="shared" si="37"/>
        <v/>
      </c>
      <c r="AF68" s="428" t="str">
        <f t="shared" si="57"/>
        <v/>
      </c>
      <c r="AG68" s="428" t="str">
        <f t="shared" si="38"/>
        <v/>
      </c>
      <c r="AH68" s="429" t="str">
        <f t="shared" si="58"/>
        <v/>
      </c>
      <c r="AI68" s="429" t="str">
        <f t="shared" si="39"/>
        <v/>
      </c>
      <c r="AJ68" s="428" t="str">
        <f t="shared" si="59"/>
        <v/>
      </c>
      <c r="AK68" s="428" t="str">
        <f t="shared" si="40"/>
        <v/>
      </c>
      <c r="AL68" s="429" t="str">
        <f t="shared" si="60"/>
        <v/>
      </c>
      <c r="AM68" s="429" t="str">
        <f t="shared" si="41"/>
        <v/>
      </c>
      <c r="AN68" s="428" t="str">
        <f t="shared" si="61"/>
        <v/>
      </c>
      <c r="AO68" s="428" t="str">
        <f t="shared" si="42"/>
        <v/>
      </c>
      <c r="AP68" s="429" t="str">
        <f t="shared" si="62"/>
        <v/>
      </c>
      <c r="AQ68" s="429" t="str">
        <f t="shared" si="43"/>
        <v/>
      </c>
      <c r="AR68" s="428" t="str">
        <f t="shared" si="63"/>
        <v/>
      </c>
      <c r="AS68" s="428" t="str">
        <f t="shared" si="44"/>
        <v/>
      </c>
      <c r="AT68" s="429" t="str">
        <f t="shared" si="64"/>
        <v/>
      </c>
      <c r="AU68" s="429" t="str">
        <f t="shared" si="25"/>
        <v/>
      </c>
      <c r="AV68" s="419" t="str">
        <f t="shared" si="65"/>
        <v/>
      </c>
      <c r="AW68" s="92" t="str">
        <f t="shared" si="66"/>
        <v/>
      </c>
      <c r="BB68" s="186" t="str">
        <f t="shared" si="67"/>
        <v/>
      </c>
      <c r="BC68" s="186" t="str">
        <f t="shared" si="67"/>
        <v/>
      </c>
      <c r="BE68" s="188">
        <f t="shared" si="27"/>
        <v>0</v>
      </c>
    </row>
    <row r="69" spans="2:57" x14ac:dyDescent="0.25">
      <c r="B69" s="57" t="str">
        <f t="shared" si="0"/>
        <v/>
      </c>
      <c r="C69" s="421" t="str">
        <f>IF('תנאי סף'!AO69&lt;&gt;1,"",'תנאי סף'!F69)</f>
        <v/>
      </c>
      <c r="D69" s="91" t="str">
        <f>IF($C69="","",IF(ייצוב!Y69="",$BA$1,ייצוב!Y69))</f>
        <v/>
      </c>
      <c r="E69" s="165"/>
      <c r="F69" s="91" t="str">
        <f>IF($C69="","",IF(ייצוב!G69="",$BA$1,ייצוב!G69))</f>
        <v/>
      </c>
      <c r="G69" s="426" t="str">
        <f>'סיכום לועדה- הזנת נתונים'!G69</f>
        <v/>
      </c>
      <c r="H69" s="267" t="str">
        <f t="shared" si="45"/>
        <v/>
      </c>
      <c r="I69" s="426" t="str">
        <f t="shared" si="2"/>
        <v/>
      </c>
      <c r="J69" s="427" t="str">
        <f t="shared" si="46"/>
        <v/>
      </c>
      <c r="K69" s="427" t="str">
        <f t="shared" si="4"/>
        <v/>
      </c>
      <c r="L69" s="428" t="str">
        <f t="shared" si="47"/>
        <v/>
      </c>
      <c r="M69" s="428" t="str">
        <f t="shared" si="28"/>
        <v/>
      </c>
      <c r="N69" s="429" t="str">
        <f t="shared" si="48"/>
        <v/>
      </c>
      <c r="O69" s="429" t="str">
        <f t="shared" si="29"/>
        <v/>
      </c>
      <c r="P69" s="428" t="str">
        <f t="shared" si="49"/>
        <v/>
      </c>
      <c r="Q69" s="428" t="str">
        <f t="shared" si="30"/>
        <v/>
      </c>
      <c r="R69" s="429" t="str">
        <f t="shared" si="50"/>
        <v/>
      </c>
      <c r="S69" s="429" t="str">
        <f t="shared" si="31"/>
        <v/>
      </c>
      <c r="T69" s="428" t="str">
        <f t="shared" si="51"/>
        <v/>
      </c>
      <c r="U69" s="428" t="str">
        <f t="shared" si="32"/>
        <v/>
      </c>
      <c r="V69" s="429" t="str">
        <f t="shared" si="52"/>
        <v/>
      </c>
      <c r="W69" s="429" t="str">
        <f t="shared" si="33"/>
        <v/>
      </c>
      <c r="X69" s="428" t="str">
        <f t="shared" si="53"/>
        <v/>
      </c>
      <c r="Y69" s="428" t="str">
        <f t="shared" si="34"/>
        <v/>
      </c>
      <c r="Z69" s="429" t="str">
        <f t="shared" si="54"/>
        <v/>
      </c>
      <c r="AA69" s="429" t="str">
        <f t="shared" si="35"/>
        <v/>
      </c>
      <c r="AB69" s="428" t="str">
        <f t="shared" si="55"/>
        <v/>
      </c>
      <c r="AC69" s="428" t="str">
        <f t="shared" si="36"/>
        <v/>
      </c>
      <c r="AD69" s="429" t="str">
        <f t="shared" si="56"/>
        <v/>
      </c>
      <c r="AE69" s="429" t="str">
        <f t="shared" si="37"/>
        <v/>
      </c>
      <c r="AF69" s="428" t="str">
        <f t="shared" si="57"/>
        <v/>
      </c>
      <c r="AG69" s="428" t="str">
        <f t="shared" si="38"/>
        <v/>
      </c>
      <c r="AH69" s="429" t="str">
        <f t="shared" si="58"/>
        <v/>
      </c>
      <c r="AI69" s="429" t="str">
        <f t="shared" si="39"/>
        <v/>
      </c>
      <c r="AJ69" s="428" t="str">
        <f t="shared" si="59"/>
        <v/>
      </c>
      <c r="AK69" s="428" t="str">
        <f t="shared" si="40"/>
        <v/>
      </c>
      <c r="AL69" s="429" t="str">
        <f t="shared" si="60"/>
        <v/>
      </c>
      <c r="AM69" s="429" t="str">
        <f t="shared" si="41"/>
        <v/>
      </c>
      <c r="AN69" s="428" t="str">
        <f t="shared" si="61"/>
        <v/>
      </c>
      <c r="AO69" s="428" t="str">
        <f t="shared" si="42"/>
        <v/>
      </c>
      <c r="AP69" s="429" t="str">
        <f t="shared" si="62"/>
        <v/>
      </c>
      <c r="AQ69" s="429" t="str">
        <f t="shared" si="43"/>
        <v/>
      </c>
      <c r="AR69" s="428" t="str">
        <f t="shared" si="63"/>
        <v/>
      </c>
      <c r="AS69" s="428" t="str">
        <f t="shared" si="44"/>
        <v/>
      </c>
      <c r="AT69" s="429" t="str">
        <f t="shared" si="64"/>
        <v/>
      </c>
      <c r="AU69" s="429" t="str">
        <f t="shared" si="25"/>
        <v/>
      </c>
      <c r="AV69" s="419" t="str">
        <f t="shared" si="65"/>
        <v/>
      </c>
      <c r="AW69" s="92" t="str">
        <f t="shared" si="66"/>
        <v/>
      </c>
      <c r="BB69" s="186" t="str">
        <f t="shared" si="67"/>
        <v/>
      </c>
      <c r="BC69" s="186" t="str">
        <f t="shared" si="67"/>
        <v/>
      </c>
      <c r="BE69" s="188">
        <f t="shared" si="27"/>
        <v>0</v>
      </c>
    </row>
    <row r="70" spans="2:57" x14ac:dyDescent="0.25">
      <c r="B70" s="57">
        <f t="shared" si="0"/>
        <v>40</v>
      </c>
      <c r="C70" s="421" t="str">
        <f>IF('תנאי סף'!AO70&lt;&gt;1,"",'תנאי סף'!F70)</f>
        <v>תו המשווה (ע"ר)</v>
      </c>
      <c r="D70" s="91">
        <f>IF($C70="","",IF(ייצוב!Y70="",$BA$1,ייצוב!Y70))</f>
        <v>3.5322619076414326E-2</v>
      </c>
      <c r="E70" s="165"/>
      <c r="F70" s="91">
        <f>IF($C70="","",IF(ייצוב!G70="",$BA$1,ייצוב!G70))</f>
        <v>3.3535070898930958E-2</v>
      </c>
      <c r="G70" s="426">
        <f>'סיכום לועדה- הזנת נתונים'!G70</f>
        <v>1</v>
      </c>
      <c r="H70" s="267">
        <f t="shared" si="45"/>
        <v>0</v>
      </c>
      <c r="I70" s="426">
        <f t="shared" si="2"/>
        <v>0</v>
      </c>
      <c r="J70" s="427">
        <f t="shared" si="46"/>
        <v>3.5322619076414326E-2</v>
      </c>
      <c r="K70" s="427">
        <f t="shared" si="4"/>
        <v>3.5322619076414312E-2</v>
      </c>
      <c r="L70" s="428">
        <f t="shared" si="47"/>
        <v>0</v>
      </c>
      <c r="M70" s="428">
        <f t="shared" si="28"/>
        <v>0</v>
      </c>
      <c r="N70" s="429">
        <f t="shared" si="48"/>
        <v>3.5322619076414326E-2</v>
      </c>
      <c r="O70" s="429">
        <f t="shared" si="29"/>
        <v>3.5322619076414312E-2</v>
      </c>
      <c r="P70" s="428">
        <f t="shared" si="49"/>
        <v>0</v>
      </c>
      <c r="Q70" s="428">
        <f t="shared" si="30"/>
        <v>0</v>
      </c>
      <c r="R70" s="429">
        <f t="shared" si="50"/>
        <v>3.5322619076414326E-2</v>
      </c>
      <c r="S70" s="429">
        <f t="shared" si="31"/>
        <v>3.5322619076414312E-2</v>
      </c>
      <c r="T70" s="428">
        <f t="shared" si="51"/>
        <v>0</v>
      </c>
      <c r="U70" s="428">
        <f t="shared" si="32"/>
        <v>0</v>
      </c>
      <c r="V70" s="429">
        <f t="shared" si="52"/>
        <v>3.5322619076414312E-2</v>
      </c>
      <c r="W70" s="429">
        <f t="shared" si="33"/>
        <v>3.5322619076414319E-2</v>
      </c>
      <c r="X70" s="428">
        <f t="shared" si="53"/>
        <v>0</v>
      </c>
      <c r="Y70" s="428">
        <f t="shared" si="34"/>
        <v>0</v>
      </c>
      <c r="Z70" s="429">
        <f t="shared" si="54"/>
        <v>3.5322619076414319E-2</v>
      </c>
      <c r="AA70" s="429">
        <f t="shared" si="35"/>
        <v>3.5322619076414312E-2</v>
      </c>
      <c r="AB70" s="428">
        <f t="shared" si="55"/>
        <v>0</v>
      </c>
      <c r="AC70" s="428">
        <f t="shared" si="36"/>
        <v>0</v>
      </c>
      <c r="AD70" s="429">
        <f t="shared" si="56"/>
        <v>3.5322619076414312E-2</v>
      </c>
      <c r="AE70" s="429">
        <f t="shared" si="37"/>
        <v>3.5322619076414319E-2</v>
      </c>
      <c r="AF70" s="428">
        <f t="shared" si="57"/>
        <v>0</v>
      </c>
      <c r="AG70" s="428">
        <f t="shared" si="38"/>
        <v>0</v>
      </c>
      <c r="AH70" s="429">
        <f t="shared" si="58"/>
        <v>3.5322619076414319E-2</v>
      </c>
      <c r="AI70" s="429">
        <f t="shared" si="39"/>
        <v>3.5322619076414312E-2</v>
      </c>
      <c r="AJ70" s="428">
        <f t="shared" si="59"/>
        <v>0</v>
      </c>
      <c r="AK70" s="428">
        <f t="shared" si="40"/>
        <v>0</v>
      </c>
      <c r="AL70" s="429">
        <f t="shared" si="60"/>
        <v>3.5322619076414312E-2</v>
      </c>
      <c r="AM70" s="429">
        <f t="shared" si="41"/>
        <v>3.5322619076414319E-2</v>
      </c>
      <c r="AN70" s="428">
        <f t="shared" si="61"/>
        <v>0</v>
      </c>
      <c r="AO70" s="428">
        <f t="shared" si="42"/>
        <v>0</v>
      </c>
      <c r="AP70" s="429">
        <f t="shared" si="62"/>
        <v>3.5322619076414319E-2</v>
      </c>
      <c r="AQ70" s="429">
        <f t="shared" si="43"/>
        <v>3.5322619076414312E-2</v>
      </c>
      <c r="AR70" s="428">
        <f t="shared" si="63"/>
        <v>0</v>
      </c>
      <c r="AS70" s="428">
        <f t="shared" si="44"/>
        <v>0</v>
      </c>
      <c r="AT70" s="429">
        <f t="shared" si="64"/>
        <v>3.5322619076414312E-2</v>
      </c>
      <c r="AU70" s="429">
        <f t="shared" si="25"/>
        <v>3.5322619076414319E-2</v>
      </c>
      <c r="AV70" s="419">
        <f t="shared" si="65"/>
        <v>3.5322619076414312E-2</v>
      </c>
      <c r="AW70" s="92">
        <f t="shared" si="66"/>
        <v>108665.33968025146</v>
      </c>
      <c r="BB70" s="186">
        <f t="shared" si="67"/>
        <v>0</v>
      </c>
      <c r="BC70" s="186">
        <f t="shared" si="67"/>
        <v>1</v>
      </c>
      <c r="BE70" s="188">
        <f t="shared" si="27"/>
        <v>1</v>
      </c>
    </row>
    <row r="71" spans="2:57" x14ac:dyDescent="0.25">
      <c r="B71" s="57" t="str">
        <f t="shared" si="0"/>
        <v/>
      </c>
      <c r="C71" s="421" t="str">
        <f>IF('תנאי סף'!AO71&lt;&gt;1,"",'תנאי סף'!F71)</f>
        <v/>
      </c>
      <c r="D71" s="91" t="str">
        <f>IF($C71="","",IF(ייצוב!Y71="",$BA$1,ייצוב!Y71))</f>
        <v/>
      </c>
      <c r="E71" s="165"/>
      <c r="F71" s="91" t="str">
        <f>IF($C71="","",IF(ייצוב!G71="",$BA$1,ייצוב!G71))</f>
        <v/>
      </c>
      <c r="G71" s="426" t="str">
        <f>'סיכום לועדה- הזנת נתונים'!G71</f>
        <v/>
      </c>
      <c r="H71" s="267" t="str">
        <f t="shared" si="45"/>
        <v/>
      </c>
      <c r="I71" s="426" t="str">
        <f t="shared" si="2"/>
        <v/>
      </c>
      <c r="J71" s="427" t="str">
        <f t="shared" si="46"/>
        <v/>
      </c>
      <c r="K71" s="427" t="str">
        <f t="shared" si="4"/>
        <v/>
      </c>
      <c r="L71" s="428" t="str">
        <f t="shared" si="47"/>
        <v/>
      </c>
      <c r="M71" s="428" t="str">
        <f t="shared" si="28"/>
        <v/>
      </c>
      <c r="N71" s="429" t="str">
        <f t="shared" si="48"/>
        <v/>
      </c>
      <c r="O71" s="429" t="str">
        <f t="shared" si="29"/>
        <v/>
      </c>
      <c r="P71" s="428" t="str">
        <f t="shared" si="49"/>
        <v/>
      </c>
      <c r="Q71" s="428" t="str">
        <f t="shared" si="30"/>
        <v/>
      </c>
      <c r="R71" s="429" t="str">
        <f t="shared" si="50"/>
        <v/>
      </c>
      <c r="S71" s="429" t="str">
        <f t="shared" si="31"/>
        <v/>
      </c>
      <c r="T71" s="428" t="str">
        <f t="shared" si="51"/>
        <v/>
      </c>
      <c r="U71" s="428" t="str">
        <f t="shared" si="32"/>
        <v/>
      </c>
      <c r="V71" s="429" t="str">
        <f t="shared" si="52"/>
        <v/>
      </c>
      <c r="W71" s="429" t="str">
        <f t="shared" si="33"/>
        <v/>
      </c>
      <c r="X71" s="428" t="str">
        <f t="shared" si="53"/>
        <v/>
      </c>
      <c r="Y71" s="428" t="str">
        <f t="shared" si="34"/>
        <v/>
      </c>
      <c r="Z71" s="429" t="str">
        <f t="shared" si="54"/>
        <v/>
      </c>
      <c r="AA71" s="429" t="str">
        <f t="shared" si="35"/>
        <v/>
      </c>
      <c r="AB71" s="428" t="str">
        <f t="shared" si="55"/>
        <v/>
      </c>
      <c r="AC71" s="428" t="str">
        <f t="shared" si="36"/>
        <v/>
      </c>
      <c r="AD71" s="429" t="str">
        <f t="shared" si="56"/>
        <v/>
      </c>
      <c r="AE71" s="429" t="str">
        <f t="shared" si="37"/>
        <v/>
      </c>
      <c r="AF71" s="428" t="str">
        <f t="shared" si="57"/>
        <v/>
      </c>
      <c r="AG71" s="428" t="str">
        <f t="shared" si="38"/>
        <v/>
      </c>
      <c r="AH71" s="429" t="str">
        <f t="shared" si="58"/>
        <v/>
      </c>
      <c r="AI71" s="429" t="str">
        <f t="shared" si="39"/>
        <v/>
      </c>
      <c r="AJ71" s="428" t="str">
        <f t="shared" si="59"/>
        <v/>
      </c>
      <c r="AK71" s="428" t="str">
        <f t="shared" si="40"/>
        <v/>
      </c>
      <c r="AL71" s="429" t="str">
        <f t="shared" si="60"/>
        <v/>
      </c>
      <c r="AM71" s="429" t="str">
        <f t="shared" si="41"/>
        <v/>
      </c>
      <c r="AN71" s="428" t="str">
        <f t="shared" si="61"/>
        <v/>
      </c>
      <c r="AO71" s="428" t="str">
        <f t="shared" si="42"/>
        <v/>
      </c>
      <c r="AP71" s="429" t="str">
        <f t="shared" si="62"/>
        <v/>
      </c>
      <c r="AQ71" s="429" t="str">
        <f t="shared" si="43"/>
        <v/>
      </c>
      <c r="AR71" s="428" t="str">
        <f t="shared" si="63"/>
        <v/>
      </c>
      <c r="AS71" s="428" t="str">
        <f t="shared" si="44"/>
        <v/>
      </c>
      <c r="AT71" s="429" t="str">
        <f t="shared" si="64"/>
        <v/>
      </c>
      <c r="AU71" s="429" t="str">
        <f t="shared" si="25"/>
        <v/>
      </c>
      <c r="AV71" s="419" t="str">
        <f t="shared" si="65"/>
        <v/>
      </c>
      <c r="AW71" s="92" t="str">
        <f t="shared" si="66"/>
        <v/>
      </c>
      <c r="BB71" s="186" t="str">
        <f t="shared" si="67"/>
        <v/>
      </c>
      <c r="BC71" s="186" t="str">
        <f t="shared" si="67"/>
        <v/>
      </c>
      <c r="BE71" s="188">
        <f t="shared" si="27"/>
        <v>0</v>
      </c>
    </row>
    <row r="72" spans="2:57" x14ac:dyDescent="0.25">
      <c r="B72" s="57" t="str">
        <f t="shared" si="0"/>
        <v/>
      </c>
      <c r="C72" s="421" t="str">
        <f>IF('תנאי סף'!AO72&lt;&gt;1,"",'תנאי סף'!F72)</f>
        <v/>
      </c>
      <c r="D72" s="91" t="str">
        <f>IF($C72="","",IF(ייצוב!Y72="",$BA$1,ייצוב!Y72))</f>
        <v/>
      </c>
      <c r="E72" s="165"/>
      <c r="F72" s="91" t="str">
        <f>IF($C72="","",IF(ייצוב!G72="",$BA$1,ייצוב!G72))</f>
        <v/>
      </c>
      <c r="G72" s="426" t="str">
        <f>'סיכום לועדה- הזנת נתונים'!G72</f>
        <v/>
      </c>
      <c r="H72" s="267" t="str">
        <f t="shared" si="45"/>
        <v/>
      </c>
      <c r="I72" s="426" t="str">
        <f t="shared" si="2"/>
        <v/>
      </c>
      <c r="J72" s="427" t="str">
        <f t="shared" si="46"/>
        <v/>
      </c>
      <c r="K72" s="427" t="str">
        <f t="shared" si="4"/>
        <v/>
      </c>
      <c r="L72" s="428" t="str">
        <f t="shared" si="47"/>
        <v/>
      </c>
      <c r="M72" s="428" t="str">
        <f t="shared" si="28"/>
        <v/>
      </c>
      <c r="N72" s="429" t="str">
        <f t="shared" si="48"/>
        <v/>
      </c>
      <c r="O72" s="429" t="str">
        <f t="shared" si="29"/>
        <v/>
      </c>
      <c r="P72" s="428" t="str">
        <f t="shared" si="49"/>
        <v/>
      </c>
      <c r="Q72" s="428" t="str">
        <f t="shared" si="30"/>
        <v/>
      </c>
      <c r="R72" s="429" t="str">
        <f t="shared" si="50"/>
        <v/>
      </c>
      <c r="S72" s="429" t="str">
        <f t="shared" si="31"/>
        <v/>
      </c>
      <c r="T72" s="428" t="str">
        <f t="shared" si="51"/>
        <v/>
      </c>
      <c r="U72" s="428" t="str">
        <f t="shared" si="32"/>
        <v/>
      </c>
      <c r="V72" s="429" t="str">
        <f t="shared" si="52"/>
        <v/>
      </c>
      <c r="W72" s="429" t="str">
        <f t="shared" si="33"/>
        <v/>
      </c>
      <c r="X72" s="428" t="str">
        <f t="shared" si="53"/>
        <v/>
      </c>
      <c r="Y72" s="428" t="str">
        <f t="shared" si="34"/>
        <v/>
      </c>
      <c r="Z72" s="429" t="str">
        <f t="shared" si="54"/>
        <v/>
      </c>
      <c r="AA72" s="429" t="str">
        <f t="shared" si="35"/>
        <v/>
      </c>
      <c r="AB72" s="428" t="str">
        <f t="shared" si="55"/>
        <v/>
      </c>
      <c r="AC72" s="428" t="str">
        <f t="shared" si="36"/>
        <v/>
      </c>
      <c r="AD72" s="429" t="str">
        <f t="shared" si="56"/>
        <v/>
      </c>
      <c r="AE72" s="429" t="str">
        <f t="shared" si="37"/>
        <v/>
      </c>
      <c r="AF72" s="428" t="str">
        <f t="shared" si="57"/>
        <v/>
      </c>
      <c r="AG72" s="428" t="str">
        <f t="shared" si="38"/>
        <v/>
      </c>
      <c r="AH72" s="429" t="str">
        <f t="shared" si="58"/>
        <v/>
      </c>
      <c r="AI72" s="429" t="str">
        <f t="shared" si="39"/>
        <v/>
      </c>
      <c r="AJ72" s="428" t="str">
        <f t="shared" si="59"/>
        <v/>
      </c>
      <c r="AK72" s="428" t="str">
        <f t="shared" si="40"/>
        <v/>
      </c>
      <c r="AL72" s="429" t="str">
        <f t="shared" si="60"/>
        <v/>
      </c>
      <c r="AM72" s="429" t="str">
        <f t="shared" si="41"/>
        <v/>
      </c>
      <c r="AN72" s="428" t="str">
        <f t="shared" si="61"/>
        <v/>
      </c>
      <c r="AO72" s="428" t="str">
        <f t="shared" si="42"/>
        <v/>
      </c>
      <c r="AP72" s="429" t="str">
        <f t="shared" si="62"/>
        <v/>
      </c>
      <c r="AQ72" s="429" t="str">
        <f t="shared" si="43"/>
        <v/>
      </c>
      <c r="AR72" s="428" t="str">
        <f t="shared" si="63"/>
        <v/>
      </c>
      <c r="AS72" s="428" t="str">
        <f t="shared" si="44"/>
        <v/>
      </c>
      <c r="AT72" s="429" t="str">
        <f t="shared" si="64"/>
        <v/>
      </c>
      <c r="AU72" s="429" t="str">
        <f t="shared" si="25"/>
        <v/>
      </c>
      <c r="AV72" s="419" t="str">
        <f t="shared" si="65"/>
        <v/>
      </c>
      <c r="AW72" s="92" t="str">
        <f t="shared" si="66"/>
        <v/>
      </c>
      <c r="BB72" s="186" t="str">
        <f t="shared" si="67"/>
        <v/>
      </c>
      <c r="BC72" s="186" t="str">
        <f t="shared" si="67"/>
        <v/>
      </c>
      <c r="BE72" s="188">
        <f t="shared" si="27"/>
        <v>0</v>
      </c>
    </row>
    <row r="73" spans="2:57" x14ac:dyDescent="0.25">
      <c r="B73" s="57">
        <f t="shared" si="0"/>
        <v>43</v>
      </c>
      <c r="C73" s="421" t="str">
        <f>IF('תנאי סף'!AO73&lt;&gt;1,"",'תנאי סף'!F73)</f>
        <v>בר קיימא ואקלקוטנטקט</v>
      </c>
      <c r="D73" s="91">
        <f>IF($C73="","",IF(ייצוב!Y73="",$BA$1,ייצוב!Y73))</f>
        <v>4.1397281123009985E-2</v>
      </c>
      <c r="E73" s="165"/>
      <c r="F73" s="91">
        <f>IF($C73="","",IF(ייצוב!G73="",$BA$1,ייצוב!G73))</f>
        <v>3.9716898058611977E-2</v>
      </c>
      <c r="G73" s="426">
        <f>'סיכום לועדה- הזנת נתונים'!G73</f>
        <v>1</v>
      </c>
      <c r="H73" s="267">
        <f t="shared" si="45"/>
        <v>0</v>
      </c>
      <c r="I73" s="426">
        <f t="shared" si="2"/>
        <v>0</v>
      </c>
      <c r="J73" s="427">
        <f t="shared" si="46"/>
        <v>4.1397281123009985E-2</v>
      </c>
      <c r="K73" s="427">
        <f t="shared" si="4"/>
        <v>4.1397281123009964E-2</v>
      </c>
      <c r="L73" s="428">
        <f t="shared" si="47"/>
        <v>0</v>
      </c>
      <c r="M73" s="428">
        <f t="shared" si="28"/>
        <v>0</v>
      </c>
      <c r="N73" s="429">
        <f t="shared" si="48"/>
        <v>4.1397281123009985E-2</v>
      </c>
      <c r="O73" s="429">
        <f t="shared" si="29"/>
        <v>4.1397281123009964E-2</v>
      </c>
      <c r="P73" s="428">
        <f t="shared" si="49"/>
        <v>0</v>
      </c>
      <c r="Q73" s="428">
        <f t="shared" si="30"/>
        <v>0</v>
      </c>
      <c r="R73" s="429">
        <f t="shared" si="50"/>
        <v>4.1397281123009985E-2</v>
      </c>
      <c r="S73" s="429">
        <f t="shared" si="31"/>
        <v>4.1397281123009964E-2</v>
      </c>
      <c r="T73" s="428">
        <f t="shared" si="51"/>
        <v>0</v>
      </c>
      <c r="U73" s="428">
        <f t="shared" si="32"/>
        <v>0</v>
      </c>
      <c r="V73" s="429">
        <f t="shared" si="52"/>
        <v>4.1397281123009964E-2</v>
      </c>
      <c r="W73" s="429">
        <f t="shared" si="33"/>
        <v>4.1397281123009971E-2</v>
      </c>
      <c r="X73" s="428">
        <f t="shared" si="53"/>
        <v>0</v>
      </c>
      <c r="Y73" s="428">
        <f t="shared" si="34"/>
        <v>0</v>
      </c>
      <c r="Z73" s="429">
        <f t="shared" si="54"/>
        <v>4.1397281123009971E-2</v>
      </c>
      <c r="AA73" s="429">
        <f t="shared" si="35"/>
        <v>4.1397281123009964E-2</v>
      </c>
      <c r="AB73" s="428">
        <f t="shared" si="55"/>
        <v>0</v>
      </c>
      <c r="AC73" s="428">
        <f t="shared" si="36"/>
        <v>0</v>
      </c>
      <c r="AD73" s="429">
        <f t="shared" si="56"/>
        <v>4.1397281123009964E-2</v>
      </c>
      <c r="AE73" s="429">
        <f t="shared" si="37"/>
        <v>4.1397281123009971E-2</v>
      </c>
      <c r="AF73" s="428">
        <f t="shared" si="57"/>
        <v>0</v>
      </c>
      <c r="AG73" s="428">
        <f t="shared" si="38"/>
        <v>0</v>
      </c>
      <c r="AH73" s="429">
        <f t="shared" si="58"/>
        <v>4.1397281123009971E-2</v>
      </c>
      <c r="AI73" s="429">
        <f t="shared" si="39"/>
        <v>4.1397281123009964E-2</v>
      </c>
      <c r="AJ73" s="428">
        <f t="shared" si="59"/>
        <v>0</v>
      </c>
      <c r="AK73" s="428">
        <f t="shared" si="40"/>
        <v>0</v>
      </c>
      <c r="AL73" s="429">
        <f t="shared" si="60"/>
        <v>4.1397281123009964E-2</v>
      </c>
      <c r="AM73" s="429">
        <f t="shared" si="41"/>
        <v>4.1397281123009971E-2</v>
      </c>
      <c r="AN73" s="428">
        <f t="shared" si="61"/>
        <v>0</v>
      </c>
      <c r="AO73" s="428">
        <f t="shared" si="42"/>
        <v>0</v>
      </c>
      <c r="AP73" s="429">
        <f t="shared" si="62"/>
        <v>4.1397281123009971E-2</v>
      </c>
      <c r="AQ73" s="429">
        <f t="shared" si="43"/>
        <v>4.1397281123009964E-2</v>
      </c>
      <c r="AR73" s="428">
        <f t="shared" si="63"/>
        <v>0</v>
      </c>
      <c r="AS73" s="428">
        <f t="shared" si="44"/>
        <v>0</v>
      </c>
      <c r="AT73" s="429">
        <f t="shared" si="64"/>
        <v>4.1397281123009964E-2</v>
      </c>
      <c r="AU73" s="429">
        <f t="shared" si="25"/>
        <v>4.1397281123009971E-2</v>
      </c>
      <c r="AV73" s="419">
        <f t="shared" si="65"/>
        <v>4.1397281123009964E-2</v>
      </c>
      <c r="AW73" s="92">
        <f t="shared" si="66"/>
        <v>127353.22953655079</v>
      </c>
      <c r="BB73" s="186">
        <f t="shared" si="67"/>
        <v>0</v>
      </c>
      <c r="BC73" s="186">
        <f t="shared" si="67"/>
        <v>1</v>
      </c>
      <c r="BE73" s="188">
        <f t="shared" si="27"/>
        <v>1</v>
      </c>
    </row>
    <row r="74" spans="2:57" x14ac:dyDescent="0.25">
      <c r="B74" s="57" t="str">
        <f t="shared" si="0"/>
        <v/>
      </c>
      <c r="C74" s="421" t="str">
        <f>IF('תנאי סף'!AO74&lt;&gt;1,"",'תנאי סף'!F74)</f>
        <v/>
      </c>
      <c r="D74" s="91" t="str">
        <f>IF($C74="","",IF(ייצוב!Y74="",$BA$1,ייצוב!Y74))</f>
        <v/>
      </c>
      <c r="E74" s="165"/>
      <c r="F74" s="91" t="str">
        <f>IF($C74="","",IF(ייצוב!G74="",$BA$1,ייצוב!G74))</f>
        <v/>
      </c>
      <c r="G74" s="426" t="str">
        <f>'סיכום לועדה- הזנת נתונים'!G74</f>
        <v/>
      </c>
      <c r="H74" s="267" t="str">
        <f t="shared" si="45"/>
        <v/>
      </c>
      <c r="I74" s="426" t="str">
        <f t="shared" si="2"/>
        <v/>
      </c>
      <c r="J74" s="427" t="str">
        <f t="shared" si="46"/>
        <v/>
      </c>
      <c r="K74" s="427" t="str">
        <f t="shared" si="4"/>
        <v/>
      </c>
      <c r="L74" s="428" t="str">
        <f t="shared" si="47"/>
        <v/>
      </c>
      <c r="M74" s="428" t="str">
        <f t="shared" si="28"/>
        <v/>
      </c>
      <c r="N74" s="429" t="str">
        <f t="shared" si="48"/>
        <v/>
      </c>
      <c r="O74" s="429" t="str">
        <f t="shared" si="29"/>
        <v/>
      </c>
      <c r="P74" s="428" t="str">
        <f t="shared" si="49"/>
        <v/>
      </c>
      <c r="Q74" s="428" t="str">
        <f t="shared" si="30"/>
        <v/>
      </c>
      <c r="R74" s="429" t="str">
        <f t="shared" si="50"/>
        <v/>
      </c>
      <c r="S74" s="429" t="str">
        <f t="shared" si="31"/>
        <v/>
      </c>
      <c r="T74" s="428" t="str">
        <f t="shared" si="51"/>
        <v/>
      </c>
      <c r="U74" s="428" t="str">
        <f t="shared" si="32"/>
        <v/>
      </c>
      <c r="V74" s="429" t="str">
        <f t="shared" si="52"/>
        <v/>
      </c>
      <c r="W74" s="429" t="str">
        <f t="shared" si="33"/>
        <v/>
      </c>
      <c r="X74" s="428" t="str">
        <f t="shared" si="53"/>
        <v/>
      </c>
      <c r="Y74" s="428" t="str">
        <f t="shared" si="34"/>
        <v/>
      </c>
      <c r="Z74" s="429" t="str">
        <f t="shared" si="54"/>
        <v/>
      </c>
      <c r="AA74" s="429" t="str">
        <f t="shared" si="35"/>
        <v/>
      </c>
      <c r="AB74" s="428" t="str">
        <f t="shared" si="55"/>
        <v/>
      </c>
      <c r="AC74" s="428" t="str">
        <f t="shared" si="36"/>
        <v/>
      </c>
      <c r="AD74" s="429" t="str">
        <f t="shared" si="56"/>
        <v/>
      </c>
      <c r="AE74" s="429" t="str">
        <f t="shared" si="37"/>
        <v/>
      </c>
      <c r="AF74" s="428" t="str">
        <f t="shared" si="57"/>
        <v/>
      </c>
      <c r="AG74" s="428" t="str">
        <f t="shared" si="38"/>
        <v/>
      </c>
      <c r="AH74" s="429" t="str">
        <f t="shared" si="58"/>
        <v/>
      </c>
      <c r="AI74" s="429" t="str">
        <f t="shared" si="39"/>
        <v/>
      </c>
      <c r="AJ74" s="428" t="str">
        <f t="shared" si="59"/>
        <v/>
      </c>
      <c r="AK74" s="428" t="str">
        <f t="shared" si="40"/>
        <v/>
      </c>
      <c r="AL74" s="429" t="str">
        <f t="shared" si="60"/>
        <v/>
      </c>
      <c r="AM74" s="429" t="str">
        <f t="shared" si="41"/>
        <v/>
      </c>
      <c r="AN74" s="428" t="str">
        <f t="shared" si="61"/>
        <v/>
      </c>
      <c r="AO74" s="428" t="str">
        <f t="shared" si="42"/>
        <v/>
      </c>
      <c r="AP74" s="429" t="str">
        <f t="shared" si="62"/>
        <v/>
      </c>
      <c r="AQ74" s="429" t="str">
        <f t="shared" si="43"/>
        <v/>
      </c>
      <c r="AR74" s="428" t="str">
        <f t="shared" si="63"/>
        <v/>
      </c>
      <c r="AS74" s="428" t="str">
        <f t="shared" si="44"/>
        <v/>
      </c>
      <c r="AT74" s="429" t="str">
        <f t="shared" si="64"/>
        <v/>
      </c>
      <c r="AU74" s="429" t="str">
        <f t="shared" si="25"/>
        <v/>
      </c>
      <c r="AV74" s="419" t="str">
        <f t="shared" si="65"/>
        <v/>
      </c>
      <c r="AW74" s="92" t="str">
        <f t="shared" si="66"/>
        <v/>
      </c>
      <c r="BB74" s="186" t="str">
        <f t="shared" si="67"/>
        <v/>
      </c>
      <c r="BC74" s="186" t="str">
        <f t="shared" si="67"/>
        <v/>
      </c>
      <c r="BE74" s="188">
        <f t="shared" si="27"/>
        <v>0</v>
      </c>
    </row>
    <row r="75" spans="2:57" x14ac:dyDescent="0.25">
      <c r="B75" s="57">
        <f t="shared" si="0"/>
        <v>45</v>
      </c>
      <c r="C75" s="421" t="str">
        <f>IF('תנאי סף'!AO75&lt;&gt;1,"",'תנאי סף'!F75)</f>
        <v>אלקאת התזמורת התימנית</v>
      </c>
      <c r="D75" s="91">
        <f>IF($C75="","",IF(ייצוב!Y75="",$BA$1,ייצוב!Y75))</f>
        <v>2.2546678409818867E-2</v>
      </c>
      <c r="E75" s="165"/>
      <c r="F75" s="91">
        <f>IF($C75="","",IF(ייצוב!G75="",$BA$1,ייצוב!G75))</f>
        <v>1.8871048711639277E-2</v>
      </c>
      <c r="G75" s="426">
        <f>'סיכום לועדה- הזנת נתונים'!G75</f>
        <v>1</v>
      </c>
      <c r="H75" s="267">
        <f t="shared" si="45"/>
        <v>0</v>
      </c>
      <c r="I75" s="426">
        <f t="shared" si="2"/>
        <v>0</v>
      </c>
      <c r="J75" s="427">
        <f t="shared" si="46"/>
        <v>2.2546678409818867E-2</v>
      </c>
      <c r="K75" s="427">
        <f t="shared" si="4"/>
        <v>2.2546678409818856E-2</v>
      </c>
      <c r="L75" s="428">
        <f t="shared" si="47"/>
        <v>0</v>
      </c>
      <c r="M75" s="428">
        <f t="shared" si="28"/>
        <v>0</v>
      </c>
      <c r="N75" s="429">
        <f t="shared" si="48"/>
        <v>2.2546678409818867E-2</v>
      </c>
      <c r="O75" s="429">
        <f t="shared" si="29"/>
        <v>2.2546678409818856E-2</v>
      </c>
      <c r="P75" s="428">
        <f t="shared" si="49"/>
        <v>0</v>
      </c>
      <c r="Q75" s="428">
        <f t="shared" si="30"/>
        <v>0</v>
      </c>
      <c r="R75" s="429">
        <f t="shared" si="50"/>
        <v>2.2546678409818867E-2</v>
      </c>
      <c r="S75" s="429">
        <f t="shared" si="31"/>
        <v>2.2546678409818856E-2</v>
      </c>
      <c r="T75" s="428">
        <f t="shared" si="51"/>
        <v>0</v>
      </c>
      <c r="U75" s="428">
        <f t="shared" si="32"/>
        <v>0</v>
      </c>
      <c r="V75" s="429">
        <f t="shared" si="52"/>
        <v>2.2546678409818856E-2</v>
      </c>
      <c r="W75" s="429">
        <f t="shared" si="33"/>
        <v>2.254667840981886E-2</v>
      </c>
      <c r="X75" s="428">
        <f t="shared" si="53"/>
        <v>0</v>
      </c>
      <c r="Y75" s="428">
        <f t="shared" si="34"/>
        <v>0</v>
      </c>
      <c r="Z75" s="429">
        <f t="shared" si="54"/>
        <v>2.254667840981886E-2</v>
      </c>
      <c r="AA75" s="429">
        <f t="shared" si="35"/>
        <v>2.2546678409818856E-2</v>
      </c>
      <c r="AB75" s="428">
        <f t="shared" si="55"/>
        <v>0</v>
      </c>
      <c r="AC75" s="428">
        <f t="shared" si="36"/>
        <v>0</v>
      </c>
      <c r="AD75" s="429">
        <f t="shared" si="56"/>
        <v>2.2546678409818856E-2</v>
      </c>
      <c r="AE75" s="429">
        <f t="shared" si="37"/>
        <v>2.254667840981886E-2</v>
      </c>
      <c r="AF75" s="428">
        <f t="shared" si="57"/>
        <v>0</v>
      </c>
      <c r="AG75" s="428">
        <f t="shared" si="38"/>
        <v>0</v>
      </c>
      <c r="AH75" s="429">
        <f t="shared" si="58"/>
        <v>2.254667840981886E-2</v>
      </c>
      <c r="AI75" s="429">
        <f t="shared" si="39"/>
        <v>2.2546678409818856E-2</v>
      </c>
      <c r="AJ75" s="428">
        <f t="shared" si="59"/>
        <v>0</v>
      </c>
      <c r="AK75" s="428">
        <f t="shared" si="40"/>
        <v>0</v>
      </c>
      <c r="AL75" s="429">
        <f t="shared" si="60"/>
        <v>2.2546678409818856E-2</v>
      </c>
      <c r="AM75" s="429">
        <f t="shared" si="41"/>
        <v>2.254667840981886E-2</v>
      </c>
      <c r="AN75" s="428">
        <f t="shared" si="61"/>
        <v>0</v>
      </c>
      <c r="AO75" s="428">
        <f t="shared" si="42"/>
        <v>0</v>
      </c>
      <c r="AP75" s="429">
        <f t="shared" si="62"/>
        <v>2.254667840981886E-2</v>
      </c>
      <c r="AQ75" s="429">
        <f t="shared" si="43"/>
        <v>2.2546678409818856E-2</v>
      </c>
      <c r="AR75" s="428">
        <f t="shared" si="63"/>
        <v>0</v>
      </c>
      <c r="AS75" s="428">
        <f t="shared" si="44"/>
        <v>0</v>
      </c>
      <c r="AT75" s="429">
        <f t="shared" si="64"/>
        <v>2.2546678409818856E-2</v>
      </c>
      <c r="AU75" s="429">
        <f t="shared" si="25"/>
        <v>2.254667840981886E-2</v>
      </c>
      <c r="AV75" s="419">
        <f t="shared" si="65"/>
        <v>2.2546678409818856E-2</v>
      </c>
      <c r="AW75" s="92">
        <f t="shared" si="66"/>
        <v>69361.857419579203</v>
      </c>
      <c r="BB75" s="186">
        <f t="shared" si="67"/>
        <v>0</v>
      </c>
      <c r="BC75" s="186">
        <f t="shared" si="67"/>
        <v>1</v>
      </c>
      <c r="BE75" s="188">
        <f t="shared" si="27"/>
        <v>1</v>
      </c>
    </row>
    <row r="76" spans="2:57" x14ac:dyDescent="0.25">
      <c r="B76" s="57" t="str">
        <f t="shared" si="0"/>
        <v/>
      </c>
      <c r="C76" s="421" t="str">
        <f>IF('תנאי סף'!AO76&lt;&gt;1,"",'תנאי סף'!F76)</f>
        <v/>
      </c>
      <c r="D76" s="91" t="str">
        <f>IF($C76="","",IF(ייצוב!Y76="",$BA$1,ייצוב!Y76))</f>
        <v/>
      </c>
      <c r="E76" s="165"/>
      <c r="F76" s="91" t="str">
        <f>IF($C76="","",IF(ייצוב!G76="",$BA$1,ייצוב!G76))</f>
        <v/>
      </c>
      <c r="G76" s="426" t="str">
        <f>'סיכום לועדה- הזנת נתונים'!G76</f>
        <v/>
      </c>
      <c r="H76" s="267" t="str">
        <f t="shared" si="45"/>
        <v/>
      </c>
      <c r="I76" s="426" t="str">
        <f t="shared" si="2"/>
        <v/>
      </c>
      <c r="J76" s="427" t="str">
        <f t="shared" si="46"/>
        <v/>
      </c>
      <c r="K76" s="427" t="str">
        <f t="shared" si="4"/>
        <v/>
      </c>
      <c r="L76" s="428" t="str">
        <f t="shared" si="47"/>
        <v/>
      </c>
      <c r="M76" s="428" t="str">
        <f t="shared" si="28"/>
        <v/>
      </c>
      <c r="N76" s="429" t="str">
        <f t="shared" si="48"/>
        <v/>
      </c>
      <c r="O76" s="429" t="str">
        <f t="shared" si="29"/>
        <v/>
      </c>
      <c r="P76" s="428" t="str">
        <f t="shared" si="49"/>
        <v/>
      </c>
      <c r="Q76" s="428" t="str">
        <f t="shared" si="30"/>
        <v/>
      </c>
      <c r="R76" s="429" t="str">
        <f t="shared" si="50"/>
        <v/>
      </c>
      <c r="S76" s="429" t="str">
        <f t="shared" si="31"/>
        <v/>
      </c>
      <c r="T76" s="428" t="str">
        <f t="shared" si="51"/>
        <v/>
      </c>
      <c r="U76" s="428" t="str">
        <f t="shared" si="32"/>
        <v/>
      </c>
      <c r="V76" s="429" t="str">
        <f t="shared" si="52"/>
        <v/>
      </c>
      <c r="W76" s="429" t="str">
        <f t="shared" si="33"/>
        <v/>
      </c>
      <c r="X76" s="428" t="str">
        <f t="shared" si="53"/>
        <v/>
      </c>
      <c r="Y76" s="428" t="str">
        <f t="shared" si="34"/>
        <v/>
      </c>
      <c r="Z76" s="429" t="str">
        <f t="shared" si="54"/>
        <v/>
      </c>
      <c r="AA76" s="429" t="str">
        <f t="shared" si="35"/>
        <v/>
      </c>
      <c r="AB76" s="428" t="str">
        <f t="shared" si="55"/>
        <v/>
      </c>
      <c r="AC76" s="428" t="str">
        <f t="shared" si="36"/>
        <v/>
      </c>
      <c r="AD76" s="429" t="str">
        <f t="shared" si="56"/>
        <v/>
      </c>
      <c r="AE76" s="429" t="str">
        <f t="shared" si="37"/>
        <v/>
      </c>
      <c r="AF76" s="428" t="str">
        <f t="shared" si="57"/>
        <v/>
      </c>
      <c r="AG76" s="428" t="str">
        <f t="shared" si="38"/>
        <v/>
      </c>
      <c r="AH76" s="429" t="str">
        <f t="shared" si="58"/>
        <v/>
      </c>
      <c r="AI76" s="429" t="str">
        <f t="shared" si="39"/>
        <v/>
      </c>
      <c r="AJ76" s="428" t="str">
        <f t="shared" si="59"/>
        <v/>
      </c>
      <c r="AK76" s="428" t="str">
        <f t="shared" si="40"/>
        <v/>
      </c>
      <c r="AL76" s="429" t="str">
        <f t="shared" si="60"/>
        <v/>
      </c>
      <c r="AM76" s="429" t="str">
        <f t="shared" si="41"/>
        <v/>
      </c>
      <c r="AN76" s="428" t="str">
        <f t="shared" si="61"/>
        <v/>
      </c>
      <c r="AO76" s="428" t="str">
        <f t="shared" si="42"/>
        <v/>
      </c>
      <c r="AP76" s="429" t="str">
        <f t="shared" si="62"/>
        <v/>
      </c>
      <c r="AQ76" s="429" t="str">
        <f t="shared" si="43"/>
        <v/>
      </c>
      <c r="AR76" s="428" t="str">
        <f t="shared" si="63"/>
        <v/>
      </c>
      <c r="AS76" s="428" t="str">
        <f t="shared" si="44"/>
        <v/>
      </c>
      <c r="AT76" s="429" t="str">
        <f t="shared" si="64"/>
        <v/>
      </c>
      <c r="AU76" s="429" t="str">
        <f t="shared" si="25"/>
        <v/>
      </c>
      <c r="AV76" s="419" t="str">
        <f t="shared" si="65"/>
        <v/>
      </c>
      <c r="AW76" s="92" t="str">
        <f t="shared" si="66"/>
        <v/>
      </c>
      <c r="BB76" s="186" t="str">
        <f t="shared" si="67"/>
        <v/>
      </c>
      <c r="BC76" s="186" t="str">
        <f t="shared" si="67"/>
        <v/>
      </c>
      <c r="BE76" s="188">
        <f t="shared" si="27"/>
        <v>0</v>
      </c>
    </row>
    <row r="77" spans="2:57" x14ac:dyDescent="0.25">
      <c r="B77" s="57" t="str">
        <f t="shared" si="0"/>
        <v/>
      </c>
      <c r="C77" s="421" t="str">
        <f>IF('תנאי סף'!AO77&lt;&gt;1,"",'תנאי סף'!F77)</f>
        <v/>
      </c>
      <c r="D77" s="91" t="str">
        <f>IF($C77="","",IF(ייצוב!Y77="",$BA$1,ייצוב!Y77))</f>
        <v/>
      </c>
      <c r="E77" s="165"/>
      <c r="F77" s="91" t="str">
        <f>IF($C77="","",IF(ייצוב!G77="",$BA$1,ייצוב!G77))</f>
        <v/>
      </c>
      <c r="G77" s="426" t="str">
        <f>'סיכום לועדה- הזנת נתונים'!G77</f>
        <v/>
      </c>
      <c r="H77" s="267" t="str">
        <f t="shared" si="45"/>
        <v/>
      </c>
      <c r="I77" s="426" t="str">
        <f t="shared" si="2"/>
        <v/>
      </c>
      <c r="J77" s="427" t="str">
        <f t="shared" si="46"/>
        <v/>
      </c>
      <c r="K77" s="427" t="str">
        <f t="shared" si="4"/>
        <v/>
      </c>
      <c r="L77" s="428" t="str">
        <f t="shared" si="47"/>
        <v/>
      </c>
      <c r="M77" s="428" t="str">
        <f t="shared" si="28"/>
        <v/>
      </c>
      <c r="N77" s="429" t="str">
        <f t="shared" si="48"/>
        <v/>
      </c>
      <c r="O77" s="429" t="str">
        <f t="shared" si="29"/>
        <v/>
      </c>
      <c r="P77" s="428" t="str">
        <f t="shared" si="49"/>
        <v/>
      </c>
      <c r="Q77" s="428" t="str">
        <f t="shared" si="30"/>
        <v/>
      </c>
      <c r="R77" s="429" t="str">
        <f t="shared" si="50"/>
        <v/>
      </c>
      <c r="S77" s="429" t="str">
        <f t="shared" si="31"/>
        <v/>
      </c>
      <c r="T77" s="428" t="str">
        <f t="shared" si="51"/>
        <v/>
      </c>
      <c r="U77" s="428" t="str">
        <f t="shared" si="32"/>
        <v/>
      </c>
      <c r="V77" s="429" t="str">
        <f t="shared" si="52"/>
        <v/>
      </c>
      <c r="W77" s="429" t="str">
        <f t="shared" si="33"/>
        <v/>
      </c>
      <c r="X77" s="428" t="str">
        <f t="shared" si="53"/>
        <v/>
      </c>
      <c r="Y77" s="428" t="str">
        <f t="shared" si="34"/>
        <v/>
      </c>
      <c r="Z77" s="429" t="str">
        <f t="shared" si="54"/>
        <v/>
      </c>
      <c r="AA77" s="429" t="str">
        <f t="shared" si="35"/>
        <v/>
      </c>
      <c r="AB77" s="428" t="str">
        <f t="shared" si="55"/>
        <v/>
      </c>
      <c r="AC77" s="428" t="str">
        <f t="shared" si="36"/>
        <v/>
      </c>
      <c r="AD77" s="429" t="str">
        <f t="shared" si="56"/>
        <v/>
      </c>
      <c r="AE77" s="429" t="str">
        <f t="shared" si="37"/>
        <v/>
      </c>
      <c r="AF77" s="428" t="str">
        <f t="shared" si="57"/>
        <v/>
      </c>
      <c r="AG77" s="428" t="str">
        <f t="shared" si="38"/>
        <v/>
      </c>
      <c r="AH77" s="429" t="str">
        <f t="shared" si="58"/>
        <v/>
      </c>
      <c r="AI77" s="429" t="str">
        <f t="shared" si="39"/>
        <v/>
      </c>
      <c r="AJ77" s="428" t="str">
        <f t="shared" si="59"/>
        <v/>
      </c>
      <c r="AK77" s="428" t="str">
        <f t="shared" si="40"/>
        <v/>
      </c>
      <c r="AL77" s="429" t="str">
        <f t="shared" si="60"/>
        <v/>
      </c>
      <c r="AM77" s="429" t="str">
        <f t="shared" si="41"/>
        <v/>
      </c>
      <c r="AN77" s="428" t="str">
        <f t="shared" si="61"/>
        <v/>
      </c>
      <c r="AO77" s="428" t="str">
        <f t="shared" si="42"/>
        <v/>
      </c>
      <c r="AP77" s="429" t="str">
        <f t="shared" si="62"/>
        <v/>
      </c>
      <c r="AQ77" s="429" t="str">
        <f t="shared" si="43"/>
        <v/>
      </c>
      <c r="AR77" s="428" t="str">
        <f t="shared" si="63"/>
        <v/>
      </c>
      <c r="AS77" s="428" t="str">
        <f t="shared" si="44"/>
        <v/>
      </c>
      <c r="AT77" s="429" t="str">
        <f t="shared" si="64"/>
        <v/>
      </c>
      <c r="AU77" s="429" t="str">
        <f t="shared" si="25"/>
        <v/>
      </c>
      <c r="AV77" s="419" t="str">
        <f t="shared" si="65"/>
        <v/>
      </c>
      <c r="AW77" s="92" t="str">
        <f t="shared" si="66"/>
        <v/>
      </c>
      <c r="BB77" s="186" t="str">
        <f t="shared" si="67"/>
        <v/>
      </c>
      <c r="BC77" s="186" t="str">
        <f t="shared" si="67"/>
        <v/>
      </c>
      <c r="BE77" s="188">
        <f t="shared" si="27"/>
        <v>0</v>
      </c>
    </row>
    <row r="78" spans="2:57" x14ac:dyDescent="0.25">
      <c r="B78" s="57">
        <f t="shared" si="0"/>
        <v>48</v>
      </c>
      <c r="C78" s="421" t="str">
        <f>IF('תנאי סף'!AO78&lt;&gt;1,"",'תנאי סף'!F78)</f>
        <v>גיא מינטוס- טריו</v>
      </c>
      <c r="D78" s="91">
        <f>IF($C78="","",IF(ייצוב!Y78="",$BA$1,ייצוב!Y78))</f>
        <v>2.7909445014514544E-2</v>
      </c>
      <c r="E78" s="165"/>
      <c r="F78" s="91">
        <f>IF($C78="","",IF(ייצוב!G78="",$BA$1,ייצוב!G78))</f>
        <v>2.3043181275769271E-2</v>
      </c>
      <c r="G78" s="426">
        <f>'סיכום לועדה- הזנת נתונים'!G78</f>
        <v>1</v>
      </c>
      <c r="H78" s="267">
        <f t="shared" si="45"/>
        <v>0</v>
      </c>
      <c r="I78" s="426">
        <f t="shared" si="2"/>
        <v>0</v>
      </c>
      <c r="J78" s="427">
        <f t="shared" si="46"/>
        <v>2.7909445014514544E-2</v>
      </c>
      <c r="K78" s="427">
        <f t="shared" si="4"/>
        <v>2.790944501451453E-2</v>
      </c>
      <c r="L78" s="428">
        <f t="shared" si="47"/>
        <v>0</v>
      </c>
      <c r="M78" s="428">
        <f t="shared" si="28"/>
        <v>0</v>
      </c>
      <c r="N78" s="429">
        <f t="shared" si="48"/>
        <v>2.7909445014514544E-2</v>
      </c>
      <c r="O78" s="429">
        <f t="shared" si="29"/>
        <v>2.790944501451453E-2</v>
      </c>
      <c r="P78" s="428">
        <f t="shared" si="49"/>
        <v>0</v>
      </c>
      <c r="Q78" s="428">
        <f t="shared" si="30"/>
        <v>0</v>
      </c>
      <c r="R78" s="429">
        <f t="shared" si="50"/>
        <v>2.7909445014514544E-2</v>
      </c>
      <c r="S78" s="429">
        <f t="shared" si="31"/>
        <v>2.790944501451453E-2</v>
      </c>
      <c r="T78" s="428">
        <f t="shared" si="51"/>
        <v>0</v>
      </c>
      <c r="U78" s="428">
        <f t="shared" si="32"/>
        <v>0</v>
      </c>
      <c r="V78" s="429">
        <f t="shared" si="52"/>
        <v>2.790944501451453E-2</v>
      </c>
      <c r="W78" s="429">
        <f t="shared" si="33"/>
        <v>2.7909445014514533E-2</v>
      </c>
      <c r="X78" s="428">
        <f t="shared" si="53"/>
        <v>0</v>
      </c>
      <c r="Y78" s="428">
        <f t="shared" si="34"/>
        <v>0</v>
      </c>
      <c r="Z78" s="429">
        <f t="shared" si="54"/>
        <v>2.7909445014514533E-2</v>
      </c>
      <c r="AA78" s="429">
        <f t="shared" si="35"/>
        <v>2.7909445014514526E-2</v>
      </c>
      <c r="AB78" s="428">
        <f t="shared" si="55"/>
        <v>0</v>
      </c>
      <c r="AC78" s="428">
        <f t="shared" si="36"/>
        <v>0</v>
      </c>
      <c r="AD78" s="429">
        <f t="shared" si="56"/>
        <v>2.7909445014514526E-2</v>
      </c>
      <c r="AE78" s="429">
        <f t="shared" si="37"/>
        <v>2.7909445014514533E-2</v>
      </c>
      <c r="AF78" s="428">
        <f t="shared" si="57"/>
        <v>0</v>
      </c>
      <c r="AG78" s="428">
        <f t="shared" si="38"/>
        <v>0</v>
      </c>
      <c r="AH78" s="429">
        <f t="shared" si="58"/>
        <v>2.7909445014514533E-2</v>
      </c>
      <c r="AI78" s="429">
        <f t="shared" si="39"/>
        <v>2.7909445014514526E-2</v>
      </c>
      <c r="AJ78" s="428">
        <f t="shared" si="59"/>
        <v>0</v>
      </c>
      <c r="AK78" s="428">
        <f t="shared" si="40"/>
        <v>0</v>
      </c>
      <c r="AL78" s="429">
        <f t="shared" si="60"/>
        <v>2.7909445014514526E-2</v>
      </c>
      <c r="AM78" s="429">
        <f t="shared" si="41"/>
        <v>2.7909445014514533E-2</v>
      </c>
      <c r="AN78" s="428">
        <f t="shared" si="61"/>
        <v>0</v>
      </c>
      <c r="AO78" s="428">
        <f t="shared" si="42"/>
        <v>0</v>
      </c>
      <c r="AP78" s="429">
        <f t="shared" si="62"/>
        <v>2.7909445014514533E-2</v>
      </c>
      <c r="AQ78" s="429">
        <f t="shared" si="43"/>
        <v>2.7909445014514526E-2</v>
      </c>
      <c r="AR78" s="428">
        <f t="shared" si="63"/>
        <v>0</v>
      </c>
      <c r="AS78" s="428">
        <f t="shared" si="44"/>
        <v>0</v>
      </c>
      <c r="AT78" s="429">
        <f t="shared" si="64"/>
        <v>2.7909445014514526E-2</v>
      </c>
      <c r="AU78" s="429">
        <f t="shared" si="25"/>
        <v>2.7909445014514533E-2</v>
      </c>
      <c r="AV78" s="419">
        <f t="shared" si="65"/>
        <v>2.7909445014514526E-2</v>
      </c>
      <c r="AW78" s="92">
        <f t="shared" si="66"/>
        <v>85859.695630967006</v>
      </c>
      <c r="BB78" s="186">
        <f t="shared" si="67"/>
        <v>0</v>
      </c>
      <c r="BC78" s="186">
        <f t="shared" si="67"/>
        <v>1</v>
      </c>
      <c r="BE78" s="188">
        <f t="shared" si="27"/>
        <v>1</v>
      </c>
    </row>
    <row r="79" spans="2:57" x14ac:dyDescent="0.25">
      <c r="B79" s="57" t="str">
        <f t="shared" si="0"/>
        <v/>
      </c>
      <c r="C79" s="421" t="str">
        <f>IF('תנאי סף'!AO79&lt;&gt;1,"",'תנאי סף'!F79)</f>
        <v/>
      </c>
      <c r="D79" s="91" t="str">
        <f>IF($C79="","",IF(ייצוב!Y79="",$BA$1,ייצוב!Y79))</f>
        <v/>
      </c>
      <c r="E79" s="165"/>
      <c r="F79" s="91" t="str">
        <f>IF($C79="","",IF(ייצוב!G79="",$BA$1,ייצוב!G79))</f>
        <v/>
      </c>
      <c r="G79" s="426" t="str">
        <f>'סיכום לועדה- הזנת נתונים'!G79</f>
        <v/>
      </c>
      <c r="H79" s="267" t="str">
        <f t="shared" si="45"/>
        <v/>
      </c>
      <c r="I79" s="426" t="str">
        <f t="shared" si="2"/>
        <v/>
      </c>
      <c r="J79" s="427" t="str">
        <f t="shared" si="46"/>
        <v/>
      </c>
      <c r="K79" s="427" t="str">
        <f t="shared" si="4"/>
        <v/>
      </c>
      <c r="L79" s="428" t="str">
        <f t="shared" si="47"/>
        <v/>
      </c>
      <c r="M79" s="428" t="str">
        <f t="shared" si="28"/>
        <v/>
      </c>
      <c r="N79" s="429" t="str">
        <f t="shared" si="48"/>
        <v/>
      </c>
      <c r="O79" s="429" t="str">
        <f t="shared" si="29"/>
        <v/>
      </c>
      <c r="P79" s="428" t="str">
        <f t="shared" si="49"/>
        <v/>
      </c>
      <c r="Q79" s="428" t="str">
        <f t="shared" si="30"/>
        <v/>
      </c>
      <c r="R79" s="429" t="str">
        <f t="shared" si="50"/>
        <v/>
      </c>
      <c r="S79" s="429" t="str">
        <f t="shared" si="31"/>
        <v/>
      </c>
      <c r="T79" s="428" t="str">
        <f t="shared" si="51"/>
        <v/>
      </c>
      <c r="U79" s="428" t="str">
        <f t="shared" si="32"/>
        <v/>
      </c>
      <c r="V79" s="429" t="str">
        <f t="shared" si="52"/>
        <v/>
      </c>
      <c r="W79" s="429" t="str">
        <f t="shared" si="33"/>
        <v/>
      </c>
      <c r="X79" s="428" t="str">
        <f t="shared" si="53"/>
        <v/>
      </c>
      <c r="Y79" s="428" t="str">
        <f t="shared" si="34"/>
        <v/>
      </c>
      <c r="Z79" s="429" t="str">
        <f t="shared" si="54"/>
        <v/>
      </c>
      <c r="AA79" s="429" t="str">
        <f t="shared" si="35"/>
        <v/>
      </c>
      <c r="AB79" s="428" t="str">
        <f t="shared" si="55"/>
        <v/>
      </c>
      <c r="AC79" s="428" t="str">
        <f t="shared" si="36"/>
        <v/>
      </c>
      <c r="AD79" s="429" t="str">
        <f t="shared" si="56"/>
        <v/>
      </c>
      <c r="AE79" s="429" t="str">
        <f t="shared" si="37"/>
        <v/>
      </c>
      <c r="AF79" s="428" t="str">
        <f t="shared" si="57"/>
        <v/>
      </c>
      <c r="AG79" s="428" t="str">
        <f t="shared" si="38"/>
        <v/>
      </c>
      <c r="AH79" s="429" t="str">
        <f t="shared" si="58"/>
        <v/>
      </c>
      <c r="AI79" s="429" t="str">
        <f t="shared" si="39"/>
        <v/>
      </c>
      <c r="AJ79" s="428" t="str">
        <f t="shared" si="59"/>
        <v/>
      </c>
      <c r="AK79" s="428" t="str">
        <f t="shared" si="40"/>
        <v/>
      </c>
      <c r="AL79" s="429" t="str">
        <f t="shared" si="60"/>
        <v/>
      </c>
      <c r="AM79" s="429" t="str">
        <f t="shared" si="41"/>
        <v/>
      </c>
      <c r="AN79" s="428" t="str">
        <f t="shared" si="61"/>
        <v/>
      </c>
      <c r="AO79" s="428" t="str">
        <f t="shared" si="42"/>
        <v/>
      </c>
      <c r="AP79" s="429" t="str">
        <f t="shared" si="62"/>
        <v/>
      </c>
      <c r="AQ79" s="429" t="str">
        <f t="shared" si="43"/>
        <v/>
      </c>
      <c r="AR79" s="428" t="str">
        <f t="shared" si="63"/>
        <v/>
      </c>
      <c r="AS79" s="428" t="str">
        <f t="shared" si="44"/>
        <v/>
      </c>
      <c r="AT79" s="429" t="str">
        <f t="shared" si="64"/>
        <v/>
      </c>
      <c r="AU79" s="429" t="str">
        <f t="shared" si="25"/>
        <v/>
      </c>
      <c r="AV79" s="419" t="str">
        <f t="shared" si="65"/>
        <v/>
      </c>
      <c r="AW79" s="92" t="str">
        <f t="shared" si="66"/>
        <v/>
      </c>
      <c r="BB79" s="186" t="str">
        <f t="shared" si="67"/>
        <v/>
      </c>
      <c r="BC79" s="186" t="str">
        <f t="shared" si="67"/>
        <v/>
      </c>
      <c r="BE79" s="188">
        <f t="shared" si="27"/>
        <v>0</v>
      </c>
    </row>
    <row r="80" spans="2:57" x14ac:dyDescent="0.25">
      <c r="B80" s="57" t="str">
        <f t="shared" si="0"/>
        <v/>
      </c>
      <c r="C80" s="421" t="str">
        <f>IF('תנאי סף'!AO80&lt;&gt;1,"",'תנאי סף'!F80)</f>
        <v/>
      </c>
      <c r="D80" s="91" t="str">
        <f>IF($C80="","",IF(ייצוב!Y80="",$BA$1,ייצוב!Y80))</f>
        <v/>
      </c>
      <c r="E80" s="165"/>
      <c r="F80" s="91" t="str">
        <f>IF($C80="","",IF(ייצוב!G80="",$BA$1,ייצוב!G80))</f>
        <v/>
      </c>
      <c r="G80" s="426" t="str">
        <f>'סיכום לועדה- הזנת נתונים'!G80</f>
        <v/>
      </c>
      <c r="H80" s="267" t="str">
        <f t="shared" si="45"/>
        <v/>
      </c>
      <c r="I80" s="426" t="str">
        <f t="shared" si="2"/>
        <v/>
      </c>
      <c r="J80" s="427" t="str">
        <f t="shared" si="46"/>
        <v/>
      </c>
      <c r="K80" s="427" t="str">
        <f t="shared" si="4"/>
        <v/>
      </c>
      <c r="L80" s="428" t="str">
        <f t="shared" si="47"/>
        <v/>
      </c>
      <c r="M80" s="428" t="str">
        <f t="shared" si="28"/>
        <v/>
      </c>
      <c r="N80" s="429" t="str">
        <f t="shared" si="48"/>
        <v/>
      </c>
      <c r="O80" s="429" t="str">
        <f t="shared" si="29"/>
        <v/>
      </c>
      <c r="P80" s="428" t="str">
        <f t="shared" si="49"/>
        <v/>
      </c>
      <c r="Q80" s="428" t="str">
        <f t="shared" si="30"/>
        <v/>
      </c>
      <c r="R80" s="429" t="str">
        <f t="shared" si="50"/>
        <v/>
      </c>
      <c r="S80" s="429" t="str">
        <f t="shared" si="31"/>
        <v/>
      </c>
      <c r="T80" s="428" t="str">
        <f t="shared" si="51"/>
        <v/>
      </c>
      <c r="U80" s="428" t="str">
        <f t="shared" si="32"/>
        <v/>
      </c>
      <c r="V80" s="429" t="str">
        <f t="shared" si="52"/>
        <v/>
      </c>
      <c r="W80" s="429" t="str">
        <f t="shared" si="33"/>
        <v/>
      </c>
      <c r="X80" s="428" t="str">
        <f t="shared" si="53"/>
        <v/>
      </c>
      <c r="Y80" s="428" t="str">
        <f t="shared" si="34"/>
        <v/>
      </c>
      <c r="Z80" s="429" t="str">
        <f t="shared" si="54"/>
        <v/>
      </c>
      <c r="AA80" s="429" t="str">
        <f t="shared" si="35"/>
        <v/>
      </c>
      <c r="AB80" s="428" t="str">
        <f t="shared" si="55"/>
        <v/>
      </c>
      <c r="AC80" s="428" t="str">
        <f t="shared" si="36"/>
        <v/>
      </c>
      <c r="AD80" s="429" t="str">
        <f t="shared" si="56"/>
        <v/>
      </c>
      <c r="AE80" s="429" t="str">
        <f t="shared" si="37"/>
        <v/>
      </c>
      <c r="AF80" s="428" t="str">
        <f t="shared" si="57"/>
        <v/>
      </c>
      <c r="AG80" s="428" t="str">
        <f t="shared" si="38"/>
        <v/>
      </c>
      <c r="AH80" s="429" t="str">
        <f t="shared" si="58"/>
        <v/>
      </c>
      <c r="AI80" s="429" t="str">
        <f t="shared" si="39"/>
        <v/>
      </c>
      <c r="AJ80" s="428" t="str">
        <f t="shared" si="59"/>
        <v/>
      </c>
      <c r="AK80" s="428" t="str">
        <f t="shared" si="40"/>
        <v/>
      </c>
      <c r="AL80" s="429" t="str">
        <f t="shared" si="60"/>
        <v/>
      </c>
      <c r="AM80" s="429" t="str">
        <f t="shared" si="41"/>
        <v/>
      </c>
      <c r="AN80" s="428" t="str">
        <f t="shared" si="61"/>
        <v/>
      </c>
      <c r="AO80" s="428" t="str">
        <f t="shared" si="42"/>
        <v/>
      </c>
      <c r="AP80" s="429" t="str">
        <f t="shared" si="62"/>
        <v/>
      </c>
      <c r="AQ80" s="429" t="str">
        <f t="shared" si="43"/>
        <v/>
      </c>
      <c r="AR80" s="428" t="str">
        <f t="shared" si="63"/>
        <v/>
      </c>
      <c r="AS80" s="428" t="str">
        <f t="shared" si="44"/>
        <v/>
      </c>
      <c r="AT80" s="429" t="str">
        <f t="shared" si="64"/>
        <v/>
      </c>
      <c r="AU80" s="429" t="str">
        <f t="shared" si="25"/>
        <v/>
      </c>
      <c r="AV80" s="419" t="str">
        <f t="shared" si="65"/>
        <v/>
      </c>
      <c r="AW80" s="92" t="str">
        <f t="shared" si="66"/>
        <v/>
      </c>
      <c r="BB80" s="186" t="str">
        <f t="shared" si="67"/>
        <v/>
      </c>
      <c r="BC80" s="186" t="str">
        <f t="shared" si="67"/>
        <v/>
      </c>
      <c r="BE80" s="188">
        <f t="shared" si="27"/>
        <v>0</v>
      </c>
    </row>
    <row r="81" spans="2:57" x14ac:dyDescent="0.25">
      <c r="B81" s="57" t="str">
        <f t="shared" si="0"/>
        <v/>
      </c>
      <c r="C81" s="421" t="str">
        <f>IF('תנאי סף'!AO81&lt;&gt;1,"",'תנאי סף'!F81)</f>
        <v/>
      </c>
      <c r="D81" s="91" t="str">
        <f>IF($C81="","",IF(ייצוב!Y81="",$BA$1,ייצוב!Y81))</f>
        <v/>
      </c>
      <c r="E81" s="165"/>
      <c r="F81" s="91" t="str">
        <f>IF($C81="","",IF(ייצוב!G81="",$BA$1,ייצוב!G81))</f>
        <v/>
      </c>
      <c r="G81" s="426" t="str">
        <f>'סיכום לועדה- הזנת נתונים'!G81</f>
        <v/>
      </c>
      <c r="H81" s="267" t="str">
        <f t="shared" si="45"/>
        <v/>
      </c>
      <c r="I81" s="426" t="str">
        <f t="shared" si="2"/>
        <v/>
      </c>
      <c r="J81" s="427" t="str">
        <f t="shared" si="46"/>
        <v/>
      </c>
      <c r="K81" s="427" t="str">
        <f t="shared" si="4"/>
        <v/>
      </c>
      <c r="L81" s="428" t="str">
        <f t="shared" si="47"/>
        <v/>
      </c>
      <c r="M81" s="428" t="str">
        <f t="shared" si="28"/>
        <v/>
      </c>
      <c r="N81" s="429" t="str">
        <f t="shared" si="48"/>
        <v/>
      </c>
      <c r="O81" s="429" t="str">
        <f t="shared" si="29"/>
        <v/>
      </c>
      <c r="P81" s="428" t="str">
        <f t="shared" si="49"/>
        <v/>
      </c>
      <c r="Q81" s="428" t="str">
        <f t="shared" si="30"/>
        <v/>
      </c>
      <c r="R81" s="429" t="str">
        <f t="shared" si="50"/>
        <v/>
      </c>
      <c r="S81" s="429" t="str">
        <f t="shared" si="31"/>
        <v/>
      </c>
      <c r="T81" s="428" t="str">
        <f t="shared" si="51"/>
        <v/>
      </c>
      <c r="U81" s="428" t="str">
        <f t="shared" si="32"/>
        <v/>
      </c>
      <c r="V81" s="429" t="str">
        <f t="shared" si="52"/>
        <v/>
      </c>
      <c r="W81" s="429" t="str">
        <f t="shared" si="33"/>
        <v/>
      </c>
      <c r="X81" s="428" t="str">
        <f t="shared" si="53"/>
        <v/>
      </c>
      <c r="Y81" s="428" t="str">
        <f t="shared" si="34"/>
        <v/>
      </c>
      <c r="Z81" s="429" t="str">
        <f t="shared" si="54"/>
        <v/>
      </c>
      <c r="AA81" s="429" t="str">
        <f t="shared" si="35"/>
        <v/>
      </c>
      <c r="AB81" s="428" t="str">
        <f t="shared" si="55"/>
        <v/>
      </c>
      <c r="AC81" s="428" t="str">
        <f t="shared" si="36"/>
        <v/>
      </c>
      <c r="AD81" s="429" t="str">
        <f t="shared" si="56"/>
        <v/>
      </c>
      <c r="AE81" s="429" t="str">
        <f t="shared" si="37"/>
        <v/>
      </c>
      <c r="AF81" s="428" t="str">
        <f t="shared" si="57"/>
        <v/>
      </c>
      <c r="AG81" s="428" t="str">
        <f t="shared" si="38"/>
        <v/>
      </c>
      <c r="AH81" s="429" t="str">
        <f t="shared" si="58"/>
        <v/>
      </c>
      <c r="AI81" s="429" t="str">
        <f t="shared" si="39"/>
        <v/>
      </c>
      <c r="AJ81" s="428" t="str">
        <f t="shared" si="59"/>
        <v/>
      </c>
      <c r="AK81" s="428" t="str">
        <f t="shared" si="40"/>
        <v/>
      </c>
      <c r="AL81" s="429" t="str">
        <f t="shared" si="60"/>
        <v/>
      </c>
      <c r="AM81" s="429" t="str">
        <f t="shared" si="41"/>
        <v/>
      </c>
      <c r="AN81" s="428" t="str">
        <f t="shared" si="61"/>
        <v/>
      </c>
      <c r="AO81" s="428" t="str">
        <f t="shared" si="42"/>
        <v/>
      </c>
      <c r="AP81" s="429" t="str">
        <f t="shared" si="62"/>
        <v/>
      </c>
      <c r="AQ81" s="429" t="str">
        <f t="shared" si="43"/>
        <v/>
      </c>
      <c r="AR81" s="428" t="str">
        <f t="shared" si="63"/>
        <v/>
      </c>
      <c r="AS81" s="428" t="str">
        <f t="shared" si="44"/>
        <v/>
      </c>
      <c r="AT81" s="429" t="str">
        <f t="shared" si="64"/>
        <v/>
      </c>
      <c r="AU81" s="429" t="str">
        <f t="shared" si="25"/>
        <v/>
      </c>
      <c r="AV81" s="419" t="str">
        <f t="shared" si="65"/>
        <v/>
      </c>
      <c r="AW81" s="92" t="str">
        <f t="shared" si="66"/>
        <v/>
      </c>
      <c r="BB81" s="186" t="str">
        <f t="shared" si="67"/>
        <v/>
      </c>
      <c r="BC81" s="186" t="str">
        <f t="shared" si="67"/>
        <v/>
      </c>
      <c r="BE81" s="188">
        <f t="shared" si="27"/>
        <v>0</v>
      </c>
    </row>
    <row r="82" spans="2:57" x14ac:dyDescent="0.25">
      <c r="B82" s="57">
        <f t="shared" si="0"/>
        <v>52</v>
      </c>
      <c r="C82" s="421" t="str">
        <f>IF('תנאי סף'!AO82&lt;&gt;1,"",'תנאי סף'!F82)</f>
        <v xml:space="preserve">פולקעס - בר-קיימא לתרבות </v>
      </c>
      <c r="D82" s="91">
        <f>IF($C82="","",IF(ייצוב!Y82="",$BA$1,ייצוב!Y82))</f>
        <v>4.2859499491215772E-2</v>
      </c>
      <c r="E82" s="165"/>
      <c r="F82" s="91">
        <f>IF($C82="","",IF(ייצוב!G82="",$BA$1,ייצוב!G82))</f>
        <v>4.2851429088724476E-2</v>
      </c>
      <c r="G82" s="426">
        <f>'סיכום לועדה- הזנת נתונים'!G82</f>
        <v>1</v>
      </c>
      <c r="H82" s="267">
        <f t="shared" si="45"/>
        <v>0</v>
      </c>
      <c r="I82" s="426">
        <f t="shared" si="2"/>
        <v>0</v>
      </c>
      <c r="J82" s="427">
        <f t="shared" si="46"/>
        <v>4.2859499491215772E-2</v>
      </c>
      <c r="K82" s="427">
        <f t="shared" si="4"/>
        <v>4.2859499491215751E-2</v>
      </c>
      <c r="L82" s="428">
        <f t="shared" si="47"/>
        <v>0</v>
      </c>
      <c r="M82" s="428">
        <f t="shared" si="28"/>
        <v>0</v>
      </c>
      <c r="N82" s="429">
        <f t="shared" si="48"/>
        <v>4.2859499491215772E-2</v>
      </c>
      <c r="O82" s="429">
        <f t="shared" si="29"/>
        <v>4.2859499491215751E-2</v>
      </c>
      <c r="P82" s="428">
        <f t="shared" si="49"/>
        <v>0</v>
      </c>
      <c r="Q82" s="428">
        <f t="shared" si="30"/>
        <v>0</v>
      </c>
      <c r="R82" s="429">
        <f t="shared" si="50"/>
        <v>4.2859499491215772E-2</v>
      </c>
      <c r="S82" s="429">
        <f t="shared" si="31"/>
        <v>4.2859499491215751E-2</v>
      </c>
      <c r="T82" s="428">
        <f t="shared" si="51"/>
        <v>0</v>
      </c>
      <c r="U82" s="428">
        <f t="shared" si="32"/>
        <v>0</v>
      </c>
      <c r="V82" s="429">
        <f t="shared" si="52"/>
        <v>4.2859499491215751E-2</v>
      </c>
      <c r="W82" s="429">
        <f t="shared" si="33"/>
        <v>4.2859499491215758E-2</v>
      </c>
      <c r="X82" s="428">
        <f t="shared" si="53"/>
        <v>0</v>
      </c>
      <c r="Y82" s="428">
        <f t="shared" si="34"/>
        <v>0</v>
      </c>
      <c r="Z82" s="429">
        <f t="shared" si="54"/>
        <v>4.2859499491215758E-2</v>
      </c>
      <c r="AA82" s="429">
        <f t="shared" si="35"/>
        <v>4.2859499491215751E-2</v>
      </c>
      <c r="AB82" s="428">
        <f t="shared" si="55"/>
        <v>0</v>
      </c>
      <c r="AC82" s="428">
        <f t="shared" si="36"/>
        <v>0</v>
      </c>
      <c r="AD82" s="429">
        <f t="shared" si="56"/>
        <v>4.2859499491215751E-2</v>
      </c>
      <c r="AE82" s="429">
        <f t="shared" si="37"/>
        <v>4.2859499491215758E-2</v>
      </c>
      <c r="AF82" s="428">
        <f t="shared" si="57"/>
        <v>0</v>
      </c>
      <c r="AG82" s="428">
        <f t="shared" si="38"/>
        <v>0</v>
      </c>
      <c r="AH82" s="429">
        <f t="shared" si="58"/>
        <v>4.2859499491215758E-2</v>
      </c>
      <c r="AI82" s="429">
        <f t="shared" si="39"/>
        <v>4.2859499491215751E-2</v>
      </c>
      <c r="AJ82" s="428">
        <f t="shared" si="59"/>
        <v>0</v>
      </c>
      <c r="AK82" s="428">
        <f t="shared" si="40"/>
        <v>0</v>
      </c>
      <c r="AL82" s="429">
        <f t="shared" si="60"/>
        <v>4.2859499491215751E-2</v>
      </c>
      <c r="AM82" s="429">
        <f t="shared" si="41"/>
        <v>4.2859499491215758E-2</v>
      </c>
      <c r="AN82" s="428">
        <f t="shared" si="61"/>
        <v>0</v>
      </c>
      <c r="AO82" s="428">
        <f t="shared" si="42"/>
        <v>0</v>
      </c>
      <c r="AP82" s="429">
        <f t="shared" si="62"/>
        <v>4.2859499491215758E-2</v>
      </c>
      <c r="AQ82" s="429">
        <f t="shared" si="43"/>
        <v>4.2859499491215751E-2</v>
      </c>
      <c r="AR82" s="428">
        <f t="shared" si="63"/>
        <v>0</v>
      </c>
      <c r="AS82" s="428">
        <f t="shared" si="44"/>
        <v>0</v>
      </c>
      <c r="AT82" s="429">
        <f t="shared" si="64"/>
        <v>4.2859499491215751E-2</v>
      </c>
      <c r="AU82" s="429">
        <f t="shared" si="25"/>
        <v>4.2859499491215758E-2</v>
      </c>
      <c r="AV82" s="419">
        <f t="shared" si="65"/>
        <v>4.2859499491215751E-2</v>
      </c>
      <c r="AW82" s="92">
        <f t="shared" si="66"/>
        <v>131851.54987129293</v>
      </c>
      <c r="BB82" s="186">
        <f t="shared" si="67"/>
        <v>0</v>
      </c>
      <c r="BC82" s="186">
        <f t="shared" si="67"/>
        <v>1</v>
      </c>
      <c r="BE82" s="188">
        <f t="shared" si="27"/>
        <v>1</v>
      </c>
    </row>
    <row r="83" spans="2:57" x14ac:dyDescent="0.25">
      <c r="B83" s="57" t="str">
        <f t="shared" si="0"/>
        <v/>
      </c>
      <c r="C83" s="421" t="str">
        <f>IF('תנאי סף'!AO83&lt;&gt;1,"",'תנאי סף'!F83)</f>
        <v/>
      </c>
      <c r="D83" s="91" t="str">
        <f>IF($C83="","",IF(ייצוב!Y83="",$BA$1,ייצוב!Y83))</f>
        <v/>
      </c>
      <c r="E83" s="165"/>
      <c r="F83" s="91" t="str">
        <f>IF($C83="","",IF(ייצוב!G83="",$BA$1,ייצוב!G83))</f>
        <v/>
      </c>
      <c r="G83" s="426" t="str">
        <f>'סיכום לועדה- הזנת נתונים'!G83</f>
        <v/>
      </c>
      <c r="H83" s="267" t="str">
        <f t="shared" si="45"/>
        <v/>
      </c>
      <c r="I83" s="426" t="str">
        <f t="shared" si="2"/>
        <v/>
      </c>
      <c r="J83" s="427" t="str">
        <f t="shared" si="46"/>
        <v/>
      </c>
      <c r="K83" s="427" t="str">
        <f t="shared" si="4"/>
        <v/>
      </c>
      <c r="L83" s="428" t="str">
        <f t="shared" si="47"/>
        <v/>
      </c>
      <c r="M83" s="428" t="str">
        <f t="shared" si="28"/>
        <v/>
      </c>
      <c r="N83" s="429" t="str">
        <f t="shared" si="48"/>
        <v/>
      </c>
      <c r="O83" s="429" t="str">
        <f t="shared" si="29"/>
        <v/>
      </c>
      <c r="P83" s="428" t="str">
        <f t="shared" si="49"/>
        <v/>
      </c>
      <c r="Q83" s="428" t="str">
        <f t="shared" si="30"/>
        <v/>
      </c>
      <c r="R83" s="429" t="str">
        <f t="shared" si="50"/>
        <v/>
      </c>
      <c r="S83" s="429" t="str">
        <f t="shared" si="31"/>
        <v/>
      </c>
      <c r="T83" s="428" t="str">
        <f t="shared" si="51"/>
        <v/>
      </c>
      <c r="U83" s="428" t="str">
        <f t="shared" si="32"/>
        <v/>
      </c>
      <c r="V83" s="429" t="str">
        <f t="shared" si="52"/>
        <v/>
      </c>
      <c r="W83" s="429" t="str">
        <f t="shared" si="33"/>
        <v/>
      </c>
      <c r="X83" s="428" t="str">
        <f t="shared" si="53"/>
        <v/>
      </c>
      <c r="Y83" s="428" t="str">
        <f t="shared" si="34"/>
        <v/>
      </c>
      <c r="Z83" s="429" t="str">
        <f t="shared" si="54"/>
        <v/>
      </c>
      <c r="AA83" s="429" t="str">
        <f t="shared" si="35"/>
        <v/>
      </c>
      <c r="AB83" s="428" t="str">
        <f t="shared" si="55"/>
        <v/>
      </c>
      <c r="AC83" s="428" t="str">
        <f t="shared" si="36"/>
        <v/>
      </c>
      <c r="AD83" s="429" t="str">
        <f t="shared" si="56"/>
        <v/>
      </c>
      <c r="AE83" s="429" t="str">
        <f t="shared" si="37"/>
        <v/>
      </c>
      <c r="AF83" s="428" t="str">
        <f t="shared" si="57"/>
        <v/>
      </c>
      <c r="AG83" s="428" t="str">
        <f t="shared" si="38"/>
        <v/>
      </c>
      <c r="AH83" s="429" t="str">
        <f t="shared" si="58"/>
        <v/>
      </c>
      <c r="AI83" s="429" t="str">
        <f t="shared" si="39"/>
        <v/>
      </c>
      <c r="AJ83" s="428" t="str">
        <f t="shared" si="59"/>
        <v/>
      </c>
      <c r="AK83" s="428" t="str">
        <f t="shared" si="40"/>
        <v/>
      </c>
      <c r="AL83" s="429" t="str">
        <f t="shared" si="60"/>
        <v/>
      </c>
      <c r="AM83" s="429" t="str">
        <f t="shared" si="41"/>
        <v/>
      </c>
      <c r="AN83" s="428" t="str">
        <f t="shared" si="61"/>
        <v/>
      </c>
      <c r="AO83" s="428" t="str">
        <f t="shared" si="42"/>
        <v/>
      </c>
      <c r="AP83" s="429" t="str">
        <f t="shared" si="62"/>
        <v/>
      </c>
      <c r="AQ83" s="429" t="str">
        <f t="shared" si="43"/>
        <v/>
      </c>
      <c r="AR83" s="428" t="str">
        <f t="shared" si="63"/>
        <v/>
      </c>
      <c r="AS83" s="428" t="str">
        <f t="shared" si="44"/>
        <v/>
      </c>
      <c r="AT83" s="429" t="str">
        <f t="shared" si="64"/>
        <v/>
      </c>
      <c r="AU83" s="429" t="str">
        <f t="shared" si="25"/>
        <v/>
      </c>
      <c r="AV83" s="419" t="str">
        <f t="shared" si="65"/>
        <v/>
      </c>
      <c r="AW83" s="92" t="str">
        <f t="shared" si="66"/>
        <v/>
      </c>
      <c r="BB83" s="186" t="str">
        <f t="shared" si="67"/>
        <v/>
      </c>
      <c r="BC83" s="186" t="str">
        <f t="shared" si="67"/>
        <v/>
      </c>
      <c r="BE83" s="188">
        <f t="shared" si="27"/>
        <v>0</v>
      </c>
    </row>
    <row r="84" spans="2:57" x14ac:dyDescent="0.25">
      <c r="B84" s="57" t="str">
        <f t="shared" si="0"/>
        <v/>
      </c>
      <c r="C84" s="421" t="str">
        <f>IF('תנאי סף'!AO84&lt;&gt;1,"",'תנאי סף'!F84)</f>
        <v/>
      </c>
      <c r="D84" s="91" t="str">
        <f>IF($C84="","",IF(ייצוב!Y84="",$BA$1,ייצוב!Y84))</f>
        <v/>
      </c>
      <c r="E84" s="165"/>
      <c r="F84" s="91" t="str">
        <f>IF($C84="","",IF(ייצוב!G84="",$BA$1,ייצוב!G84))</f>
        <v/>
      </c>
      <c r="G84" s="426" t="str">
        <f>'סיכום לועדה- הזנת נתונים'!G84</f>
        <v/>
      </c>
      <c r="H84" s="267" t="str">
        <f t="shared" si="45"/>
        <v/>
      </c>
      <c r="I84" s="426" t="str">
        <f t="shared" si="2"/>
        <v/>
      </c>
      <c r="J84" s="427" t="str">
        <f t="shared" si="46"/>
        <v/>
      </c>
      <c r="K84" s="427" t="str">
        <f t="shared" si="4"/>
        <v/>
      </c>
      <c r="L84" s="428" t="str">
        <f t="shared" si="47"/>
        <v/>
      </c>
      <c r="M84" s="428" t="str">
        <f t="shared" si="28"/>
        <v/>
      </c>
      <c r="N84" s="429" t="str">
        <f t="shared" si="48"/>
        <v/>
      </c>
      <c r="O84" s="429" t="str">
        <f t="shared" si="29"/>
        <v/>
      </c>
      <c r="P84" s="428" t="str">
        <f t="shared" si="49"/>
        <v/>
      </c>
      <c r="Q84" s="428" t="str">
        <f t="shared" si="30"/>
        <v/>
      </c>
      <c r="R84" s="429" t="str">
        <f t="shared" si="50"/>
        <v/>
      </c>
      <c r="S84" s="429" t="str">
        <f t="shared" si="31"/>
        <v/>
      </c>
      <c r="T84" s="428" t="str">
        <f t="shared" si="51"/>
        <v/>
      </c>
      <c r="U84" s="428" t="str">
        <f t="shared" si="32"/>
        <v/>
      </c>
      <c r="V84" s="429" t="str">
        <f t="shared" si="52"/>
        <v/>
      </c>
      <c r="W84" s="429" t="str">
        <f t="shared" si="33"/>
        <v/>
      </c>
      <c r="X84" s="428" t="str">
        <f t="shared" si="53"/>
        <v/>
      </c>
      <c r="Y84" s="428" t="str">
        <f t="shared" si="34"/>
        <v/>
      </c>
      <c r="Z84" s="429" t="str">
        <f t="shared" si="54"/>
        <v/>
      </c>
      <c r="AA84" s="429" t="str">
        <f t="shared" si="35"/>
        <v/>
      </c>
      <c r="AB84" s="428" t="str">
        <f t="shared" si="55"/>
        <v/>
      </c>
      <c r="AC84" s="428" t="str">
        <f t="shared" si="36"/>
        <v/>
      </c>
      <c r="AD84" s="429" t="str">
        <f t="shared" si="56"/>
        <v/>
      </c>
      <c r="AE84" s="429" t="str">
        <f t="shared" si="37"/>
        <v/>
      </c>
      <c r="AF84" s="428" t="str">
        <f t="shared" si="57"/>
        <v/>
      </c>
      <c r="AG84" s="428" t="str">
        <f t="shared" si="38"/>
        <v/>
      </c>
      <c r="AH84" s="429" t="str">
        <f t="shared" si="58"/>
        <v/>
      </c>
      <c r="AI84" s="429" t="str">
        <f t="shared" si="39"/>
        <v/>
      </c>
      <c r="AJ84" s="428" t="str">
        <f t="shared" si="59"/>
        <v/>
      </c>
      <c r="AK84" s="428" t="str">
        <f t="shared" si="40"/>
        <v/>
      </c>
      <c r="AL84" s="429" t="str">
        <f t="shared" si="60"/>
        <v/>
      </c>
      <c r="AM84" s="429" t="str">
        <f t="shared" si="41"/>
        <v/>
      </c>
      <c r="AN84" s="428" t="str">
        <f t="shared" si="61"/>
        <v/>
      </c>
      <c r="AO84" s="428" t="str">
        <f t="shared" si="42"/>
        <v/>
      </c>
      <c r="AP84" s="429" t="str">
        <f t="shared" si="62"/>
        <v/>
      </c>
      <c r="AQ84" s="429" t="str">
        <f t="shared" si="43"/>
        <v/>
      </c>
      <c r="AR84" s="428" t="str">
        <f t="shared" si="63"/>
        <v/>
      </c>
      <c r="AS84" s="428" t="str">
        <f t="shared" si="44"/>
        <v/>
      </c>
      <c r="AT84" s="429" t="str">
        <f t="shared" si="64"/>
        <v/>
      </c>
      <c r="AU84" s="429" t="str">
        <f t="shared" si="25"/>
        <v/>
      </c>
      <c r="AV84" s="419" t="str">
        <f t="shared" si="65"/>
        <v/>
      </c>
      <c r="AW84" s="92" t="str">
        <f t="shared" si="66"/>
        <v/>
      </c>
      <c r="BB84" s="186" t="str">
        <f t="shared" si="67"/>
        <v/>
      </c>
      <c r="BC84" s="186" t="str">
        <f t="shared" si="67"/>
        <v/>
      </c>
      <c r="BE84" s="188">
        <f t="shared" si="27"/>
        <v>0</v>
      </c>
    </row>
    <row r="85" spans="2:57" x14ac:dyDescent="0.25">
      <c r="B85" s="57">
        <f t="shared" si="0"/>
        <v>55</v>
      </c>
      <c r="C85" s="421" t="str">
        <f>IF('תנאי סף'!AO85&lt;&gt;1,"",'תנאי סף'!F85)</f>
        <v>מכון רננות</v>
      </c>
      <c r="D85" s="91">
        <f>IF($C85="","",IF(ייצוב!Y85="",$BA$1,ייצוב!Y85))</f>
        <v>2.2823901512857958E-2</v>
      </c>
      <c r="E85" s="165"/>
      <c r="F85" s="91">
        <f>IF($C85="","",IF(ייצוב!G85="",$BA$1,ייצוב!G85))</f>
        <v>1.5080116203471291E-2</v>
      </c>
      <c r="G85" s="426">
        <f>'סיכום לועדה- הזנת נתונים'!G85</f>
        <v>1</v>
      </c>
      <c r="H85" s="267">
        <f t="shared" si="45"/>
        <v>0</v>
      </c>
      <c r="I85" s="426">
        <f t="shared" si="2"/>
        <v>0</v>
      </c>
      <c r="J85" s="427">
        <f t="shared" si="46"/>
        <v>2.2823901512857958E-2</v>
      </c>
      <c r="K85" s="427">
        <f t="shared" si="4"/>
        <v>2.2823901512857948E-2</v>
      </c>
      <c r="L85" s="428">
        <f t="shared" si="47"/>
        <v>0</v>
      </c>
      <c r="M85" s="428">
        <f t="shared" si="28"/>
        <v>0</v>
      </c>
      <c r="N85" s="429">
        <f t="shared" si="48"/>
        <v>2.2823901512857958E-2</v>
      </c>
      <c r="O85" s="429">
        <f t="shared" si="29"/>
        <v>2.2823901512857948E-2</v>
      </c>
      <c r="P85" s="428">
        <f t="shared" si="49"/>
        <v>0</v>
      </c>
      <c r="Q85" s="428">
        <f t="shared" si="30"/>
        <v>0</v>
      </c>
      <c r="R85" s="429">
        <f t="shared" si="50"/>
        <v>2.2823901512857958E-2</v>
      </c>
      <c r="S85" s="429">
        <f t="shared" si="31"/>
        <v>2.2823901512857948E-2</v>
      </c>
      <c r="T85" s="428">
        <f t="shared" si="51"/>
        <v>0</v>
      </c>
      <c r="U85" s="428">
        <f t="shared" si="32"/>
        <v>0</v>
      </c>
      <c r="V85" s="429">
        <f t="shared" si="52"/>
        <v>2.2823901512857948E-2</v>
      </c>
      <c r="W85" s="429">
        <f t="shared" si="33"/>
        <v>2.2823901512857951E-2</v>
      </c>
      <c r="X85" s="428">
        <f t="shared" si="53"/>
        <v>0</v>
      </c>
      <c r="Y85" s="428">
        <f t="shared" si="34"/>
        <v>0</v>
      </c>
      <c r="Z85" s="429">
        <f t="shared" si="54"/>
        <v>2.2823901512857951E-2</v>
      </c>
      <c r="AA85" s="429">
        <f t="shared" si="35"/>
        <v>2.2823901512857948E-2</v>
      </c>
      <c r="AB85" s="428">
        <f t="shared" si="55"/>
        <v>0</v>
      </c>
      <c r="AC85" s="428">
        <f t="shared" si="36"/>
        <v>0</v>
      </c>
      <c r="AD85" s="429">
        <f t="shared" si="56"/>
        <v>2.2823901512857948E-2</v>
      </c>
      <c r="AE85" s="429">
        <f t="shared" si="37"/>
        <v>2.2823901512857951E-2</v>
      </c>
      <c r="AF85" s="428">
        <f t="shared" si="57"/>
        <v>0</v>
      </c>
      <c r="AG85" s="428">
        <f t="shared" si="38"/>
        <v>0</v>
      </c>
      <c r="AH85" s="429">
        <f t="shared" si="58"/>
        <v>2.2823901512857951E-2</v>
      </c>
      <c r="AI85" s="429">
        <f t="shared" si="39"/>
        <v>2.2823901512857948E-2</v>
      </c>
      <c r="AJ85" s="428">
        <f t="shared" si="59"/>
        <v>0</v>
      </c>
      <c r="AK85" s="428">
        <f t="shared" si="40"/>
        <v>0</v>
      </c>
      <c r="AL85" s="429">
        <f t="shared" si="60"/>
        <v>2.2823901512857948E-2</v>
      </c>
      <c r="AM85" s="429">
        <f t="shared" si="41"/>
        <v>2.2823901512857951E-2</v>
      </c>
      <c r="AN85" s="428">
        <f t="shared" si="61"/>
        <v>0</v>
      </c>
      <c r="AO85" s="428">
        <f t="shared" si="42"/>
        <v>0</v>
      </c>
      <c r="AP85" s="429">
        <f t="shared" si="62"/>
        <v>2.2823901512857951E-2</v>
      </c>
      <c r="AQ85" s="429">
        <f t="shared" si="43"/>
        <v>2.2823901512857948E-2</v>
      </c>
      <c r="AR85" s="428">
        <f t="shared" si="63"/>
        <v>0</v>
      </c>
      <c r="AS85" s="428">
        <f t="shared" si="44"/>
        <v>0</v>
      </c>
      <c r="AT85" s="429">
        <f t="shared" si="64"/>
        <v>2.2823901512857948E-2</v>
      </c>
      <c r="AU85" s="429">
        <f t="shared" si="25"/>
        <v>2.2823901512857951E-2</v>
      </c>
      <c r="AV85" s="419">
        <f t="shared" si="65"/>
        <v>2.2823901512857948E-2</v>
      </c>
      <c r="AW85" s="92">
        <f t="shared" si="66"/>
        <v>70214.697425406266</v>
      </c>
      <c r="BB85" s="186">
        <f t="shared" si="67"/>
        <v>0</v>
      </c>
      <c r="BC85" s="186">
        <f t="shared" si="67"/>
        <v>1</v>
      </c>
      <c r="BE85" s="188">
        <f t="shared" si="27"/>
        <v>1</v>
      </c>
    </row>
    <row r="86" spans="2:57" x14ac:dyDescent="0.25">
      <c r="B86" s="57" t="str">
        <f t="shared" si="0"/>
        <v/>
      </c>
      <c r="C86" s="421" t="str">
        <f>IF('תנאי סף'!AO86&lt;&gt;1,"",'תנאי סף'!F86)</f>
        <v/>
      </c>
      <c r="D86" s="91" t="str">
        <f>IF($C86="","",IF(ייצוב!Y86="",$BA$1,ייצוב!Y86))</f>
        <v/>
      </c>
      <c r="E86" s="165"/>
      <c r="F86" s="91" t="str">
        <f>IF($C86="","",IF(ייצוב!G86="",$BA$1,ייצוב!G86))</f>
        <v/>
      </c>
      <c r="G86" s="426" t="str">
        <f>'סיכום לועדה- הזנת נתונים'!G86</f>
        <v/>
      </c>
      <c r="H86" s="267" t="str">
        <f t="shared" si="45"/>
        <v/>
      </c>
      <c r="I86" s="426" t="str">
        <f t="shared" si="2"/>
        <v/>
      </c>
      <c r="J86" s="427" t="str">
        <f t="shared" si="46"/>
        <v/>
      </c>
      <c r="K86" s="427" t="str">
        <f t="shared" si="4"/>
        <v/>
      </c>
      <c r="L86" s="428" t="str">
        <f t="shared" si="47"/>
        <v/>
      </c>
      <c r="M86" s="428" t="str">
        <f t="shared" si="28"/>
        <v/>
      </c>
      <c r="N86" s="429" t="str">
        <f t="shared" si="48"/>
        <v/>
      </c>
      <c r="O86" s="429" t="str">
        <f t="shared" si="29"/>
        <v/>
      </c>
      <c r="P86" s="428" t="str">
        <f t="shared" si="49"/>
        <v/>
      </c>
      <c r="Q86" s="428" t="str">
        <f t="shared" si="30"/>
        <v/>
      </c>
      <c r="R86" s="429" t="str">
        <f t="shared" si="50"/>
        <v/>
      </c>
      <c r="S86" s="429" t="str">
        <f t="shared" si="31"/>
        <v/>
      </c>
      <c r="T86" s="428" t="str">
        <f t="shared" si="51"/>
        <v/>
      </c>
      <c r="U86" s="428" t="str">
        <f t="shared" si="32"/>
        <v/>
      </c>
      <c r="V86" s="429" t="str">
        <f t="shared" si="52"/>
        <v/>
      </c>
      <c r="W86" s="429" t="str">
        <f t="shared" si="33"/>
        <v/>
      </c>
      <c r="X86" s="428" t="str">
        <f t="shared" si="53"/>
        <v/>
      </c>
      <c r="Y86" s="428" t="str">
        <f t="shared" si="34"/>
        <v/>
      </c>
      <c r="Z86" s="429" t="str">
        <f t="shared" si="54"/>
        <v/>
      </c>
      <c r="AA86" s="429" t="str">
        <f t="shared" si="35"/>
        <v/>
      </c>
      <c r="AB86" s="428" t="str">
        <f t="shared" si="55"/>
        <v/>
      </c>
      <c r="AC86" s="428" t="str">
        <f t="shared" si="36"/>
        <v/>
      </c>
      <c r="AD86" s="429" t="str">
        <f t="shared" si="56"/>
        <v/>
      </c>
      <c r="AE86" s="429" t="str">
        <f t="shared" si="37"/>
        <v/>
      </c>
      <c r="AF86" s="428" t="str">
        <f t="shared" si="57"/>
        <v/>
      </c>
      <c r="AG86" s="428" t="str">
        <f t="shared" si="38"/>
        <v/>
      </c>
      <c r="AH86" s="429" t="str">
        <f t="shared" si="58"/>
        <v/>
      </c>
      <c r="AI86" s="429" t="str">
        <f t="shared" si="39"/>
        <v/>
      </c>
      <c r="AJ86" s="428" t="str">
        <f t="shared" si="59"/>
        <v/>
      </c>
      <c r="AK86" s="428" t="str">
        <f t="shared" si="40"/>
        <v/>
      </c>
      <c r="AL86" s="429" t="str">
        <f t="shared" si="60"/>
        <v/>
      </c>
      <c r="AM86" s="429" t="str">
        <f t="shared" si="41"/>
        <v/>
      </c>
      <c r="AN86" s="428" t="str">
        <f t="shared" si="61"/>
        <v/>
      </c>
      <c r="AO86" s="428" t="str">
        <f t="shared" si="42"/>
        <v/>
      </c>
      <c r="AP86" s="429" t="str">
        <f t="shared" si="62"/>
        <v/>
      </c>
      <c r="AQ86" s="429" t="str">
        <f t="shared" si="43"/>
        <v/>
      </c>
      <c r="AR86" s="428" t="str">
        <f t="shared" si="63"/>
        <v/>
      </c>
      <c r="AS86" s="428" t="str">
        <f t="shared" si="44"/>
        <v/>
      </c>
      <c r="AT86" s="429" t="str">
        <f t="shared" si="64"/>
        <v/>
      </c>
      <c r="AU86" s="429" t="str">
        <f t="shared" si="25"/>
        <v/>
      </c>
      <c r="AV86" s="419" t="str">
        <f t="shared" si="65"/>
        <v/>
      </c>
      <c r="AW86" s="92" t="str">
        <f t="shared" si="66"/>
        <v/>
      </c>
      <c r="BB86" s="186" t="str">
        <f t="shared" si="67"/>
        <v/>
      </c>
      <c r="BC86" s="186" t="str">
        <f t="shared" si="67"/>
        <v/>
      </c>
      <c r="BE86" s="188">
        <f t="shared" si="27"/>
        <v>0</v>
      </c>
    </row>
    <row r="87" spans="2:57" x14ac:dyDescent="0.25">
      <c r="B87" s="57">
        <f t="shared" si="0"/>
        <v>57</v>
      </c>
      <c r="C87" s="421" t="str">
        <f>IF('תנאי סף'!AO87&lt;&gt;1,"",'תנאי סף'!F87)</f>
        <v>עמותת מפעל המוזיקה צימבליסטה</v>
      </c>
      <c r="D87" s="91">
        <f>IF($C87="","",IF(ייצוב!Y87="",$BA$1,ייצוב!Y87))</f>
        <v>2.7067721828823915E-2</v>
      </c>
      <c r="E87" s="165"/>
      <c r="F87" s="91">
        <f>IF($C87="","",IF(ייצוב!G87="",$BA$1,ייצוב!G87))</f>
        <v>2.5042671033898165E-2</v>
      </c>
      <c r="G87" s="426">
        <f>'סיכום לועדה- הזנת נתונים'!G87</f>
        <v>1</v>
      </c>
      <c r="H87" s="267">
        <f t="shared" si="45"/>
        <v>0</v>
      </c>
      <c r="I87" s="426">
        <f t="shared" si="2"/>
        <v>0</v>
      </c>
      <c r="J87" s="427">
        <f t="shared" si="46"/>
        <v>2.7067721828823915E-2</v>
      </c>
      <c r="K87" s="427">
        <f t="shared" si="4"/>
        <v>2.7067721828823905E-2</v>
      </c>
      <c r="L87" s="428">
        <f t="shared" si="47"/>
        <v>0</v>
      </c>
      <c r="M87" s="428">
        <f t="shared" si="28"/>
        <v>0</v>
      </c>
      <c r="N87" s="429">
        <f t="shared" si="48"/>
        <v>2.7067721828823915E-2</v>
      </c>
      <c r="O87" s="429">
        <f t="shared" si="29"/>
        <v>2.7067721828823905E-2</v>
      </c>
      <c r="P87" s="428">
        <f t="shared" si="49"/>
        <v>0</v>
      </c>
      <c r="Q87" s="428">
        <f t="shared" si="30"/>
        <v>0</v>
      </c>
      <c r="R87" s="429">
        <f t="shared" si="50"/>
        <v>2.7067721828823915E-2</v>
      </c>
      <c r="S87" s="429">
        <f t="shared" si="31"/>
        <v>2.7067721828823905E-2</v>
      </c>
      <c r="T87" s="428">
        <f t="shared" si="51"/>
        <v>0</v>
      </c>
      <c r="U87" s="428">
        <f t="shared" si="32"/>
        <v>0</v>
      </c>
      <c r="V87" s="429">
        <f t="shared" si="52"/>
        <v>2.7067721828823905E-2</v>
      </c>
      <c r="W87" s="429">
        <f t="shared" si="33"/>
        <v>2.7067721828823908E-2</v>
      </c>
      <c r="X87" s="428">
        <f t="shared" si="53"/>
        <v>0</v>
      </c>
      <c r="Y87" s="428">
        <f t="shared" si="34"/>
        <v>0</v>
      </c>
      <c r="Z87" s="429">
        <f t="shared" si="54"/>
        <v>2.7067721828823908E-2</v>
      </c>
      <c r="AA87" s="429">
        <f t="shared" si="35"/>
        <v>2.7067721828823901E-2</v>
      </c>
      <c r="AB87" s="428">
        <f t="shared" si="55"/>
        <v>0</v>
      </c>
      <c r="AC87" s="428">
        <f t="shared" si="36"/>
        <v>0</v>
      </c>
      <c r="AD87" s="429">
        <f t="shared" si="56"/>
        <v>2.7067721828823901E-2</v>
      </c>
      <c r="AE87" s="429">
        <f t="shared" si="37"/>
        <v>2.7067721828823908E-2</v>
      </c>
      <c r="AF87" s="428">
        <f t="shared" si="57"/>
        <v>0</v>
      </c>
      <c r="AG87" s="428">
        <f t="shared" si="38"/>
        <v>0</v>
      </c>
      <c r="AH87" s="429">
        <f t="shared" si="58"/>
        <v>2.7067721828823908E-2</v>
      </c>
      <c r="AI87" s="429">
        <f t="shared" si="39"/>
        <v>2.7067721828823901E-2</v>
      </c>
      <c r="AJ87" s="428">
        <f t="shared" si="59"/>
        <v>0</v>
      </c>
      <c r="AK87" s="428">
        <f t="shared" si="40"/>
        <v>0</v>
      </c>
      <c r="AL87" s="429">
        <f t="shared" si="60"/>
        <v>2.7067721828823901E-2</v>
      </c>
      <c r="AM87" s="429">
        <f t="shared" si="41"/>
        <v>2.7067721828823908E-2</v>
      </c>
      <c r="AN87" s="428">
        <f t="shared" si="61"/>
        <v>0</v>
      </c>
      <c r="AO87" s="428">
        <f t="shared" si="42"/>
        <v>0</v>
      </c>
      <c r="AP87" s="429">
        <f t="shared" si="62"/>
        <v>2.7067721828823908E-2</v>
      </c>
      <c r="AQ87" s="429">
        <f t="shared" si="43"/>
        <v>2.7067721828823901E-2</v>
      </c>
      <c r="AR87" s="428">
        <f t="shared" si="63"/>
        <v>0</v>
      </c>
      <c r="AS87" s="428">
        <f t="shared" si="44"/>
        <v>0</v>
      </c>
      <c r="AT87" s="429">
        <f t="shared" si="64"/>
        <v>2.7067721828823901E-2</v>
      </c>
      <c r="AU87" s="429">
        <f t="shared" si="25"/>
        <v>2.7067721828823908E-2</v>
      </c>
      <c r="AV87" s="419">
        <f t="shared" si="65"/>
        <v>2.7067721828823901E-2</v>
      </c>
      <c r="AW87" s="92">
        <f t="shared" si="66"/>
        <v>83270.246199373505</v>
      </c>
      <c r="BB87" s="186">
        <f t="shared" si="67"/>
        <v>0</v>
      </c>
      <c r="BC87" s="186">
        <f t="shared" si="67"/>
        <v>1</v>
      </c>
      <c r="BE87" s="188">
        <f t="shared" si="27"/>
        <v>1</v>
      </c>
    </row>
    <row r="88" spans="2:57" x14ac:dyDescent="0.25">
      <c r="B88" s="57" t="str">
        <f t="shared" si="0"/>
        <v/>
      </c>
      <c r="C88" s="421" t="str">
        <f>IF('תנאי סף'!AO88&lt;&gt;1,"",'תנאי סף'!F88)</f>
        <v/>
      </c>
      <c r="D88" s="91" t="str">
        <f>IF($C88="","",IF(ייצוב!Y88="",$BA$1,ייצוב!Y88))</f>
        <v/>
      </c>
      <c r="E88" s="165"/>
      <c r="F88" s="91" t="str">
        <f>IF($C88="","",IF(ייצוב!G88="",$BA$1,ייצוב!G88))</f>
        <v/>
      </c>
      <c r="G88" s="426" t="str">
        <f>'סיכום לועדה- הזנת נתונים'!G88</f>
        <v/>
      </c>
      <c r="H88" s="267" t="str">
        <f t="shared" si="45"/>
        <v/>
      </c>
      <c r="I88" s="426" t="str">
        <f>IF($C88="","",IF(H88+$G88=2,1,0))</f>
        <v/>
      </c>
      <c r="J88" s="427" t="str">
        <f t="shared" si="46"/>
        <v/>
      </c>
      <c r="K88" s="427" t="str">
        <f t="shared" si="4"/>
        <v/>
      </c>
      <c r="L88" s="428" t="str">
        <f t="shared" si="47"/>
        <v/>
      </c>
      <c r="M88" s="428" t="str">
        <f>IF($C88="","",IF(L88+$G88=2,1,0))</f>
        <v/>
      </c>
      <c r="N88" s="429" t="str">
        <f t="shared" si="48"/>
        <v/>
      </c>
      <c r="O88" s="429" t="str">
        <f t="shared" si="29"/>
        <v/>
      </c>
      <c r="P88" s="428" t="str">
        <f t="shared" si="49"/>
        <v/>
      </c>
      <c r="Q88" s="428" t="str">
        <f>IF($C88="","",IF(P88+$G88=2,1,0))</f>
        <v/>
      </c>
      <c r="R88" s="429" t="str">
        <f t="shared" si="50"/>
        <v/>
      </c>
      <c r="S88" s="429" t="str">
        <f t="shared" si="31"/>
        <v/>
      </c>
      <c r="T88" s="428" t="str">
        <f t="shared" si="51"/>
        <v/>
      </c>
      <c r="U88" s="428" t="str">
        <f>IF($C88="","",IF(T88+$G88=2,1,0))</f>
        <v/>
      </c>
      <c r="V88" s="429" t="str">
        <f t="shared" si="52"/>
        <v/>
      </c>
      <c r="W88" s="429" t="str">
        <f t="shared" si="33"/>
        <v/>
      </c>
      <c r="X88" s="428" t="str">
        <f t="shared" si="53"/>
        <v/>
      </c>
      <c r="Y88" s="428" t="str">
        <f>IF($C88="","",IF(X88+$G88=2,1,0))</f>
        <v/>
      </c>
      <c r="Z88" s="429" t="str">
        <f t="shared" si="54"/>
        <v/>
      </c>
      <c r="AA88" s="429" t="str">
        <f t="shared" si="35"/>
        <v/>
      </c>
      <c r="AB88" s="428" t="str">
        <f t="shared" si="55"/>
        <v/>
      </c>
      <c r="AC88" s="428" t="str">
        <f>IF($C88="","",IF(AB88+$G88=2,1,0))</f>
        <v/>
      </c>
      <c r="AD88" s="429" t="str">
        <f t="shared" si="56"/>
        <v/>
      </c>
      <c r="AE88" s="429" t="str">
        <f t="shared" si="37"/>
        <v/>
      </c>
      <c r="AF88" s="428" t="str">
        <f t="shared" si="57"/>
        <v/>
      </c>
      <c r="AG88" s="428" t="str">
        <f>IF($C88="","",IF(AF88+$G88=2,1,0))</f>
        <v/>
      </c>
      <c r="AH88" s="429" t="str">
        <f t="shared" si="58"/>
        <v/>
      </c>
      <c r="AI88" s="429" t="str">
        <f t="shared" si="39"/>
        <v/>
      </c>
      <c r="AJ88" s="428" t="str">
        <f t="shared" si="59"/>
        <v/>
      </c>
      <c r="AK88" s="428" t="str">
        <f>IF($C88="","",IF(AJ88+$G88=2,1,0))</f>
        <v/>
      </c>
      <c r="AL88" s="429" t="str">
        <f t="shared" si="60"/>
        <v/>
      </c>
      <c r="AM88" s="429" t="str">
        <f t="shared" si="41"/>
        <v/>
      </c>
      <c r="AN88" s="428" t="str">
        <f t="shared" si="61"/>
        <v/>
      </c>
      <c r="AO88" s="428" t="str">
        <f>IF($C88="","",IF(AN88+$G88=2,1,0))</f>
        <v/>
      </c>
      <c r="AP88" s="429" t="str">
        <f t="shared" si="62"/>
        <v/>
      </c>
      <c r="AQ88" s="429" t="str">
        <f t="shared" si="43"/>
        <v/>
      </c>
      <c r="AR88" s="428" t="str">
        <f t="shared" si="63"/>
        <v/>
      </c>
      <c r="AS88" s="428" t="str">
        <f>IF($C88="","",IF(AR88+$G88=2,1,0))</f>
        <v/>
      </c>
      <c r="AT88" s="429" t="str">
        <f t="shared" si="64"/>
        <v/>
      </c>
      <c r="AU88" s="429" t="str">
        <f t="shared" si="25"/>
        <v/>
      </c>
      <c r="AV88" s="419" t="str">
        <f t="shared" si="65"/>
        <v/>
      </c>
      <c r="AW88" s="92" t="str">
        <f t="shared" si="66"/>
        <v/>
      </c>
      <c r="BB88" s="186" t="str">
        <f t="shared" si="67"/>
        <v/>
      </c>
      <c r="BC88" s="186" t="str">
        <f t="shared" si="67"/>
        <v/>
      </c>
      <c r="BE88" s="188">
        <f>IF(G88="",0,IF(ISERROR(MATCH(G88,$BB$30:$BC$30,0)),0,1))</f>
        <v>0</v>
      </c>
    </row>
    <row r="89" spans="2:57" x14ac:dyDescent="0.25">
      <c r="B89" s="57">
        <f t="shared" si="0"/>
        <v>59</v>
      </c>
      <c r="C89" s="421" t="str">
        <f>IF('תנאי סף'!AO89&lt;&gt;1,"",'תנאי סף'!F89)</f>
        <v>העמותה לקידום המוסיקה הערבית</v>
      </c>
      <c r="D89" s="91">
        <f>IF($C89="","",IF(ייצוב!Y89="",$BA$1,ייצוב!Y89))</f>
        <v>6.9068748925787932E-2</v>
      </c>
      <c r="E89" s="165"/>
      <c r="F89" s="91">
        <f>IF($C89="","",IF(ייצוב!G89="",$BA$1,ייצוב!G89))</f>
        <v>0.10194533828213083</v>
      </c>
      <c r="G89" s="426">
        <f>'סיכום לועדה- הזנת נתונים'!G89</f>
        <v>0</v>
      </c>
      <c r="H89" s="267">
        <f t="shared" si="45"/>
        <v>1</v>
      </c>
      <c r="I89" s="426">
        <f>IF($C89="","",IF(H89+$G89=2,1,0))</f>
        <v>0</v>
      </c>
      <c r="J89" s="427">
        <f t="shared" si="46"/>
        <v>6.9068748925787932E-2</v>
      </c>
      <c r="K89" s="427">
        <f t="shared" si="4"/>
        <v>6.9068748925787904E-2</v>
      </c>
      <c r="L89" s="428">
        <f t="shared" si="47"/>
        <v>1</v>
      </c>
      <c r="M89" s="428">
        <f>IF($C89="","",IF(L89+$G89=2,1,0))</f>
        <v>0</v>
      </c>
      <c r="N89" s="429">
        <f t="shared" si="48"/>
        <v>6.9068748925787932E-2</v>
      </c>
      <c r="O89" s="429">
        <f t="shared" si="29"/>
        <v>6.9068748925787904E-2</v>
      </c>
      <c r="P89" s="428">
        <f t="shared" si="49"/>
        <v>1</v>
      </c>
      <c r="Q89" s="428">
        <f>IF($C89="","",IF(P89+$G89=2,1,0))</f>
        <v>0</v>
      </c>
      <c r="R89" s="429">
        <f t="shared" si="50"/>
        <v>6.9068748925787932E-2</v>
      </c>
      <c r="S89" s="429">
        <f t="shared" si="31"/>
        <v>6.9068748925787904E-2</v>
      </c>
      <c r="T89" s="428">
        <f t="shared" si="51"/>
        <v>1</v>
      </c>
      <c r="U89" s="428">
        <f>IF($C89="","",IF(T89+$G89=2,1,0))</f>
        <v>0</v>
      </c>
      <c r="V89" s="429">
        <f t="shared" si="52"/>
        <v>6.9068748925787904E-2</v>
      </c>
      <c r="W89" s="429">
        <f t="shared" si="33"/>
        <v>6.9068748925787918E-2</v>
      </c>
      <c r="X89" s="428">
        <f t="shared" si="53"/>
        <v>1</v>
      </c>
      <c r="Y89" s="428">
        <f>IF($C89="","",IF(X89+$G89=2,1,0))</f>
        <v>0</v>
      </c>
      <c r="Z89" s="429">
        <f t="shared" si="54"/>
        <v>6.9068748925787918E-2</v>
      </c>
      <c r="AA89" s="429">
        <f t="shared" si="35"/>
        <v>6.9068748925787904E-2</v>
      </c>
      <c r="AB89" s="428">
        <f t="shared" si="55"/>
        <v>1</v>
      </c>
      <c r="AC89" s="428">
        <f>IF($C89="","",IF(AB89+$G89=2,1,0))</f>
        <v>0</v>
      </c>
      <c r="AD89" s="429">
        <f t="shared" si="56"/>
        <v>6.9068748925787904E-2</v>
      </c>
      <c r="AE89" s="429">
        <f t="shared" si="37"/>
        <v>6.9068748925787918E-2</v>
      </c>
      <c r="AF89" s="428">
        <f t="shared" si="57"/>
        <v>1</v>
      </c>
      <c r="AG89" s="428">
        <f>IF($C89="","",IF(AF89+$G89=2,1,0))</f>
        <v>0</v>
      </c>
      <c r="AH89" s="429">
        <f t="shared" si="58"/>
        <v>6.9068748925787918E-2</v>
      </c>
      <c r="AI89" s="429">
        <f t="shared" si="39"/>
        <v>6.9068748925787904E-2</v>
      </c>
      <c r="AJ89" s="428">
        <f t="shared" si="59"/>
        <v>1</v>
      </c>
      <c r="AK89" s="428">
        <f>IF($C89="","",IF(AJ89+$G89=2,1,0))</f>
        <v>0</v>
      </c>
      <c r="AL89" s="429">
        <f t="shared" si="60"/>
        <v>6.9068748925787904E-2</v>
      </c>
      <c r="AM89" s="429">
        <f t="shared" si="41"/>
        <v>6.9068748925787918E-2</v>
      </c>
      <c r="AN89" s="428">
        <f t="shared" si="61"/>
        <v>1</v>
      </c>
      <c r="AO89" s="428">
        <f>IF($C89="","",IF(AN89+$G89=2,1,0))</f>
        <v>0</v>
      </c>
      <c r="AP89" s="429">
        <f t="shared" si="62"/>
        <v>6.9068748925787918E-2</v>
      </c>
      <c r="AQ89" s="429">
        <f t="shared" si="43"/>
        <v>6.9068748925787904E-2</v>
      </c>
      <c r="AR89" s="428">
        <f t="shared" si="63"/>
        <v>1</v>
      </c>
      <c r="AS89" s="428">
        <f>IF($C89="","",IF(AR89+$G89=2,1,0))</f>
        <v>0</v>
      </c>
      <c r="AT89" s="429">
        <f t="shared" si="64"/>
        <v>6.9068748925787904E-2</v>
      </c>
      <c r="AU89" s="429">
        <f t="shared" si="25"/>
        <v>6.9068748925787918E-2</v>
      </c>
      <c r="AV89" s="419">
        <f t="shared" si="65"/>
        <v>6.9068748925787904E-2</v>
      </c>
      <c r="AW89" s="92">
        <f t="shared" si="66"/>
        <v>212480.81992657937</v>
      </c>
      <c r="BB89" s="186">
        <f t="shared" si="67"/>
        <v>0</v>
      </c>
      <c r="BC89" s="186">
        <f t="shared" si="67"/>
        <v>1</v>
      </c>
      <c r="BE89" s="188">
        <f>IF(G89="",0,IF(ISERROR(MATCH(G89,$BB$30:$BC$30,0)),0,1))</f>
        <v>1</v>
      </c>
    </row>
    <row r="90" spans="2:57" x14ac:dyDescent="0.25">
      <c r="B90" s="57">
        <f t="shared" si="0"/>
        <v>60</v>
      </c>
      <c r="C90" s="421" t="str">
        <f>IF('תנאי סף'!AO90&lt;&gt;1,"",'תנאי סף'!F90)</f>
        <v>תמיכה בתזמורת TLV (הערבית יהודית)</v>
      </c>
      <c r="D90" s="91">
        <f>IF($C90="","",IF(ייצוב!Y90="",$BA$1,ייצוב!Y90))</f>
        <v>3.0070879644423981E-2</v>
      </c>
      <c r="E90" s="165"/>
      <c r="F90" s="91">
        <f>IF($C90="","",IF(ייצוב!G90="",$BA$1,ייצוב!G90))</f>
        <v>4.8568442363242835E-2</v>
      </c>
      <c r="G90" s="426">
        <f>'סיכום לועדה- הזנת נתונים'!G90</f>
        <v>0</v>
      </c>
      <c r="H90" s="267">
        <f t="shared" si="45"/>
        <v>1</v>
      </c>
      <c r="I90" s="426">
        <f t="shared" si="2"/>
        <v>0</v>
      </c>
      <c r="J90" s="427">
        <f t="shared" si="46"/>
        <v>3.0070879644423981E-2</v>
      </c>
      <c r="K90" s="427">
        <f t="shared" si="4"/>
        <v>3.0070879644423967E-2</v>
      </c>
      <c r="L90" s="428">
        <f t="shared" si="47"/>
        <v>1</v>
      </c>
      <c r="M90" s="428">
        <f t="shared" si="28"/>
        <v>0</v>
      </c>
      <c r="N90" s="429">
        <f t="shared" si="48"/>
        <v>3.0070879644423981E-2</v>
      </c>
      <c r="O90" s="429">
        <f t="shared" si="29"/>
        <v>3.0070879644423967E-2</v>
      </c>
      <c r="P90" s="428">
        <f t="shared" si="49"/>
        <v>1</v>
      </c>
      <c r="Q90" s="428">
        <f t="shared" si="30"/>
        <v>0</v>
      </c>
      <c r="R90" s="429">
        <f t="shared" si="50"/>
        <v>3.0070879644423981E-2</v>
      </c>
      <c r="S90" s="429">
        <f t="shared" si="31"/>
        <v>3.0070879644423967E-2</v>
      </c>
      <c r="T90" s="428">
        <f t="shared" si="51"/>
        <v>1</v>
      </c>
      <c r="U90" s="428">
        <f t="shared" si="32"/>
        <v>0</v>
      </c>
      <c r="V90" s="429">
        <f t="shared" si="52"/>
        <v>3.0070879644423967E-2</v>
      </c>
      <c r="W90" s="429">
        <f t="shared" si="33"/>
        <v>3.0070879644423971E-2</v>
      </c>
      <c r="X90" s="428">
        <f t="shared" si="53"/>
        <v>1</v>
      </c>
      <c r="Y90" s="428">
        <f t="shared" si="34"/>
        <v>0</v>
      </c>
      <c r="Z90" s="429">
        <f t="shared" si="54"/>
        <v>3.0070879644423971E-2</v>
      </c>
      <c r="AA90" s="429">
        <f t="shared" si="35"/>
        <v>3.0070879644423964E-2</v>
      </c>
      <c r="AB90" s="428">
        <f t="shared" si="55"/>
        <v>1</v>
      </c>
      <c r="AC90" s="428">
        <f t="shared" si="36"/>
        <v>0</v>
      </c>
      <c r="AD90" s="429">
        <f t="shared" si="56"/>
        <v>3.0070879644423964E-2</v>
      </c>
      <c r="AE90" s="429">
        <f t="shared" si="37"/>
        <v>3.0070879644423971E-2</v>
      </c>
      <c r="AF90" s="428">
        <f t="shared" si="57"/>
        <v>1</v>
      </c>
      <c r="AG90" s="428">
        <f t="shared" si="38"/>
        <v>0</v>
      </c>
      <c r="AH90" s="429">
        <f t="shared" si="58"/>
        <v>3.0070879644423971E-2</v>
      </c>
      <c r="AI90" s="429">
        <f t="shared" si="39"/>
        <v>3.0070879644423964E-2</v>
      </c>
      <c r="AJ90" s="428">
        <f t="shared" si="59"/>
        <v>1</v>
      </c>
      <c r="AK90" s="428">
        <f t="shared" si="40"/>
        <v>0</v>
      </c>
      <c r="AL90" s="429">
        <f t="shared" si="60"/>
        <v>3.0070879644423964E-2</v>
      </c>
      <c r="AM90" s="429">
        <f t="shared" si="41"/>
        <v>3.0070879644423971E-2</v>
      </c>
      <c r="AN90" s="428">
        <f t="shared" si="61"/>
        <v>1</v>
      </c>
      <c r="AO90" s="428">
        <f t="shared" si="42"/>
        <v>0</v>
      </c>
      <c r="AP90" s="429">
        <f t="shared" si="62"/>
        <v>3.0070879644423971E-2</v>
      </c>
      <c r="AQ90" s="429">
        <f t="shared" si="43"/>
        <v>3.0070879644423964E-2</v>
      </c>
      <c r="AR90" s="428">
        <f t="shared" si="63"/>
        <v>1</v>
      </c>
      <c r="AS90" s="428">
        <f t="shared" si="44"/>
        <v>0</v>
      </c>
      <c r="AT90" s="429">
        <f t="shared" si="64"/>
        <v>3.0070879644423964E-2</v>
      </c>
      <c r="AU90" s="429">
        <f t="shared" si="25"/>
        <v>3.0070879644423971E-2</v>
      </c>
      <c r="AV90" s="419">
        <f t="shared" si="65"/>
        <v>3.0070879644423964E-2</v>
      </c>
      <c r="AW90" s="92">
        <f t="shared" si="66"/>
        <v>92509.061799077623</v>
      </c>
      <c r="BB90" s="186">
        <f t="shared" si="67"/>
        <v>0</v>
      </c>
      <c r="BC90" s="186">
        <f t="shared" si="67"/>
        <v>1</v>
      </c>
      <c r="BE90" s="188">
        <f t="shared" si="27"/>
        <v>1</v>
      </c>
    </row>
    <row r="91" spans="2:57" x14ac:dyDescent="0.25">
      <c r="B91" s="57">
        <f t="shared" si="0"/>
        <v>61</v>
      </c>
      <c r="C91" s="421" t="str">
        <f>IF('תנאי סף'!AO91&lt;&gt;1,"",'תנאי סף'!F91)</f>
        <v>אנסמבל גליל</v>
      </c>
      <c r="D91" s="91">
        <f>IF($C91="","",IF(ייצוב!Y91="",$BA$1,ייצוב!Y91))</f>
        <v>1.877980605622601E-2</v>
      </c>
      <c r="E91" s="165"/>
      <c r="F91" s="91">
        <f>IF($C91="","",IF(ייצוב!G91="",$BA$1,ייצוב!G91))</f>
        <v>9.8756491181868303E-3</v>
      </c>
      <c r="G91" s="426">
        <f>'סיכום לועדה- הזנת נתונים'!G91</f>
        <v>1</v>
      </c>
      <c r="H91" s="267">
        <f t="shared" si="45"/>
        <v>0</v>
      </c>
      <c r="I91" s="426">
        <f t="shared" si="2"/>
        <v>0</v>
      </c>
      <c r="J91" s="427">
        <f t="shared" si="46"/>
        <v>1.877980605622601E-2</v>
      </c>
      <c r="K91" s="427">
        <f t="shared" si="4"/>
        <v>1.8779806056226003E-2</v>
      </c>
      <c r="L91" s="428">
        <f t="shared" si="47"/>
        <v>0</v>
      </c>
      <c r="M91" s="428">
        <f t="shared" si="28"/>
        <v>0</v>
      </c>
      <c r="N91" s="429">
        <f t="shared" si="48"/>
        <v>1.877980605622601E-2</v>
      </c>
      <c r="O91" s="429">
        <f t="shared" si="29"/>
        <v>1.8779806056226003E-2</v>
      </c>
      <c r="P91" s="428">
        <f t="shared" si="49"/>
        <v>0</v>
      </c>
      <c r="Q91" s="428">
        <f t="shared" si="30"/>
        <v>0</v>
      </c>
      <c r="R91" s="429">
        <f t="shared" si="50"/>
        <v>1.877980605622601E-2</v>
      </c>
      <c r="S91" s="429">
        <f t="shared" si="31"/>
        <v>1.8779806056226003E-2</v>
      </c>
      <c r="T91" s="428">
        <f t="shared" si="51"/>
        <v>0</v>
      </c>
      <c r="U91" s="428">
        <f t="shared" si="32"/>
        <v>0</v>
      </c>
      <c r="V91" s="429">
        <f t="shared" si="52"/>
        <v>1.8779806056226003E-2</v>
      </c>
      <c r="W91" s="429">
        <f t="shared" si="33"/>
        <v>1.8779806056226006E-2</v>
      </c>
      <c r="X91" s="428">
        <f t="shared" si="53"/>
        <v>0</v>
      </c>
      <c r="Y91" s="428">
        <f t="shared" si="34"/>
        <v>0</v>
      </c>
      <c r="Z91" s="429">
        <f t="shared" si="54"/>
        <v>1.8779806056226006E-2</v>
      </c>
      <c r="AA91" s="429">
        <f t="shared" si="35"/>
        <v>1.8779806056226003E-2</v>
      </c>
      <c r="AB91" s="428">
        <f t="shared" si="55"/>
        <v>0</v>
      </c>
      <c r="AC91" s="428">
        <f t="shared" si="36"/>
        <v>0</v>
      </c>
      <c r="AD91" s="429">
        <f t="shared" si="56"/>
        <v>1.8779806056226003E-2</v>
      </c>
      <c r="AE91" s="429">
        <f t="shared" si="37"/>
        <v>1.8779806056226006E-2</v>
      </c>
      <c r="AF91" s="428">
        <f t="shared" si="57"/>
        <v>0</v>
      </c>
      <c r="AG91" s="428">
        <f t="shared" si="38"/>
        <v>0</v>
      </c>
      <c r="AH91" s="429">
        <f t="shared" si="58"/>
        <v>1.8779806056226006E-2</v>
      </c>
      <c r="AI91" s="429">
        <f t="shared" si="39"/>
        <v>1.8779806056226003E-2</v>
      </c>
      <c r="AJ91" s="428">
        <f t="shared" si="59"/>
        <v>0</v>
      </c>
      <c r="AK91" s="428">
        <f t="shared" si="40"/>
        <v>0</v>
      </c>
      <c r="AL91" s="429">
        <f t="shared" si="60"/>
        <v>1.8779806056226003E-2</v>
      </c>
      <c r="AM91" s="429">
        <f t="shared" si="41"/>
        <v>1.8779806056226006E-2</v>
      </c>
      <c r="AN91" s="428">
        <f t="shared" si="61"/>
        <v>0</v>
      </c>
      <c r="AO91" s="428">
        <f t="shared" si="42"/>
        <v>0</v>
      </c>
      <c r="AP91" s="429">
        <f t="shared" si="62"/>
        <v>1.8779806056226006E-2</v>
      </c>
      <c r="AQ91" s="429">
        <f t="shared" si="43"/>
        <v>1.8779806056226003E-2</v>
      </c>
      <c r="AR91" s="428">
        <f t="shared" si="63"/>
        <v>0</v>
      </c>
      <c r="AS91" s="428">
        <f t="shared" si="44"/>
        <v>0</v>
      </c>
      <c r="AT91" s="429">
        <f t="shared" si="64"/>
        <v>1.8779806056226003E-2</v>
      </c>
      <c r="AU91" s="429">
        <f t="shared" si="25"/>
        <v>1.8779806056226006E-2</v>
      </c>
      <c r="AV91" s="419">
        <f t="shared" si="65"/>
        <v>1.8779806056226003E-2</v>
      </c>
      <c r="AW91" s="92">
        <f t="shared" si="66"/>
        <v>57773.575617773822</v>
      </c>
      <c r="BB91" s="186">
        <f t="shared" si="67"/>
        <v>0</v>
      </c>
      <c r="BC91" s="186">
        <f t="shared" si="67"/>
        <v>1</v>
      </c>
      <c r="BE91" s="188">
        <f t="shared" si="27"/>
        <v>1</v>
      </c>
    </row>
    <row r="92" spans="2:57" x14ac:dyDescent="0.25">
      <c r="B92" s="57">
        <f t="shared" si="0"/>
        <v>62</v>
      </c>
      <c r="C92" s="421" t="str">
        <f>IF('תנאי סף'!AO92&lt;&gt;1,"",'תנאי סף'!F92)</f>
        <v>דריה- הרכב אינסטרומנטלי</v>
      </c>
      <c r="D92" s="91">
        <f>IF($C92="","",IF(ייצוב!Y92="",$BA$1,ייצוב!Y92))</f>
        <v>1.3758238070466056E-2</v>
      </c>
      <c r="E92" s="165"/>
      <c r="F92" s="91">
        <f>IF($C92="","",IF(ייצוב!G92="",$BA$1,ייצוב!G92))</f>
        <v>1.2579931035050325E-2</v>
      </c>
      <c r="G92" s="426">
        <f>'סיכום לועדה- הזנת נתונים'!G92</f>
        <v>1</v>
      </c>
      <c r="H92" s="267">
        <f t="shared" si="45"/>
        <v>0</v>
      </c>
      <c r="I92" s="426">
        <f t="shared" si="2"/>
        <v>0</v>
      </c>
      <c r="J92" s="427">
        <f t="shared" si="46"/>
        <v>1.3758238070466056E-2</v>
      </c>
      <c r="K92" s="427">
        <f t="shared" si="4"/>
        <v>1.3758238070466049E-2</v>
      </c>
      <c r="L92" s="428">
        <f t="shared" si="47"/>
        <v>0</v>
      </c>
      <c r="M92" s="428">
        <f t="shared" si="28"/>
        <v>0</v>
      </c>
      <c r="N92" s="429">
        <f t="shared" si="48"/>
        <v>1.3758238070466056E-2</v>
      </c>
      <c r="O92" s="429">
        <f t="shared" si="29"/>
        <v>1.3758238070466049E-2</v>
      </c>
      <c r="P92" s="428">
        <f t="shared" si="49"/>
        <v>0</v>
      </c>
      <c r="Q92" s="428">
        <f t="shared" si="30"/>
        <v>0</v>
      </c>
      <c r="R92" s="429">
        <f t="shared" si="50"/>
        <v>1.3758238070466056E-2</v>
      </c>
      <c r="S92" s="429">
        <f t="shared" si="31"/>
        <v>1.3758238070466049E-2</v>
      </c>
      <c r="T92" s="428">
        <f t="shared" si="51"/>
        <v>0</v>
      </c>
      <c r="U92" s="428">
        <f t="shared" si="32"/>
        <v>0</v>
      </c>
      <c r="V92" s="429">
        <f t="shared" si="52"/>
        <v>1.3758238070466049E-2</v>
      </c>
      <c r="W92" s="429">
        <f t="shared" si="33"/>
        <v>1.375823807046605E-2</v>
      </c>
      <c r="X92" s="428">
        <f t="shared" si="53"/>
        <v>0</v>
      </c>
      <c r="Y92" s="428">
        <f t="shared" si="34"/>
        <v>0</v>
      </c>
      <c r="Z92" s="429">
        <f t="shared" si="54"/>
        <v>1.375823807046605E-2</v>
      </c>
      <c r="AA92" s="429">
        <f t="shared" si="35"/>
        <v>1.3758238070466047E-2</v>
      </c>
      <c r="AB92" s="428">
        <f t="shared" si="55"/>
        <v>0</v>
      </c>
      <c r="AC92" s="428">
        <f t="shared" si="36"/>
        <v>0</v>
      </c>
      <c r="AD92" s="429">
        <f t="shared" si="56"/>
        <v>1.3758238070466047E-2</v>
      </c>
      <c r="AE92" s="429">
        <f t="shared" si="37"/>
        <v>1.375823807046605E-2</v>
      </c>
      <c r="AF92" s="428">
        <f t="shared" si="57"/>
        <v>0</v>
      </c>
      <c r="AG92" s="428">
        <f t="shared" si="38"/>
        <v>0</v>
      </c>
      <c r="AH92" s="429">
        <f t="shared" si="58"/>
        <v>1.375823807046605E-2</v>
      </c>
      <c r="AI92" s="429">
        <f t="shared" si="39"/>
        <v>1.3758238070466047E-2</v>
      </c>
      <c r="AJ92" s="428">
        <f t="shared" si="59"/>
        <v>0</v>
      </c>
      <c r="AK92" s="428">
        <f t="shared" si="40"/>
        <v>0</v>
      </c>
      <c r="AL92" s="429">
        <f t="shared" si="60"/>
        <v>1.3758238070466047E-2</v>
      </c>
      <c r="AM92" s="429">
        <f t="shared" si="41"/>
        <v>1.375823807046605E-2</v>
      </c>
      <c r="AN92" s="428">
        <f t="shared" si="61"/>
        <v>0</v>
      </c>
      <c r="AO92" s="428">
        <f t="shared" si="42"/>
        <v>0</v>
      </c>
      <c r="AP92" s="429">
        <f t="shared" si="62"/>
        <v>1.375823807046605E-2</v>
      </c>
      <c r="AQ92" s="429">
        <f t="shared" si="43"/>
        <v>1.3758238070466047E-2</v>
      </c>
      <c r="AR92" s="428">
        <f t="shared" si="63"/>
        <v>0</v>
      </c>
      <c r="AS92" s="428">
        <f t="shared" si="44"/>
        <v>0</v>
      </c>
      <c r="AT92" s="429">
        <f t="shared" si="64"/>
        <v>1.3758238070466047E-2</v>
      </c>
      <c r="AU92" s="429">
        <f t="shared" si="25"/>
        <v>1.375823807046605E-2</v>
      </c>
      <c r="AV92" s="419">
        <f t="shared" si="65"/>
        <v>1.3758238070466047E-2</v>
      </c>
      <c r="AW92" s="92">
        <f t="shared" si="66"/>
        <v>42325.389578125425</v>
      </c>
      <c r="BB92" s="186">
        <f t="shared" si="67"/>
        <v>0</v>
      </c>
      <c r="BC92" s="186">
        <f t="shared" si="67"/>
        <v>1</v>
      </c>
      <c r="BE92" s="188">
        <f t="shared" si="27"/>
        <v>1</v>
      </c>
    </row>
    <row r="93" spans="2:57" x14ac:dyDescent="0.25">
      <c r="B93" s="57">
        <f t="shared" si="0"/>
        <v>63</v>
      </c>
      <c r="C93" s="421" t="str">
        <f>IF('תנאי סף'!AO93&lt;&gt;1,"",'תנאי סף'!F93)</f>
        <v>להקת שלוש</v>
      </c>
      <c r="D93" s="91">
        <f>IF($C93="","",IF(ייצוב!Y93="",$BA$1,ייצוב!Y93))</f>
        <v>1.6045086597647577E-2</v>
      </c>
      <c r="E93" s="165"/>
      <c r="F93" s="91">
        <f>IF($C93="","",IF(ייצוב!G93="",$BA$1,ייצוב!G93))</f>
        <v>1.4813473677280246E-2</v>
      </c>
      <c r="G93" s="426">
        <f>'סיכום לועדה- הזנת נתונים'!G93</f>
        <v>1</v>
      </c>
      <c r="H93" s="267">
        <f t="shared" si="45"/>
        <v>0</v>
      </c>
      <c r="I93" s="426">
        <f t="shared" si="2"/>
        <v>0</v>
      </c>
      <c r="J93" s="427">
        <f t="shared" si="46"/>
        <v>1.6045086597647577E-2</v>
      </c>
      <c r="K93" s="427">
        <f t="shared" si="4"/>
        <v>1.604508659764757E-2</v>
      </c>
      <c r="L93" s="428">
        <f t="shared" si="47"/>
        <v>0</v>
      </c>
      <c r="M93" s="428">
        <f t="shared" si="28"/>
        <v>0</v>
      </c>
      <c r="N93" s="429">
        <f t="shared" si="48"/>
        <v>1.6045086597647577E-2</v>
      </c>
      <c r="O93" s="429">
        <f t="shared" si="29"/>
        <v>1.604508659764757E-2</v>
      </c>
      <c r="P93" s="428">
        <f t="shared" si="49"/>
        <v>0</v>
      </c>
      <c r="Q93" s="428">
        <f t="shared" si="30"/>
        <v>0</v>
      </c>
      <c r="R93" s="429">
        <f t="shared" si="50"/>
        <v>1.6045086597647577E-2</v>
      </c>
      <c r="S93" s="429">
        <f t="shared" si="31"/>
        <v>1.604508659764757E-2</v>
      </c>
      <c r="T93" s="428">
        <f t="shared" si="51"/>
        <v>0</v>
      </c>
      <c r="U93" s="428">
        <f t="shared" si="32"/>
        <v>0</v>
      </c>
      <c r="V93" s="429">
        <f t="shared" si="52"/>
        <v>1.604508659764757E-2</v>
      </c>
      <c r="W93" s="429">
        <f t="shared" si="33"/>
        <v>1.6045086597647574E-2</v>
      </c>
      <c r="X93" s="428">
        <f t="shared" si="53"/>
        <v>0</v>
      </c>
      <c r="Y93" s="428">
        <f t="shared" si="34"/>
        <v>0</v>
      </c>
      <c r="Z93" s="429">
        <f t="shared" si="54"/>
        <v>1.6045086597647574E-2</v>
      </c>
      <c r="AA93" s="429">
        <f t="shared" si="35"/>
        <v>1.604508659764757E-2</v>
      </c>
      <c r="AB93" s="428">
        <f t="shared" si="55"/>
        <v>0</v>
      </c>
      <c r="AC93" s="428">
        <f t="shared" si="36"/>
        <v>0</v>
      </c>
      <c r="AD93" s="429">
        <f t="shared" si="56"/>
        <v>1.604508659764757E-2</v>
      </c>
      <c r="AE93" s="429">
        <f t="shared" si="37"/>
        <v>1.6045086597647574E-2</v>
      </c>
      <c r="AF93" s="428">
        <f t="shared" si="57"/>
        <v>0</v>
      </c>
      <c r="AG93" s="428">
        <f t="shared" si="38"/>
        <v>0</v>
      </c>
      <c r="AH93" s="429">
        <f t="shared" si="58"/>
        <v>1.6045086597647574E-2</v>
      </c>
      <c r="AI93" s="429">
        <f t="shared" si="39"/>
        <v>1.604508659764757E-2</v>
      </c>
      <c r="AJ93" s="428">
        <f t="shared" si="59"/>
        <v>0</v>
      </c>
      <c r="AK93" s="428">
        <f t="shared" si="40"/>
        <v>0</v>
      </c>
      <c r="AL93" s="429">
        <f t="shared" si="60"/>
        <v>1.604508659764757E-2</v>
      </c>
      <c r="AM93" s="429">
        <f t="shared" si="41"/>
        <v>1.6045086597647574E-2</v>
      </c>
      <c r="AN93" s="428">
        <f t="shared" si="61"/>
        <v>0</v>
      </c>
      <c r="AO93" s="428">
        <f t="shared" si="42"/>
        <v>0</v>
      </c>
      <c r="AP93" s="429">
        <f t="shared" si="62"/>
        <v>1.6045086597647574E-2</v>
      </c>
      <c r="AQ93" s="429">
        <f t="shared" si="43"/>
        <v>1.604508659764757E-2</v>
      </c>
      <c r="AR93" s="428">
        <f t="shared" si="63"/>
        <v>0</v>
      </c>
      <c r="AS93" s="428">
        <f t="shared" si="44"/>
        <v>0</v>
      </c>
      <c r="AT93" s="429">
        <f t="shared" si="64"/>
        <v>1.604508659764757E-2</v>
      </c>
      <c r="AU93" s="429">
        <f t="shared" si="25"/>
        <v>1.6045086597647574E-2</v>
      </c>
      <c r="AV93" s="419">
        <f t="shared" si="65"/>
        <v>1.604508659764757E-2</v>
      </c>
      <c r="AW93" s="92">
        <f t="shared" si="66"/>
        <v>49360.574921145264</v>
      </c>
      <c r="BB93" s="186">
        <f t="shared" si="67"/>
        <v>0</v>
      </c>
      <c r="BC93" s="186">
        <f t="shared" si="67"/>
        <v>1</v>
      </c>
      <c r="BE93" s="188">
        <f t="shared" si="27"/>
        <v>1</v>
      </c>
    </row>
    <row r="94" spans="2:57" x14ac:dyDescent="0.25">
      <c r="B94" s="57">
        <f t="shared" si="0"/>
        <v>64</v>
      </c>
      <c r="C94" s="421" t="str">
        <f>IF('תנאי סף'!AO94&lt;&gt;1,"",'תנאי סף'!F94)</f>
        <v>רביעיית טוסקאניני</v>
      </c>
      <c r="D94" s="91">
        <f>IF($C94="","",IF(ייצוב!Y94="",$BA$1,ייצוב!Y94))</f>
        <v>1.2081304352664702E-2</v>
      </c>
      <c r="E94" s="165"/>
      <c r="F94" s="91">
        <f>IF($C94="","",IF(ייצוב!G94="",$BA$1,ייצוב!G94))</f>
        <v>1.1153228925776268E-2</v>
      </c>
      <c r="G94" s="426">
        <f>'סיכום לועדה- הזנת נתונים'!G94</f>
        <v>1</v>
      </c>
      <c r="H94" s="267">
        <f t="shared" si="45"/>
        <v>0</v>
      </c>
      <c r="I94" s="426">
        <f t="shared" si="2"/>
        <v>0</v>
      </c>
      <c r="J94" s="427">
        <f t="shared" si="46"/>
        <v>1.2081304352664702E-2</v>
      </c>
      <c r="K94" s="427">
        <f t="shared" si="4"/>
        <v>1.2081304352664697E-2</v>
      </c>
      <c r="L94" s="428">
        <f t="shared" si="47"/>
        <v>0</v>
      </c>
      <c r="M94" s="428">
        <f t="shared" si="28"/>
        <v>0</v>
      </c>
      <c r="N94" s="429">
        <f t="shared" si="48"/>
        <v>1.2081304352664702E-2</v>
      </c>
      <c r="O94" s="429">
        <f t="shared" si="29"/>
        <v>1.2081304352664697E-2</v>
      </c>
      <c r="P94" s="428">
        <f t="shared" si="49"/>
        <v>0</v>
      </c>
      <c r="Q94" s="428">
        <f t="shared" si="30"/>
        <v>0</v>
      </c>
      <c r="R94" s="429">
        <f t="shared" si="50"/>
        <v>1.2081304352664702E-2</v>
      </c>
      <c r="S94" s="429">
        <f t="shared" si="31"/>
        <v>1.2081304352664697E-2</v>
      </c>
      <c r="T94" s="428">
        <f t="shared" si="51"/>
        <v>0</v>
      </c>
      <c r="U94" s="428">
        <f t="shared" si="32"/>
        <v>0</v>
      </c>
      <c r="V94" s="429">
        <f t="shared" si="52"/>
        <v>1.2081304352664697E-2</v>
      </c>
      <c r="W94" s="429">
        <f t="shared" si="33"/>
        <v>1.2081304352664699E-2</v>
      </c>
      <c r="X94" s="428">
        <f t="shared" si="53"/>
        <v>0</v>
      </c>
      <c r="Y94" s="428">
        <f t="shared" si="34"/>
        <v>0</v>
      </c>
      <c r="Z94" s="429">
        <f t="shared" si="54"/>
        <v>1.2081304352664699E-2</v>
      </c>
      <c r="AA94" s="429">
        <f t="shared" si="35"/>
        <v>1.2081304352664695E-2</v>
      </c>
      <c r="AB94" s="428">
        <f t="shared" si="55"/>
        <v>0</v>
      </c>
      <c r="AC94" s="428">
        <f t="shared" si="36"/>
        <v>0</v>
      </c>
      <c r="AD94" s="429">
        <f t="shared" si="56"/>
        <v>1.2081304352664695E-2</v>
      </c>
      <c r="AE94" s="429">
        <f t="shared" si="37"/>
        <v>1.2081304352664699E-2</v>
      </c>
      <c r="AF94" s="428">
        <f t="shared" si="57"/>
        <v>0</v>
      </c>
      <c r="AG94" s="428">
        <f t="shared" si="38"/>
        <v>0</v>
      </c>
      <c r="AH94" s="429">
        <f t="shared" si="58"/>
        <v>1.2081304352664699E-2</v>
      </c>
      <c r="AI94" s="429">
        <f t="shared" si="39"/>
        <v>1.2081304352664695E-2</v>
      </c>
      <c r="AJ94" s="428">
        <f t="shared" si="59"/>
        <v>0</v>
      </c>
      <c r="AK94" s="428">
        <f t="shared" si="40"/>
        <v>0</v>
      </c>
      <c r="AL94" s="429">
        <f t="shared" si="60"/>
        <v>1.2081304352664695E-2</v>
      </c>
      <c r="AM94" s="429">
        <f t="shared" si="41"/>
        <v>1.2081304352664699E-2</v>
      </c>
      <c r="AN94" s="428">
        <f t="shared" si="61"/>
        <v>0</v>
      </c>
      <c r="AO94" s="428">
        <f t="shared" si="42"/>
        <v>0</v>
      </c>
      <c r="AP94" s="429">
        <f t="shared" si="62"/>
        <v>1.2081304352664699E-2</v>
      </c>
      <c r="AQ94" s="429">
        <f t="shared" si="43"/>
        <v>1.2081304352664695E-2</v>
      </c>
      <c r="AR94" s="428">
        <f t="shared" si="63"/>
        <v>0</v>
      </c>
      <c r="AS94" s="428">
        <f t="shared" si="44"/>
        <v>0</v>
      </c>
      <c r="AT94" s="429">
        <f t="shared" si="64"/>
        <v>1.2081304352664695E-2</v>
      </c>
      <c r="AU94" s="429">
        <f t="shared" si="25"/>
        <v>1.2081304352664699E-2</v>
      </c>
      <c r="AV94" s="419">
        <f t="shared" si="65"/>
        <v>1.2081304352664695E-2</v>
      </c>
      <c r="AW94" s="92">
        <f t="shared" si="66"/>
        <v>37166.52602749403</v>
      </c>
      <c r="BB94" s="186">
        <f t="shared" si="67"/>
        <v>0</v>
      </c>
      <c r="BC94" s="186">
        <f t="shared" si="67"/>
        <v>1</v>
      </c>
      <c r="BE94" s="188">
        <f t="shared" si="27"/>
        <v>1</v>
      </c>
    </row>
    <row r="95" spans="2:57" x14ac:dyDescent="0.25">
      <c r="B95" s="57">
        <f t="shared" ref="B95:B130" si="68">IF(C95="","",ROW()-30)</f>
        <v>65</v>
      </c>
      <c r="C95" s="421" t="str">
        <f>IF('תנאי סף'!AO95&lt;&gt;1,"",'תנאי סף'!F95)</f>
        <v>תקוע-קבוצה מוזיקלית - 'דאפה' 2024</v>
      </c>
      <c r="D95" s="91">
        <f>IF($C95="","",IF(ייצוב!Y95="",$BA$1,ייצוב!Y95))</f>
        <v>3.2369984841381032E-2</v>
      </c>
      <c r="E95" s="165"/>
      <c r="F95" s="91">
        <f>IF($C95="","",IF(ייצוב!G95="",$BA$1,ייצוב!G95))</f>
        <v>2.8259499139995557E-2</v>
      </c>
      <c r="G95" s="426">
        <f>'סיכום לועדה- הזנת נתונים'!G95</f>
        <v>1</v>
      </c>
      <c r="H95" s="267">
        <f t="shared" ref="H95:H130" si="69">IF($C95="","",IF(OR(D95="",F95="",BE95&lt;&gt;1),$BA$1,IF($D95&lt;$F95*$H$6,1,0)))</f>
        <v>0</v>
      </c>
      <c r="I95" s="426">
        <f t="shared" ref="I95:I130" si="70">IF($C95="","",IF(H95+$G95=2,1,0))</f>
        <v>0</v>
      </c>
      <c r="J95" s="427">
        <f t="shared" ref="J95:J126" si="71">IF($C95="","",IF(I95=1,$F95*$H$6,$D95))</f>
        <v>3.2369984841381032E-2</v>
      </c>
      <c r="K95" s="427">
        <f t="shared" ref="K95:K130" si="72">IF(H95="","",IF(I95=1,J95,J95/SUMIF(I$31:I$130,"&lt;&gt;1",J$31:J$130)*(1-SUMIF(I$31:I$130,"=1",J$31:J$130))))</f>
        <v>3.2369984841381018E-2</v>
      </c>
      <c r="L95" s="428">
        <f t="shared" ref="L95:L126" si="73">IF($C95="","",IF(K95&lt;$F95*$H$6,1,0))</f>
        <v>0</v>
      </c>
      <c r="M95" s="428">
        <f t="shared" si="28"/>
        <v>0</v>
      </c>
      <c r="N95" s="429">
        <f t="shared" ref="N95:N126" si="74">IF($C95="","",IF(M95=1,$F95*$H$6,$J95))</f>
        <v>3.2369984841381032E-2</v>
      </c>
      <c r="O95" s="429">
        <f t="shared" si="29"/>
        <v>3.2369984841381018E-2</v>
      </c>
      <c r="P95" s="428">
        <f t="shared" ref="P95:P126" si="75">IF($C95="","",IF(O95&lt;$F95*$H$6,1,0))</f>
        <v>0</v>
      </c>
      <c r="Q95" s="428">
        <f t="shared" si="30"/>
        <v>0</v>
      </c>
      <c r="R95" s="429">
        <f t="shared" ref="R95:R126" si="76">IF($C95="","",IF(Q95=1,$F95*$H$6,$N95))</f>
        <v>3.2369984841381032E-2</v>
      </c>
      <c r="S95" s="429">
        <f t="shared" si="31"/>
        <v>3.2369984841381018E-2</v>
      </c>
      <c r="T95" s="428">
        <f t="shared" ref="T95:T126" si="77">IF($C95="","",IF(S95&lt;$F95*$H$6,1,0))</f>
        <v>0</v>
      </c>
      <c r="U95" s="428">
        <f t="shared" si="32"/>
        <v>0</v>
      </c>
      <c r="V95" s="429">
        <f t="shared" ref="V95:V126" si="78">IF($C95="","",IF(U95=1,$F95*$H$6,S95))</f>
        <v>3.2369984841381018E-2</v>
      </c>
      <c r="W95" s="429">
        <f t="shared" si="33"/>
        <v>3.2369984841381025E-2</v>
      </c>
      <c r="X95" s="428">
        <f t="shared" ref="X95:X126" si="79">IF($C95="","",IF(W95&lt;$F95*$H$6,1,0))</f>
        <v>0</v>
      </c>
      <c r="Y95" s="428">
        <f t="shared" si="34"/>
        <v>0</v>
      </c>
      <c r="Z95" s="429">
        <f t="shared" ref="Z95:Z126" si="80">IF($C95="","",IF(Y95=1,$F95*$H$6,W95))</f>
        <v>3.2369984841381025E-2</v>
      </c>
      <c r="AA95" s="429">
        <f t="shared" si="35"/>
        <v>3.2369984841381018E-2</v>
      </c>
      <c r="AB95" s="428">
        <f t="shared" ref="AB95:AB126" si="81">IF($C95="","",IF(AA95&lt;$F95*$H$6,1,0))</f>
        <v>0</v>
      </c>
      <c r="AC95" s="428">
        <f t="shared" si="36"/>
        <v>0</v>
      </c>
      <c r="AD95" s="429">
        <f t="shared" ref="AD95:AD126" si="82">IF($C95="","",IF(AC95=1,$F95*$H$6,AA95))</f>
        <v>3.2369984841381018E-2</v>
      </c>
      <c r="AE95" s="429">
        <f t="shared" si="37"/>
        <v>3.2369984841381025E-2</v>
      </c>
      <c r="AF95" s="428">
        <f t="shared" ref="AF95:AF126" si="83">IF($C95="","",IF(AE95&lt;$F95*$H$6,1,0))</f>
        <v>0</v>
      </c>
      <c r="AG95" s="428">
        <f t="shared" si="38"/>
        <v>0</v>
      </c>
      <c r="AH95" s="429">
        <f t="shared" ref="AH95:AH126" si="84">IF($C95="","",IF(AG95=1,$F95*$H$6,AE95))</f>
        <v>3.2369984841381025E-2</v>
      </c>
      <c r="AI95" s="429">
        <f t="shared" si="39"/>
        <v>3.2369984841381018E-2</v>
      </c>
      <c r="AJ95" s="428">
        <f t="shared" ref="AJ95:AJ126" si="85">IF($C95="","",IF(AI95&lt;$F95*$H$6,1,0))</f>
        <v>0</v>
      </c>
      <c r="AK95" s="428">
        <f t="shared" si="40"/>
        <v>0</v>
      </c>
      <c r="AL95" s="429">
        <f t="shared" ref="AL95:AL126" si="86">IF($C95="","",IF(AK95=1,$F95*$H$6,AI95))</f>
        <v>3.2369984841381018E-2</v>
      </c>
      <c r="AM95" s="429">
        <f t="shared" si="41"/>
        <v>3.2369984841381025E-2</v>
      </c>
      <c r="AN95" s="428">
        <f t="shared" ref="AN95:AN126" si="87">IF($C95="","",IF(AM95&lt;$F95*$H$6,1,0))</f>
        <v>0</v>
      </c>
      <c r="AO95" s="428">
        <f t="shared" si="42"/>
        <v>0</v>
      </c>
      <c r="AP95" s="429">
        <f t="shared" ref="AP95:AP126" si="88">IF($C95="","",IF(AO95=1,$F95*$H$6,AM95))</f>
        <v>3.2369984841381025E-2</v>
      </c>
      <c r="AQ95" s="429">
        <f t="shared" si="43"/>
        <v>3.2369984841381018E-2</v>
      </c>
      <c r="AR95" s="428">
        <f t="shared" ref="AR95:AR126" si="89">IF($C95="","",IF(OR(AQ95&lt;$F95*$H$6,AO95=1,AK95=1,AG95=1,AC95=1,Y95=1,U95=1,Q95=1,M95=1,I95=1),1,0))</f>
        <v>0</v>
      </c>
      <c r="AS95" s="428">
        <f t="shared" si="44"/>
        <v>0</v>
      </c>
      <c r="AT95" s="429">
        <f t="shared" ref="AT95:AT126" si="90">IF($C95="","",IF(AS95=1,$F95*$H$6,AQ95))</f>
        <v>3.2369984841381018E-2</v>
      </c>
      <c r="AU95" s="429">
        <f t="shared" si="25"/>
        <v>3.2369984841381025E-2</v>
      </c>
      <c r="AV95" s="419">
        <f t="shared" ref="AV95:AV126" si="91">IF(C95="","",IFERROR(AU95/SUM($AU$31:$AU$130),$BA$1))</f>
        <v>3.2369984841381018E-2</v>
      </c>
      <c r="AW95" s="92">
        <f t="shared" ref="AW95:AW126" si="92">IF(C95="","",IFERROR(AV95*$C$2,$BA$1))</f>
        <v>99581.953156524803</v>
      </c>
      <c r="BB95" s="186">
        <f t="shared" si="67"/>
        <v>0</v>
      </c>
      <c r="BC95" s="186">
        <f t="shared" si="67"/>
        <v>1</v>
      </c>
      <c r="BE95" s="188">
        <f t="shared" si="27"/>
        <v>1</v>
      </c>
    </row>
    <row r="96" spans="2:57" x14ac:dyDescent="0.25">
      <c r="B96" s="57">
        <f t="shared" si="68"/>
        <v>66</v>
      </c>
      <c r="C96" s="421" t="str">
        <f>IF('תנאי סף'!AO96&lt;&gt;1,"",'תנאי סף'!F96)</f>
        <v>טריו בן חיים</v>
      </c>
      <c r="D96" s="91">
        <f>IF($C96="","",IF(ייצוב!Y96="",$BA$1,ייצוב!Y96))</f>
        <v>1.3980935142239035E-2</v>
      </c>
      <c r="E96" s="165"/>
      <c r="F96" s="91">
        <f>IF($C96="","",IF(ייצוב!G96="",$BA$1,ייצוב!G96))</f>
        <v>1.5795442387931957E-2</v>
      </c>
      <c r="G96" s="426">
        <f>'סיכום לועדה- הזנת נתונים'!G96</f>
        <v>1</v>
      </c>
      <c r="H96" s="267">
        <f t="shared" si="69"/>
        <v>0</v>
      </c>
      <c r="I96" s="426">
        <f t="shared" si="70"/>
        <v>0</v>
      </c>
      <c r="J96" s="427">
        <f t="shared" si="71"/>
        <v>1.3980935142239035E-2</v>
      </c>
      <c r="K96" s="427">
        <f t="shared" si="72"/>
        <v>1.3980935142239028E-2</v>
      </c>
      <c r="L96" s="428">
        <f t="shared" si="73"/>
        <v>0</v>
      </c>
      <c r="M96" s="428">
        <f t="shared" si="28"/>
        <v>0</v>
      </c>
      <c r="N96" s="429">
        <f t="shared" si="74"/>
        <v>1.3980935142239035E-2</v>
      </c>
      <c r="O96" s="429">
        <f t="shared" si="29"/>
        <v>1.3980935142239028E-2</v>
      </c>
      <c r="P96" s="428">
        <f t="shared" si="75"/>
        <v>0</v>
      </c>
      <c r="Q96" s="428">
        <f t="shared" si="30"/>
        <v>0</v>
      </c>
      <c r="R96" s="429">
        <f t="shared" si="76"/>
        <v>1.3980935142239035E-2</v>
      </c>
      <c r="S96" s="429">
        <f t="shared" si="31"/>
        <v>1.3980935142239028E-2</v>
      </c>
      <c r="T96" s="428">
        <f t="shared" si="77"/>
        <v>0</v>
      </c>
      <c r="U96" s="428">
        <f t="shared" si="32"/>
        <v>0</v>
      </c>
      <c r="V96" s="429">
        <f t="shared" si="78"/>
        <v>1.3980935142239028E-2</v>
      </c>
      <c r="W96" s="429">
        <f t="shared" si="33"/>
        <v>1.3980935142239029E-2</v>
      </c>
      <c r="X96" s="428">
        <f t="shared" si="79"/>
        <v>0</v>
      </c>
      <c r="Y96" s="428">
        <f t="shared" si="34"/>
        <v>0</v>
      </c>
      <c r="Z96" s="429">
        <f t="shared" si="80"/>
        <v>1.3980935142239029E-2</v>
      </c>
      <c r="AA96" s="429">
        <f t="shared" si="35"/>
        <v>1.3980935142239026E-2</v>
      </c>
      <c r="AB96" s="428">
        <f t="shared" si="81"/>
        <v>0</v>
      </c>
      <c r="AC96" s="428">
        <f t="shared" si="36"/>
        <v>0</v>
      </c>
      <c r="AD96" s="429">
        <f t="shared" si="82"/>
        <v>1.3980935142239026E-2</v>
      </c>
      <c r="AE96" s="429">
        <f t="shared" si="37"/>
        <v>1.3980935142239029E-2</v>
      </c>
      <c r="AF96" s="428">
        <f t="shared" si="83"/>
        <v>0</v>
      </c>
      <c r="AG96" s="428">
        <f t="shared" si="38"/>
        <v>0</v>
      </c>
      <c r="AH96" s="429">
        <f t="shared" si="84"/>
        <v>1.3980935142239029E-2</v>
      </c>
      <c r="AI96" s="429">
        <f t="shared" si="39"/>
        <v>1.3980935142239026E-2</v>
      </c>
      <c r="AJ96" s="428">
        <f t="shared" si="85"/>
        <v>0</v>
      </c>
      <c r="AK96" s="428">
        <f t="shared" si="40"/>
        <v>0</v>
      </c>
      <c r="AL96" s="429">
        <f t="shared" si="86"/>
        <v>1.3980935142239026E-2</v>
      </c>
      <c r="AM96" s="429">
        <f t="shared" si="41"/>
        <v>1.3980935142239029E-2</v>
      </c>
      <c r="AN96" s="428">
        <f t="shared" si="87"/>
        <v>0</v>
      </c>
      <c r="AO96" s="428">
        <f t="shared" si="42"/>
        <v>0</v>
      </c>
      <c r="AP96" s="429">
        <f t="shared" si="88"/>
        <v>1.3980935142239029E-2</v>
      </c>
      <c r="AQ96" s="429">
        <f t="shared" si="43"/>
        <v>1.3980935142239026E-2</v>
      </c>
      <c r="AR96" s="428">
        <f t="shared" si="89"/>
        <v>0</v>
      </c>
      <c r="AS96" s="428">
        <f t="shared" si="44"/>
        <v>0</v>
      </c>
      <c r="AT96" s="429">
        <f t="shared" si="90"/>
        <v>1.3980935142239026E-2</v>
      </c>
      <c r="AU96" s="429">
        <f t="shared" ref="AU96:AU130" si="93">IF(AR96="","",IFERROR(IF(AS96=1,AT96,AT96/SUMIF(AS$31:AS$130,"&lt;&gt;1",AT$31:AT$130)*(1-SUMIF(AS$31:AS$130,"=1",AT$31:AT$130))),0))</f>
        <v>1.3980935142239029E-2</v>
      </c>
      <c r="AV96" s="419">
        <f t="shared" si="91"/>
        <v>1.3980935142239026E-2</v>
      </c>
      <c r="AW96" s="92">
        <f t="shared" si="92"/>
        <v>43010.487500724448</v>
      </c>
      <c r="BB96" s="186">
        <f t="shared" ref="BB96:BC130" si="94">IF($C96="","",BB$30)</f>
        <v>0</v>
      </c>
      <c r="BC96" s="186">
        <f t="shared" si="94"/>
        <v>1</v>
      </c>
      <c r="BE96" s="188">
        <f t="shared" ref="BE96:BE130" si="95">IF(G96="",0,IF(ISERROR(MATCH(G96,$BB$30:$BC$30,0)),0,1))</f>
        <v>1</v>
      </c>
    </row>
    <row r="97" spans="2:57" x14ac:dyDescent="0.25">
      <c r="B97" s="57" t="str">
        <f t="shared" si="68"/>
        <v/>
      </c>
      <c r="C97" s="421" t="str">
        <f>IF('תנאי סף'!AO97&lt;&gt;1,"",'תנאי סף'!F97)</f>
        <v/>
      </c>
      <c r="D97" s="91" t="str">
        <f>IF($C97="","",IF(ייצוב!Y97="",$BA$1,ייצוב!Y97))</f>
        <v/>
      </c>
      <c r="E97" s="165"/>
      <c r="F97" s="91" t="str">
        <f>IF($C97="","",IF(ייצוב!G97="",$BA$1,ייצוב!G97))</f>
        <v/>
      </c>
      <c r="G97" s="426" t="str">
        <f>'סיכום לועדה- הזנת נתונים'!G97</f>
        <v/>
      </c>
      <c r="H97" s="267" t="str">
        <f t="shared" si="69"/>
        <v/>
      </c>
      <c r="I97" s="426" t="str">
        <f t="shared" si="70"/>
        <v/>
      </c>
      <c r="J97" s="427" t="str">
        <f t="shared" si="71"/>
        <v/>
      </c>
      <c r="K97" s="427" t="str">
        <f t="shared" si="72"/>
        <v/>
      </c>
      <c r="L97" s="428" t="str">
        <f t="shared" si="73"/>
        <v/>
      </c>
      <c r="M97" s="428" t="str">
        <f t="shared" si="28"/>
        <v/>
      </c>
      <c r="N97" s="429" t="str">
        <f t="shared" si="74"/>
        <v/>
      </c>
      <c r="O97" s="429" t="str">
        <f t="shared" si="29"/>
        <v/>
      </c>
      <c r="P97" s="428" t="str">
        <f t="shared" si="75"/>
        <v/>
      </c>
      <c r="Q97" s="428" t="str">
        <f t="shared" si="30"/>
        <v/>
      </c>
      <c r="R97" s="429" t="str">
        <f t="shared" si="76"/>
        <v/>
      </c>
      <c r="S97" s="429" t="str">
        <f t="shared" si="31"/>
        <v/>
      </c>
      <c r="T97" s="428" t="str">
        <f t="shared" si="77"/>
        <v/>
      </c>
      <c r="U97" s="428" t="str">
        <f t="shared" si="32"/>
        <v/>
      </c>
      <c r="V97" s="429" t="str">
        <f t="shared" si="78"/>
        <v/>
      </c>
      <c r="W97" s="429" t="str">
        <f t="shared" si="33"/>
        <v/>
      </c>
      <c r="X97" s="428" t="str">
        <f t="shared" si="79"/>
        <v/>
      </c>
      <c r="Y97" s="428" t="str">
        <f t="shared" si="34"/>
        <v/>
      </c>
      <c r="Z97" s="429" t="str">
        <f t="shared" si="80"/>
        <v/>
      </c>
      <c r="AA97" s="429" t="str">
        <f t="shared" si="35"/>
        <v/>
      </c>
      <c r="AB97" s="428" t="str">
        <f t="shared" si="81"/>
        <v/>
      </c>
      <c r="AC97" s="428" t="str">
        <f t="shared" si="36"/>
        <v/>
      </c>
      <c r="AD97" s="429" t="str">
        <f t="shared" si="82"/>
        <v/>
      </c>
      <c r="AE97" s="429" t="str">
        <f t="shared" si="37"/>
        <v/>
      </c>
      <c r="AF97" s="428" t="str">
        <f t="shared" si="83"/>
        <v/>
      </c>
      <c r="AG97" s="428" t="str">
        <f t="shared" si="38"/>
        <v/>
      </c>
      <c r="AH97" s="429" t="str">
        <f t="shared" si="84"/>
        <v/>
      </c>
      <c r="AI97" s="429" t="str">
        <f t="shared" si="39"/>
        <v/>
      </c>
      <c r="AJ97" s="428" t="str">
        <f t="shared" si="85"/>
        <v/>
      </c>
      <c r="AK97" s="428" t="str">
        <f t="shared" si="40"/>
        <v/>
      </c>
      <c r="AL97" s="429" t="str">
        <f t="shared" si="86"/>
        <v/>
      </c>
      <c r="AM97" s="429" t="str">
        <f t="shared" si="41"/>
        <v/>
      </c>
      <c r="AN97" s="428" t="str">
        <f t="shared" si="87"/>
        <v/>
      </c>
      <c r="AO97" s="428" t="str">
        <f t="shared" si="42"/>
        <v/>
      </c>
      <c r="AP97" s="429" t="str">
        <f t="shared" si="88"/>
        <v/>
      </c>
      <c r="AQ97" s="429" t="str">
        <f t="shared" si="43"/>
        <v/>
      </c>
      <c r="AR97" s="428" t="str">
        <f t="shared" si="89"/>
        <v/>
      </c>
      <c r="AS97" s="428" t="str">
        <f t="shared" si="44"/>
        <v/>
      </c>
      <c r="AT97" s="429" t="str">
        <f t="shared" si="90"/>
        <v/>
      </c>
      <c r="AU97" s="429" t="str">
        <f t="shared" si="93"/>
        <v/>
      </c>
      <c r="AV97" s="419" t="str">
        <f t="shared" si="91"/>
        <v/>
      </c>
      <c r="AW97" s="92" t="str">
        <f t="shared" si="92"/>
        <v/>
      </c>
      <c r="BB97" s="186" t="str">
        <f t="shared" si="94"/>
        <v/>
      </c>
      <c r="BC97" s="186" t="str">
        <f t="shared" si="94"/>
        <v/>
      </c>
      <c r="BE97" s="188">
        <f t="shared" si="95"/>
        <v>0</v>
      </c>
    </row>
    <row r="98" spans="2:57" x14ac:dyDescent="0.25">
      <c r="B98" s="57">
        <f t="shared" si="68"/>
        <v>68</v>
      </c>
      <c r="C98" s="421" t="str">
        <f>IF('תנאי סף'!AO98&lt;&gt;1,"",'תנאי סף'!F98)</f>
        <v>אמיתי אריכא והפרויקט D1</v>
      </c>
      <c r="D98" s="91">
        <f>IF($C98="","",IF(ייצוב!Y98="",$BA$1,ייצוב!Y98))</f>
        <v>1.8086195506961868E-2</v>
      </c>
      <c r="E98" s="165"/>
      <c r="F98" s="91">
        <f>IF($C98="","",IF(ייצוב!G98="",$BA$1,ייצוב!G98))</f>
        <v>1.1064677272016526E-2</v>
      </c>
      <c r="G98" s="426">
        <f>'סיכום לועדה- הזנת נתונים'!G98</f>
        <v>1</v>
      </c>
      <c r="H98" s="267">
        <f t="shared" si="69"/>
        <v>0</v>
      </c>
      <c r="I98" s="426">
        <f t="shared" si="70"/>
        <v>0</v>
      </c>
      <c r="J98" s="427">
        <f t="shared" si="71"/>
        <v>1.8086195506961868E-2</v>
      </c>
      <c r="K98" s="427">
        <f t="shared" si="72"/>
        <v>1.8086195506961861E-2</v>
      </c>
      <c r="L98" s="428">
        <f t="shared" si="73"/>
        <v>0</v>
      </c>
      <c r="M98" s="428">
        <f t="shared" si="28"/>
        <v>0</v>
      </c>
      <c r="N98" s="429">
        <f t="shared" si="74"/>
        <v>1.8086195506961868E-2</v>
      </c>
      <c r="O98" s="429">
        <f t="shared" si="29"/>
        <v>1.8086195506961861E-2</v>
      </c>
      <c r="P98" s="428">
        <f t="shared" si="75"/>
        <v>0</v>
      </c>
      <c r="Q98" s="428">
        <f t="shared" si="30"/>
        <v>0</v>
      </c>
      <c r="R98" s="429">
        <f t="shared" si="76"/>
        <v>1.8086195506961868E-2</v>
      </c>
      <c r="S98" s="429">
        <f t="shared" si="31"/>
        <v>1.8086195506961861E-2</v>
      </c>
      <c r="T98" s="428">
        <f t="shared" si="77"/>
        <v>0</v>
      </c>
      <c r="U98" s="428">
        <f t="shared" si="32"/>
        <v>0</v>
      </c>
      <c r="V98" s="429">
        <f t="shared" si="78"/>
        <v>1.8086195506961861E-2</v>
      </c>
      <c r="W98" s="429">
        <f t="shared" si="33"/>
        <v>1.8086195506961864E-2</v>
      </c>
      <c r="X98" s="428">
        <f t="shared" si="79"/>
        <v>0</v>
      </c>
      <c r="Y98" s="428">
        <f t="shared" si="34"/>
        <v>0</v>
      </c>
      <c r="Z98" s="429">
        <f t="shared" si="80"/>
        <v>1.8086195506961864E-2</v>
      </c>
      <c r="AA98" s="429">
        <f t="shared" si="35"/>
        <v>1.8086195506961861E-2</v>
      </c>
      <c r="AB98" s="428">
        <f t="shared" si="81"/>
        <v>0</v>
      </c>
      <c r="AC98" s="428">
        <f t="shared" si="36"/>
        <v>0</v>
      </c>
      <c r="AD98" s="429">
        <f t="shared" si="82"/>
        <v>1.8086195506961861E-2</v>
      </c>
      <c r="AE98" s="429">
        <f t="shared" si="37"/>
        <v>1.8086195506961864E-2</v>
      </c>
      <c r="AF98" s="428">
        <f t="shared" si="83"/>
        <v>0</v>
      </c>
      <c r="AG98" s="428">
        <f t="shared" si="38"/>
        <v>0</v>
      </c>
      <c r="AH98" s="429">
        <f t="shared" si="84"/>
        <v>1.8086195506961864E-2</v>
      </c>
      <c r="AI98" s="429">
        <f t="shared" si="39"/>
        <v>1.8086195506961861E-2</v>
      </c>
      <c r="AJ98" s="428">
        <f t="shared" si="85"/>
        <v>0</v>
      </c>
      <c r="AK98" s="428">
        <f t="shared" si="40"/>
        <v>0</v>
      </c>
      <c r="AL98" s="429">
        <f t="shared" si="86"/>
        <v>1.8086195506961861E-2</v>
      </c>
      <c r="AM98" s="429">
        <f t="shared" si="41"/>
        <v>1.8086195506961864E-2</v>
      </c>
      <c r="AN98" s="428">
        <f t="shared" si="87"/>
        <v>0</v>
      </c>
      <c r="AO98" s="428">
        <f t="shared" si="42"/>
        <v>0</v>
      </c>
      <c r="AP98" s="429">
        <f t="shared" si="88"/>
        <v>1.8086195506961864E-2</v>
      </c>
      <c r="AQ98" s="429">
        <f t="shared" si="43"/>
        <v>1.8086195506961861E-2</v>
      </c>
      <c r="AR98" s="428">
        <f t="shared" si="89"/>
        <v>0</v>
      </c>
      <c r="AS98" s="428">
        <f t="shared" si="44"/>
        <v>0</v>
      </c>
      <c r="AT98" s="429">
        <f t="shared" si="90"/>
        <v>1.8086195506961861E-2</v>
      </c>
      <c r="AU98" s="429">
        <f t="shared" si="93"/>
        <v>1.8086195506961864E-2</v>
      </c>
      <c r="AV98" s="419">
        <f t="shared" si="91"/>
        <v>1.8086195506961861E-2</v>
      </c>
      <c r="AW98" s="92">
        <f t="shared" si="92"/>
        <v>55639.775013165738</v>
      </c>
      <c r="BB98" s="186">
        <f t="shared" si="94"/>
        <v>0</v>
      </c>
      <c r="BC98" s="186">
        <f t="shared" si="94"/>
        <v>1</v>
      </c>
      <c r="BE98" s="188">
        <f t="shared" si="95"/>
        <v>1</v>
      </c>
    </row>
    <row r="99" spans="2:57" x14ac:dyDescent="0.25">
      <c r="B99" s="57" t="str">
        <f t="shared" si="68"/>
        <v/>
      </c>
      <c r="C99" s="421" t="str">
        <f>IF('תנאי סף'!AO99&lt;&gt;1,"",'תנאי סף'!F99)</f>
        <v/>
      </c>
      <c r="D99" s="91" t="str">
        <f>IF($C99="","",IF(ייצוב!Y99="",$BA$1,ייצוב!Y99))</f>
        <v/>
      </c>
      <c r="E99" s="165"/>
      <c r="F99" s="91" t="str">
        <f>IF($C99="","",IF(ייצוב!G99="",$BA$1,ייצוב!G99))</f>
        <v/>
      </c>
      <c r="G99" s="426" t="str">
        <f>'סיכום לועדה- הזנת נתונים'!G99</f>
        <v/>
      </c>
      <c r="H99" s="267" t="str">
        <f t="shared" si="69"/>
        <v/>
      </c>
      <c r="I99" s="426" t="str">
        <f t="shared" si="70"/>
        <v/>
      </c>
      <c r="J99" s="427" t="str">
        <f t="shared" si="71"/>
        <v/>
      </c>
      <c r="K99" s="427" t="str">
        <f t="shared" si="72"/>
        <v/>
      </c>
      <c r="L99" s="428" t="str">
        <f t="shared" si="73"/>
        <v/>
      </c>
      <c r="M99" s="428" t="str">
        <f t="shared" ref="M99:M130" si="96">IF($C99="","",IF(L99+$G99=2,1,0))</f>
        <v/>
      </c>
      <c r="N99" s="429" t="str">
        <f t="shared" si="74"/>
        <v/>
      </c>
      <c r="O99" s="429" t="str">
        <f t="shared" ref="O99:O130" si="97">IF(L99="","",IF(M99=1,N99,N99/SUMIF(M$31:M$130,"&lt;&gt;1",N$31:N$130)*(1-SUMIF(M$31:M$130,"=1",N$31:N$130))))</f>
        <v/>
      </c>
      <c r="P99" s="428" t="str">
        <f t="shared" si="75"/>
        <v/>
      </c>
      <c r="Q99" s="428" t="str">
        <f t="shared" ref="Q99:Q130" si="98">IF($C99="","",IF(P99+$G99=2,1,0))</f>
        <v/>
      </c>
      <c r="R99" s="429" t="str">
        <f t="shared" si="76"/>
        <v/>
      </c>
      <c r="S99" s="429" t="str">
        <f t="shared" ref="S99:S130" si="99">IF(P99="","",IF(Q99=1,R99,R99/SUMIF(Q$31:Q$130,"&lt;&gt;1",R$31:R$130)*(1-SUMIF(Q$31:Q$130,"=1",R$31:R$130))))</f>
        <v/>
      </c>
      <c r="T99" s="428" t="str">
        <f t="shared" si="77"/>
        <v/>
      </c>
      <c r="U99" s="428" t="str">
        <f t="shared" ref="U99:U130" si="100">IF($C99="","",IF(T99+$G99=2,1,0))</f>
        <v/>
      </c>
      <c r="V99" s="429" t="str">
        <f t="shared" si="78"/>
        <v/>
      </c>
      <c r="W99" s="429" t="str">
        <f t="shared" ref="W99:W130" si="101">IF(T99="","",IF(U99=1,V99,V99/SUMIF(U$31:U$130,"&lt;&gt;1",V$31:V$130)*(1-SUMIF(U$31:U$130,"=1",V$31:V$130))))</f>
        <v/>
      </c>
      <c r="X99" s="428" t="str">
        <f t="shared" si="79"/>
        <v/>
      </c>
      <c r="Y99" s="428" t="str">
        <f t="shared" ref="Y99:Y130" si="102">IF($C99="","",IF(X99+$G99=2,1,0))</f>
        <v/>
      </c>
      <c r="Z99" s="429" t="str">
        <f t="shared" si="80"/>
        <v/>
      </c>
      <c r="AA99" s="429" t="str">
        <f t="shared" ref="AA99:AA130" si="103">IF(X99="","",IF(Y99=1,Z99,Z99/SUMIF(Y$31:Y$130,"&lt;&gt;1",Z$31:Z$130)*(1-SUMIF(Y$31:Y$130,"=1",Z$31:Z$130))))</f>
        <v/>
      </c>
      <c r="AB99" s="428" t="str">
        <f t="shared" si="81"/>
        <v/>
      </c>
      <c r="AC99" s="428" t="str">
        <f t="shared" ref="AC99:AC130" si="104">IF($C99="","",IF(AB99+$G99=2,1,0))</f>
        <v/>
      </c>
      <c r="AD99" s="429" t="str">
        <f t="shared" si="82"/>
        <v/>
      </c>
      <c r="AE99" s="429" t="str">
        <f t="shared" ref="AE99:AE130" si="105">IF(AB99="","",IF(AC99=1,AD99,AD99/SUMIF(AC$31:AC$130,"&lt;&gt;1",AD$31:AD$130)*(1-SUMIF(AC$31:AC$130,"=1",AD$31:AD$130))))</f>
        <v/>
      </c>
      <c r="AF99" s="428" t="str">
        <f t="shared" si="83"/>
        <v/>
      </c>
      <c r="AG99" s="428" t="str">
        <f t="shared" ref="AG99:AG130" si="106">IF($C99="","",IF(AF99+$G99=2,1,0))</f>
        <v/>
      </c>
      <c r="AH99" s="429" t="str">
        <f t="shared" si="84"/>
        <v/>
      </c>
      <c r="AI99" s="429" t="str">
        <f t="shared" ref="AI99:AI130" si="107">IF(AF99="","",IF(AG99=1,AH99,AH99/SUMIF(AG$31:AG$130,"&lt;&gt;1",AH$31:AH$130)*(1-SUMIF(AG$31:AG$130,"=1",AH$31:AH$130))))</f>
        <v/>
      </c>
      <c r="AJ99" s="428" t="str">
        <f t="shared" si="85"/>
        <v/>
      </c>
      <c r="AK99" s="428" t="str">
        <f t="shared" ref="AK99:AK130" si="108">IF($C99="","",IF(AJ99+$G99=2,1,0))</f>
        <v/>
      </c>
      <c r="AL99" s="429" t="str">
        <f t="shared" si="86"/>
        <v/>
      </c>
      <c r="AM99" s="429" t="str">
        <f t="shared" ref="AM99:AM130" si="109">IF(AJ99="","",IF(AK99=1,AL99,AL99/SUMIF(AK$31:AK$130,"&lt;&gt;1",AL$31:AL$130)*(1-SUMIF(AK$31:AK$130,"=1",AL$31:AL$130))))</f>
        <v/>
      </c>
      <c r="AN99" s="428" t="str">
        <f t="shared" si="87"/>
        <v/>
      </c>
      <c r="AO99" s="428" t="str">
        <f t="shared" ref="AO99:AO130" si="110">IF($C99="","",IF(AN99+$G99=2,1,0))</f>
        <v/>
      </c>
      <c r="AP99" s="429" t="str">
        <f t="shared" si="88"/>
        <v/>
      </c>
      <c r="AQ99" s="429" t="str">
        <f t="shared" ref="AQ99:AQ130" si="111">IF(AN99="","",IF(AO99=1,AP99,AP99/SUMIF(AO$31:AO$130,"&lt;&gt;1",AP$31:AP$130)*(1-SUMIF(AO$31:AO$130,"=1",AP$31:AP$130))))</f>
        <v/>
      </c>
      <c r="AR99" s="428" t="str">
        <f t="shared" si="89"/>
        <v/>
      </c>
      <c r="AS99" s="428" t="str">
        <f t="shared" ref="AS99:AS130" si="112">IF($C99="","",IF(AR99+$G99=2,1,0))</f>
        <v/>
      </c>
      <c r="AT99" s="429" t="str">
        <f t="shared" si="90"/>
        <v/>
      </c>
      <c r="AU99" s="429" t="str">
        <f t="shared" si="93"/>
        <v/>
      </c>
      <c r="AV99" s="419" t="str">
        <f t="shared" si="91"/>
        <v/>
      </c>
      <c r="AW99" s="92" t="str">
        <f t="shared" si="92"/>
        <v/>
      </c>
      <c r="BB99" s="186" t="str">
        <f t="shared" si="94"/>
        <v/>
      </c>
      <c r="BC99" s="186" t="str">
        <f t="shared" si="94"/>
        <v/>
      </c>
      <c r="BE99" s="188">
        <f t="shared" si="95"/>
        <v>0</v>
      </c>
    </row>
    <row r="100" spans="2:57" x14ac:dyDescent="0.25">
      <c r="B100" s="57" t="str">
        <f t="shared" si="68"/>
        <v/>
      </c>
      <c r="C100" s="421" t="str">
        <f>IF('תנאי סף'!AO100&lt;&gt;1,"",'תנאי סף'!F100)</f>
        <v/>
      </c>
      <c r="D100" s="91" t="str">
        <f>IF($C100="","",IF(ייצוב!Y100="",$BA$1,ייצוב!Y100))</f>
        <v/>
      </c>
      <c r="E100" s="165"/>
      <c r="F100" s="91" t="str">
        <f>IF($C100="","",IF(ייצוב!G100="",$BA$1,ייצוב!G100))</f>
        <v/>
      </c>
      <c r="G100" s="426" t="str">
        <f>'סיכום לועדה- הזנת נתונים'!G100</f>
        <v/>
      </c>
      <c r="H100" s="267" t="str">
        <f t="shared" si="69"/>
        <v/>
      </c>
      <c r="I100" s="426" t="str">
        <f t="shared" si="70"/>
        <v/>
      </c>
      <c r="J100" s="427" t="str">
        <f t="shared" si="71"/>
        <v/>
      </c>
      <c r="K100" s="427" t="str">
        <f t="shared" si="72"/>
        <v/>
      </c>
      <c r="L100" s="428" t="str">
        <f t="shared" si="73"/>
        <v/>
      </c>
      <c r="M100" s="428" t="str">
        <f t="shared" si="96"/>
        <v/>
      </c>
      <c r="N100" s="429" t="str">
        <f t="shared" si="74"/>
        <v/>
      </c>
      <c r="O100" s="429" t="str">
        <f t="shared" si="97"/>
        <v/>
      </c>
      <c r="P100" s="428" t="str">
        <f t="shared" si="75"/>
        <v/>
      </c>
      <c r="Q100" s="428" t="str">
        <f t="shared" si="98"/>
        <v/>
      </c>
      <c r="R100" s="429" t="str">
        <f t="shared" si="76"/>
        <v/>
      </c>
      <c r="S100" s="429" t="str">
        <f t="shared" si="99"/>
        <v/>
      </c>
      <c r="T100" s="428" t="str">
        <f t="shared" si="77"/>
        <v/>
      </c>
      <c r="U100" s="428" t="str">
        <f t="shared" si="100"/>
        <v/>
      </c>
      <c r="V100" s="429" t="str">
        <f t="shared" si="78"/>
        <v/>
      </c>
      <c r="W100" s="429" t="str">
        <f t="shared" si="101"/>
        <v/>
      </c>
      <c r="X100" s="428" t="str">
        <f t="shared" si="79"/>
        <v/>
      </c>
      <c r="Y100" s="428" t="str">
        <f t="shared" si="102"/>
        <v/>
      </c>
      <c r="Z100" s="429" t="str">
        <f t="shared" si="80"/>
        <v/>
      </c>
      <c r="AA100" s="429" t="str">
        <f t="shared" si="103"/>
        <v/>
      </c>
      <c r="AB100" s="428" t="str">
        <f t="shared" si="81"/>
        <v/>
      </c>
      <c r="AC100" s="428" t="str">
        <f t="shared" si="104"/>
        <v/>
      </c>
      <c r="AD100" s="429" t="str">
        <f t="shared" si="82"/>
        <v/>
      </c>
      <c r="AE100" s="429" t="str">
        <f t="shared" si="105"/>
        <v/>
      </c>
      <c r="AF100" s="428" t="str">
        <f t="shared" si="83"/>
        <v/>
      </c>
      <c r="AG100" s="428" t="str">
        <f t="shared" si="106"/>
        <v/>
      </c>
      <c r="AH100" s="429" t="str">
        <f t="shared" si="84"/>
        <v/>
      </c>
      <c r="AI100" s="429" t="str">
        <f t="shared" si="107"/>
        <v/>
      </c>
      <c r="AJ100" s="428" t="str">
        <f t="shared" si="85"/>
        <v/>
      </c>
      <c r="AK100" s="428" t="str">
        <f t="shared" si="108"/>
        <v/>
      </c>
      <c r="AL100" s="429" t="str">
        <f t="shared" si="86"/>
        <v/>
      </c>
      <c r="AM100" s="429" t="str">
        <f t="shared" si="109"/>
        <v/>
      </c>
      <c r="AN100" s="428" t="str">
        <f t="shared" si="87"/>
        <v/>
      </c>
      <c r="AO100" s="428" t="str">
        <f t="shared" si="110"/>
        <v/>
      </c>
      <c r="AP100" s="429" t="str">
        <f t="shared" si="88"/>
        <v/>
      </c>
      <c r="AQ100" s="429" t="str">
        <f t="shared" si="111"/>
        <v/>
      </c>
      <c r="AR100" s="428" t="str">
        <f t="shared" si="89"/>
        <v/>
      </c>
      <c r="AS100" s="428" t="str">
        <f t="shared" si="112"/>
        <v/>
      </c>
      <c r="AT100" s="429" t="str">
        <f t="shared" si="90"/>
        <v/>
      </c>
      <c r="AU100" s="429" t="str">
        <f t="shared" si="93"/>
        <v/>
      </c>
      <c r="AV100" s="419" t="str">
        <f t="shared" si="91"/>
        <v/>
      </c>
      <c r="AW100" s="92" t="str">
        <f t="shared" si="92"/>
        <v/>
      </c>
      <c r="BB100" s="186" t="str">
        <f t="shared" si="94"/>
        <v/>
      </c>
      <c r="BC100" s="186" t="str">
        <f t="shared" si="94"/>
        <v/>
      </c>
      <c r="BE100" s="188">
        <f t="shared" si="95"/>
        <v>0</v>
      </c>
    </row>
    <row r="101" spans="2:57" x14ac:dyDescent="0.25">
      <c r="B101" s="57" t="str">
        <f t="shared" si="68"/>
        <v/>
      </c>
      <c r="C101" s="421" t="str">
        <f>IF('תנאי סף'!AO101&lt;&gt;1,"",'תנאי סף'!F101)</f>
        <v/>
      </c>
      <c r="D101" s="91" t="str">
        <f>IF($C101="","",IF(ייצוב!Y101="",$BA$1,ייצוב!Y101))</f>
        <v/>
      </c>
      <c r="E101" s="165"/>
      <c r="F101" s="91" t="str">
        <f>IF($C101="","",IF(ייצוב!G101="",$BA$1,ייצוב!G101))</f>
        <v/>
      </c>
      <c r="G101" s="426" t="str">
        <f>'סיכום לועדה- הזנת נתונים'!G101</f>
        <v/>
      </c>
      <c r="H101" s="267" t="str">
        <f t="shared" si="69"/>
        <v/>
      </c>
      <c r="I101" s="426" t="str">
        <f t="shared" si="70"/>
        <v/>
      </c>
      <c r="J101" s="427" t="str">
        <f t="shared" si="71"/>
        <v/>
      </c>
      <c r="K101" s="427" t="str">
        <f t="shared" si="72"/>
        <v/>
      </c>
      <c r="L101" s="428" t="str">
        <f t="shared" si="73"/>
        <v/>
      </c>
      <c r="M101" s="428" t="str">
        <f t="shared" si="96"/>
        <v/>
      </c>
      <c r="N101" s="429" t="str">
        <f t="shared" si="74"/>
        <v/>
      </c>
      <c r="O101" s="429" t="str">
        <f t="shared" si="97"/>
        <v/>
      </c>
      <c r="P101" s="428" t="str">
        <f t="shared" si="75"/>
        <v/>
      </c>
      <c r="Q101" s="428" t="str">
        <f t="shared" si="98"/>
        <v/>
      </c>
      <c r="R101" s="429" t="str">
        <f t="shared" si="76"/>
        <v/>
      </c>
      <c r="S101" s="429" t="str">
        <f t="shared" si="99"/>
        <v/>
      </c>
      <c r="T101" s="428" t="str">
        <f t="shared" si="77"/>
        <v/>
      </c>
      <c r="U101" s="428" t="str">
        <f t="shared" si="100"/>
        <v/>
      </c>
      <c r="V101" s="429" t="str">
        <f t="shared" si="78"/>
        <v/>
      </c>
      <c r="W101" s="429" t="str">
        <f t="shared" si="101"/>
        <v/>
      </c>
      <c r="X101" s="428" t="str">
        <f t="shared" si="79"/>
        <v/>
      </c>
      <c r="Y101" s="428" t="str">
        <f t="shared" si="102"/>
        <v/>
      </c>
      <c r="Z101" s="429" t="str">
        <f t="shared" si="80"/>
        <v/>
      </c>
      <c r="AA101" s="429" t="str">
        <f t="shared" si="103"/>
        <v/>
      </c>
      <c r="AB101" s="428" t="str">
        <f t="shared" si="81"/>
        <v/>
      </c>
      <c r="AC101" s="428" t="str">
        <f t="shared" si="104"/>
        <v/>
      </c>
      <c r="AD101" s="429" t="str">
        <f t="shared" si="82"/>
        <v/>
      </c>
      <c r="AE101" s="429" t="str">
        <f t="shared" si="105"/>
        <v/>
      </c>
      <c r="AF101" s="428" t="str">
        <f t="shared" si="83"/>
        <v/>
      </c>
      <c r="AG101" s="428" t="str">
        <f t="shared" si="106"/>
        <v/>
      </c>
      <c r="AH101" s="429" t="str">
        <f t="shared" si="84"/>
        <v/>
      </c>
      <c r="AI101" s="429" t="str">
        <f t="shared" si="107"/>
        <v/>
      </c>
      <c r="AJ101" s="428" t="str">
        <f t="shared" si="85"/>
        <v/>
      </c>
      <c r="AK101" s="428" t="str">
        <f t="shared" si="108"/>
        <v/>
      </c>
      <c r="AL101" s="429" t="str">
        <f t="shared" si="86"/>
        <v/>
      </c>
      <c r="AM101" s="429" t="str">
        <f t="shared" si="109"/>
        <v/>
      </c>
      <c r="AN101" s="428" t="str">
        <f t="shared" si="87"/>
        <v/>
      </c>
      <c r="AO101" s="428" t="str">
        <f t="shared" si="110"/>
        <v/>
      </c>
      <c r="AP101" s="429" t="str">
        <f t="shared" si="88"/>
        <v/>
      </c>
      <c r="AQ101" s="429" t="str">
        <f t="shared" si="111"/>
        <v/>
      </c>
      <c r="AR101" s="428" t="str">
        <f t="shared" si="89"/>
        <v/>
      </c>
      <c r="AS101" s="428" t="str">
        <f t="shared" si="112"/>
        <v/>
      </c>
      <c r="AT101" s="429" t="str">
        <f t="shared" si="90"/>
        <v/>
      </c>
      <c r="AU101" s="429" t="str">
        <f t="shared" si="93"/>
        <v/>
      </c>
      <c r="AV101" s="419" t="str">
        <f t="shared" si="91"/>
        <v/>
      </c>
      <c r="AW101" s="92" t="str">
        <f t="shared" si="92"/>
        <v/>
      </c>
      <c r="BB101" s="186" t="str">
        <f t="shared" si="94"/>
        <v/>
      </c>
      <c r="BC101" s="186" t="str">
        <f t="shared" si="94"/>
        <v/>
      </c>
      <c r="BE101" s="188">
        <f t="shared" si="95"/>
        <v>0</v>
      </c>
    </row>
    <row r="102" spans="2:57" x14ac:dyDescent="0.25">
      <c r="B102" s="57" t="str">
        <f t="shared" si="68"/>
        <v/>
      </c>
      <c r="C102" s="421" t="str">
        <f>IF('תנאי סף'!AO102&lt;&gt;1,"",'תנאי סף'!F102)</f>
        <v/>
      </c>
      <c r="D102" s="91" t="str">
        <f>IF($C102="","",IF(ייצוב!Y102="",$BA$1,ייצוב!Y102))</f>
        <v/>
      </c>
      <c r="E102" s="165"/>
      <c r="F102" s="91" t="str">
        <f>IF($C102="","",IF(ייצוב!G102="",$BA$1,ייצוב!G102))</f>
        <v/>
      </c>
      <c r="G102" s="426" t="str">
        <f>'סיכום לועדה- הזנת נתונים'!G102</f>
        <v/>
      </c>
      <c r="H102" s="267" t="str">
        <f t="shared" si="69"/>
        <v/>
      </c>
      <c r="I102" s="426" t="str">
        <f t="shared" si="70"/>
        <v/>
      </c>
      <c r="J102" s="427" t="str">
        <f t="shared" si="71"/>
        <v/>
      </c>
      <c r="K102" s="427" t="str">
        <f t="shared" si="72"/>
        <v/>
      </c>
      <c r="L102" s="428" t="str">
        <f t="shared" si="73"/>
        <v/>
      </c>
      <c r="M102" s="428" t="str">
        <f t="shared" si="96"/>
        <v/>
      </c>
      <c r="N102" s="429" t="str">
        <f t="shared" si="74"/>
        <v/>
      </c>
      <c r="O102" s="429" t="str">
        <f t="shared" si="97"/>
        <v/>
      </c>
      <c r="P102" s="428" t="str">
        <f t="shared" si="75"/>
        <v/>
      </c>
      <c r="Q102" s="428" t="str">
        <f t="shared" si="98"/>
        <v/>
      </c>
      <c r="R102" s="429" t="str">
        <f t="shared" si="76"/>
        <v/>
      </c>
      <c r="S102" s="429" t="str">
        <f t="shared" si="99"/>
        <v/>
      </c>
      <c r="T102" s="428" t="str">
        <f t="shared" si="77"/>
        <v/>
      </c>
      <c r="U102" s="428" t="str">
        <f t="shared" si="100"/>
        <v/>
      </c>
      <c r="V102" s="429" t="str">
        <f t="shared" si="78"/>
        <v/>
      </c>
      <c r="W102" s="429" t="str">
        <f t="shared" si="101"/>
        <v/>
      </c>
      <c r="X102" s="428" t="str">
        <f t="shared" si="79"/>
        <v/>
      </c>
      <c r="Y102" s="428" t="str">
        <f t="shared" si="102"/>
        <v/>
      </c>
      <c r="Z102" s="429" t="str">
        <f t="shared" si="80"/>
        <v/>
      </c>
      <c r="AA102" s="429" t="str">
        <f t="shared" si="103"/>
        <v/>
      </c>
      <c r="AB102" s="428" t="str">
        <f t="shared" si="81"/>
        <v/>
      </c>
      <c r="AC102" s="428" t="str">
        <f t="shared" si="104"/>
        <v/>
      </c>
      <c r="AD102" s="429" t="str">
        <f t="shared" si="82"/>
        <v/>
      </c>
      <c r="AE102" s="429" t="str">
        <f t="shared" si="105"/>
        <v/>
      </c>
      <c r="AF102" s="428" t="str">
        <f t="shared" si="83"/>
        <v/>
      </c>
      <c r="AG102" s="428" t="str">
        <f t="shared" si="106"/>
        <v/>
      </c>
      <c r="AH102" s="429" t="str">
        <f t="shared" si="84"/>
        <v/>
      </c>
      <c r="AI102" s="429" t="str">
        <f t="shared" si="107"/>
        <v/>
      </c>
      <c r="AJ102" s="428" t="str">
        <f t="shared" si="85"/>
        <v/>
      </c>
      <c r="AK102" s="428" t="str">
        <f t="shared" si="108"/>
        <v/>
      </c>
      <c r="AL102" s="429" t="str">
        <f t="shared" si="86"/>
        <v/>
      </c>
      <c r="AM102" s="429" t="str">
        <f t="shared" si="109"/>
        <v/>
      </c>
      <c r="AN102" s="428" t="str">
        <f t="shared" si="87"/>
        <v/>
      </c>
      <c r="AO102" s="428" t="str">
        <f t="shared" si="110"/>
        <v/>
      </c>
      <c r="AP102" s="429" t="str">
        <f t="shared" si="88"/>
        <v/>
      </c>
      <c r="AQ102" s="429" t="str">
        <f t="shared" si="111"/>
        <v/>
      </c>
      <c r="AR102" s="428" t="str">
        <f t="shared" si="89"/>
        <v/>
      </c>
      <c r="AS102" s="428" t="str">
        <f t="shared" si="112"/>
        <v/>
      </c>
      <c r="AT102" s="429" t="str">
        <f t="shared" si="90"/>
        <v/>
      </c>
      <c r="AU102" s="429" t="str">
        <f t="shared" si="93"/>
        <v/>
      </c>
      <c r="AV102" s="419" t="str">
        <f t="shared" si="91"/>
        <v/>
      </c>
      <c r="AW102" s="92" t="str">
        <f t="shared" si="92"/>
        <v/>
      </c>
      <c r="BB102" s="186" t="str">
        <f t="shared" si="94"/>
        <v/>
      </c>
      <c r="BC102" s="186" t="str">
        <f t="shared" si="94"/>
        <v/>
      </c>
      <c r="BE102" s="188">
        <f t="shared" si="95"/>
        <v>0</v>
      </c>
    </row>
    <row r="103" spans="2:57" x14ac:dyDescent="0.25">
      <c r="B103" s="57" t="str">
        <f t="shared" si="68"/>
        <v/>
      </c>
      <c r="C103" s="421" t="str">
        <f>IF('תנאי סף'!AO103&lt;&gt;1,"",'תנאי סף'!F103)</f>
        <v/>
      </c>
      <c r="D103" s="91" t="str">
        <f>IF($C103="","",IF(ייצוב!Y103="",$BA$1,ייצוב!Y103))</f>
        <v/>
      </c>
      <c r="E103" s="165"/>
      <c r="F103" s="91" t="str">
        <f>IF($C103="","",IF(ייצוב!G103="",$BA$1,ייצוב!G103))</f>
        <v/>
      </c>
      <c r="G103" s="426" t="str">
        <f>'סיכום לועדה- הזנת נתונים'!G103</f>
        <v/>
      </c>
      <c r="H103" s="267" t="str">
        <f t="shared" si="69"/>
        <v/>
      </c>
      <c r="I103" s="426" t="str">
        <f t="shared" si="70"/>
        <v/>
      </c>
      <c r="J103" s="427" t="str">
        <f t="shared" si="71"/>
        <v/>
      </c>
      <c r="K103" s="427" t="str">
        <f t="shared" si="72"/>
        <v/>
      </c>
      <c r="L103" s="428" t="str">
        <f t="shared" si="73"/>
        <v/>
      </c>
      <c r="M103" s="428" t="str">
        <f t="shared" si="96"/>
        <v/>
      </c>
      <c r="N103" s="429" t="str">
        <f t="shared" si="74"/>
        <v/>
      </c>
      <c r="O103" s="429" t="str">
        <f t="shared" si="97"/>
        <v/>
      </c>
      <c r="P103" s="428" t="str">
        <f t="shared" si="75"/>
        <v/>
      </c>
      <c r="Q103" s="428" t="str">
        <f t="shared" si="98"/>
        <v/>
      </c>
      <c r="R103" s="429" t="str">
        <f t="shared" si="76"/>
        <v/>
      </c>
      <c r="S103" s="429" t="str">
        <f t="shared" si="99"/>
        <v/>
      </c>
      <c r="T103" s="428" t="str">
        <f t="shared" si="77"/>
        <v/>
      </c>
      <c r="U103" s="428" t="str">
        <f t="shared" si="100"/>
        <v/>
      </c>
      <c r="V103" s="429" t="str">
        <f t="shared" si="78"/>
        <v/>
      </c>
      <c r="W103" s="429" t="str">
        <f t="shared" si="101"/>
        <v/>
      </c>
      <c r="X103" s="428" t="str">
        <f t="shared" si="79"/>
        <v/>
      </c>
      <c r="Y103" s="428" t="str">
        <f t="shared" si="102"/>
        <v/>
      </c>
      <c r="Z103" s="429" t="str">
        <f t="shared" si="80"/>
        <v/>
      </c>
      <c r="AA103" s="429" t="str">
        <f t="shared" si="103"/>
        <v/>
      </c>
      <c r="AB103" s="428" t="str">
        <f t="shared" si="81"/>
        <v/>
      </c>
      <c r="AC103" s="428" t="str">
        <f t="shared" si="104"/>
        <v/>
      </c>
      <c r="AD103" s="429" t="str">
        <f t="shared" si="82"/>
        <v/>
      </c>
      <c r="AE103" s="429" t="str">
        <f t="shared" si="105"/>
        <v/>
      </c>
      <c r="AF103" s="428" t="str">
        <f t="shared" si="83"/>
        <v/>
      </c>
      <c r="AG103" s="428" t="str">
        <f t="shared" si="106"/>
        <v/>
      </c>
      <c r="AH103" s="429" t="str">
        <f t="shared" si="84"/>
        <v/>
      </c>
      <c r="AI103" s="429" t="str">
        <f t="shared" si="107"/>
        <v/>
      </c>
      <c r="AJ103" s="428" t="str">
        <f t="shared" si="85"/>
        <v/>
      </c>
      <c r="AK103" s="428" t="str">
        <f t="shared" si="108"/>
        <v/>
      </c>
      <c r="AL103" s="429" t="str">
        <f t="shared" si="86"/>
        <v/>
      </c>
      <c r="AM103" s="429" t="str">
        <f t="shared" si="109"/>
        <v/>
      </c>
      <c r="AN103" s="428" t="str">
        <f t="shared" si="87"/>
        <v/>
      </c>
      <c r="AO103" s="428" t="str">
        <f t="shared" si="110"/>
        <v/>
      </c>
      <c r="AP103" s="429" t="str">
        <f t="shared" si="88"/>
        <v/>
      </c>
      <c r="AQ103" s="429" t="str">
        <f t="shared" si="111"/>
        <v/>
      </c>
      <c r="AR103" s="428" t="str">
        <f t="shared" si="89"/>
        <v/>
      </c>
      <c r="AS103" s="428" t="str">
        <f t="shared" si="112"/>
        <v/>
      </c>
      <c r="AT103" s="429" t="str">
        <f t="shared" si="90"/>
        <v/>
      </c>
      <c r="AU103" s="429" t="str">
        <f t="shared" si="93"/>
        <v/>
      </c>
      <c r="AV103" s="419" t="str">
        <f t="shared" si="91"/>
        <v/>
      </c>
      <c r="AW103" s="92" t="str">
        <f t="shared" si="92"/>
        <v/>
      </c>
      <c r="BB103" s="186" t="str">
        <f t="shared" si="94"/>
        <v/>
      </c>
      <c r="BC103" s="186" t="str">
        <f t="shared" si="94"/>
        <v/>
      </c>
      <c r="BE103" s="188">
        <f t="shared" si="95"/>
        <v>0</v>
      </c>
    </row>
    <row r="104" spans="2:57" x14ac:dyDescent="0.25">
      <c r="B104" s="57" t="str">
        <f t="shared" si="68"/>
        <v/>
      </c>
      <c r="C104" s="421" t="str">
        <f>IF('תנאי סף'!AO104&lt;&gt;1,"",'תנאי סף'!F104)</f>
        <v/>
      </c>
      <c r="D104" s="91" t="str">
        <f>IF($C104="","",IF(ייצוב!Y104="",$BA$1,ייצוב!Y104))</f>
        <v/>
      </c>
      <c r="E104" s="165"/>
      <c r="F104" s="91" t="str">
        <f>IF($C104="","",IF(ייצוב!G104="",$BA$1,ייצוב!G104))</f>
        <v/>
      </c>
      <c r="G104" s="426" t="str">
        <f>'סיכום לועדה- הזנת נתונים'!G104</f>
        <v/>
      </c>
      <c r="H104" s="267" t="str">
        <f t="shared" si="69"/>
        <v/>
      </c>
      <c r="I104" s="426" t="str">
        <f t="shared" si="70"/>
        <v/>
      </c>
      <c r="J104" s="427" t="str">
        <f t="shared" si="71"/>
        <v/>
      </c>
      <c r="K104" s="427" t="str">
        <f t="shared" si="72"/>
        <v/>
      </c>
      <c r="L104" s="428" t="str">
        <f t="shared" si="73"/>
        <v/>
      </c>
      <c r="M104" s="428" t="str">
        <f t="shared" si="96"/>
        <v/>
      </c>
      <c r="N104" s="429" t="str">
        <f t="shared" si="74"/>
        <v/>
      </c>
      <c r="O104" s="429" t="str">
        <f t="shared" si="97"/>
        <v/>
      </c>
      <c r="P104" s="428" t="str">
        <f t="shared" si="75"/>
        <v/>
      </c>
      <c r="Q104" s="428" t="str">
        <f t="shared" si="98"/>
        <v/>
      </c>
      <c r="R104" s="429" t="str">
        <f t="shared" si="76"/>
        <v/>
      </c>
      <c r="S104" s="429" t="str">
        <f t="shared" si="99"/>
        <v/>
      </c>
      <c r="T104" s="428" t="str">
        <f t="shared" si="77"/>
        <v/>
      </c>
      <c r="U104" s="428" t="str">
        <f t="shared" si="100"/>
        <v/>
      </c>
      <c r="V104" s="429" t="str">
        <f t="shared" si="78"/>
        <v/>
      </c>
      <c r="W104" s="429" t="str">
        <f t="shared" si="101"/>
        <v/>
      </c>
      <c r="X104" s="428" t="str">
        <f t="shared" si="79"/>
        <v/>
      </c>
      <c r="Y104" s="428" t="str">
        <f t="shared" si="102"/>
        <v/>
      </c>
      <c r="Z104" s="429" t="str">
        <f t="shared" si="80"/>
        <v/>
      </c>
      <c r="AA104" s="429" t="str">
        <f t="shared" si="103"/>
        <v/>
      </c>
      <c r="AB104" s="428" t="str">
        <f t="shared" si="81"/>
        <v/>
      </c>
      <c r="AC104" s="428" t="str">
        <f t="shared" si="104"/>
        <v/>
      </c>
      <c r="AD104" s="429" t="str">
        <f t="shared" si="82"/>
        <v/>
      </c>
      <c r="AE104" s="429" t="str">
        <f t="shared" si="105"/>
        <v/>
      </c>
      <c r="AF104" s="428" t="str">
        <f t="shared" si="83"/>
        <v/>
      </c>
      <c r="AG104" s="428" t="str">
        <f t="shared" si="106"/>
        <v/>
      </c>
      <c r="AH104" s="429" t="str">
        <f t="shared" si="84"/>
        <v/>
      </c>
      <c r="AI104" s="429" t="str">
        <f t="shared" si="107"/>
        <v/>
      </c>
      <c r="AJ104" s="428" t="str">
        <f t="shared" si="85"/>
        <v/>
      </c>
      <c r="AK104" s="428" t="str">
        <f t="shared" si="108"/>
        <v/>
      </c>
      <c r="AL104" s="429" t="str">
        <f t="shared" si="86"/>
        <v/>
      </c>
      <c r="AM104" s="429" t="str">
        <f t="shared" si="109"/>
        <v/>
      </c>
      <c r="AN104" s="428" t="str">
        <f t="shared" si="87"/>
        <v/>
      </c>
      <c r="AO104" s="428" t="str">
        <f t="shared" si="110"/>
        <v/>
      </c>
      <c r="AP104" s="429" t="str">
        <f t="shared" si="88"/>
        <v/>
      </c>
      <c r="AQ104" s="429" t="str">
        <f t="shared" si="111"/>
        <v/>
      </c>
      <c r="AR104" s="428" t="str">
        <f t="shared" si="89"/>
        <v/>
      </c>
      <c r="AS104" s="428" t="str">
        <f t="shared" si="112"/>
        <v/>
      </c>
      <c r="AT104" s="429" t="str">
        <f t="shared" si="90"/>
        <v/>
      </c>
      <c r="AU104" s="429" t="str">
        <f t="shared" si="93"/>
        <v/>
      </c>
      <c r="AV104" s="419" t="str">
        <f t="shared" si="91"/>
        <v/>
      </c>
      <c r="AW104" s="92" t="str">
        <f t="shared" si="92"/>
        <v/>
      </c>
      <c r="BB104" s="186" t="str">
        <f t="shared" si="94"/>
        <v/>
      </c>
      <c r="BC104" s="186" t="str">
        <f t="shared" si="94"/>
        <v/>
      </c>
      <c r="BE104" s="188">
        <f t="shared" si="95"/>
        <v>0</v>
      </c>
    </row>
    <row r="105" spans="2:57" x14ac:dyDescent="0.25">
      <c r="B105" s="57">
        <f t="shared" si="68"/>
        <v>75</v>
      </c>
      <c r="C105" s="421" t="str">
        <f>IF('תנאי סף'!AO105&lt;&gt;1,"",'תנאי סף'!F105)</f>
        <v>לבונטין 7</v>
      </c>
      <c r="D105" s="91">
        <f>IF($C105="","",IF(ייצוב!Y105="",$BA$1,ייצוב!Y105))</f>
        <v>2.3595763826654532E-2</v>
      </c>
      <c r="E105" s="165"/>
      <c r="F105" s="91">
        <f>IF($C105="","",IF(ייצוב!G105="",$BA$1,ייצוב!G105))</f>
        <v>0</v>
      </c>
      <c r="G105" s="426">
        <f>'סיכום לועדה- הזנת נתונים'!G105</f>
        <v>1</v>
      </c>
      <c r="H105" s="267">
        <f t="shared" si="69"/>
        <v>0</v>
      </c>
      <c r="I105" s="426">
        <f t="shared" si="70"/>
        <v>0</v>
      </c>
      <c r="J105" s="427">
        <f t="shared" si="71"/>
        <v>2.3595763826654532E-2</v>
      </c>
      <c r="K105" s="427">
        <f t="shared" si="72"/>
        <v>2.3595763826654521E-2</v>
      </c>
      <c r="L105" s="428">
        <f t="shared" si="73"/>
        <v>0</v>
      </c>
      <c r="M105" s="428">
        <f t="shared" si="96"/>
        <v>0</v>
      </c>
      <c r="N105" s="429">
        <f t="shared" si="74"/>
        <v>2.3595763826654532E-2</v>
      </c>
      <c r="O105" s="429">
        <f t="shared" si="97"/>
        <v>2.3595763826654521E-2</v>
      </c>
      <c r="P105" s="428">
        <f t="shared" si="75"/>
        <v>0</v>
      </c>
      <c r="Q105" s="428">
        <f t="shared" si="98"/>
        <v>0</v>
      </c>
      <c r="R105" s="429">
        <f t="shared" si="76"/>
        <v>2.3595763826654532E-2</v>
      </c>
      <c r="S105" s="429">
        <f t="shared" si="99"/>
        <v>2.3595763826654521E-2</v>
      </c>
      <c r="T105" s="428">
        <f t="shared" si="77"/>
        <v>0</v>
      </c>
      <c r="U105" s="428">
        <f t="shared" si="100"/>
        <v>0</v>
      </c>
      <c r="V105" s="429">
        <f t="shared" si="78"/>
        <v>2.3595763826654521E-2</v>
      </c>
      <c r="W105" s="429">
        <f t="shared" si="101"/>
        <v>2.3595763826654525E-2</v>
      </c>
      <c r="X105" s="428">
        <f t="shared" si="79"/>
        <v>0</v>
      </c>
      <c r="Y105" s="428">
        <f t="shared" si="102"/>
        <v>0</v>
      </c>
      <c r="Z105" s="429">
        <f t="shared" si="80"/>
        <v>2.3595763826654525E-2</v>
      </c>
      <c r="AA105" s="429">
        <f t="shared" si="103"/>
        <v>2.3595763826654518E-2</v>
      </c>
      <c r="AB105" s="428">
        <f t="shared" si="81"/>
        <v>0</v>
      </c>
      <c r="AC105" s="428">
        <f t="shared" si="104"/>
        <v>0</v>
      </c>
      <c r="AD105" s="429">
        <f t="shared" si="82"/>
        <v>2.3595763826654518E-2</v>
      </c>
      <c r="AE105" s="429">
        <f t="shared" si="105"/>
        <v>2.3595763826654525E-2</v>
      </c>
      <c r="AF105" s="428">
        <f t="shared" si="83"/>
        <v>0</v>
      </c>
      <c r="AG105" s="428">
        <f t="shared" si="106"/>
        <v>0</v>
      </c>
      <c r="AH105" s="429">
        <f t="shared" si="84"/>
        <v>2.3595763826654525E-2</v>
      </c>
      <c r="AI105" s="429">
        <f t="shared" si="107"/>
        <v>2.3595763826654518E-2</v>
      </c>
      <c r="AJ105" s="428">
        <f t="shared" si="85"/>
        <v>0</v>
      </c>
      <c r="AK105" s="428">
        <f t="shared" si="108"/>
        <v>0</v>
      </c>
      <c r="AL105" s="429">
        <f t="shared" si="86"/>
        <v>2.3595763826654518E-2</v>
      </c>
      <c r="AM105" s="429">
        <f t="shared" si="109"/>
        <v>2.3595763826654525E-2</v>
      </c>
      <c r="AN105" s="428">
        <f t="shared" si="87"/>
        <v>0</v>
      </c>
      <c r="AO105" s="428">
        <f t="shared" si="110"/>
        <v>0</v>
      </c>
      <c r="AP105" s="429">
        <f t="shared" si="88"/>
        <v>2.3595763826654525E-2</v>
      </c>
      <c r="AQ105" s="429">
        <f t="shared" si="111"/>
        <v>2.3595763826654518E-2</v>
      </c>
      <c r="AR105" s="428">
        <f t="shared" si="89"/>
        <v>0</v>
      </c>
      <c r="AS105" s="428">
        <f t="shared" si="112"/>
        <v>0</v>
      </c>
      <c r="AT105" s="429">
        <f t="shared" si="90"/>
        <v>2.3595763826654518E-2</v>
      </c>
      <c r="AU105" s="429">
        <f t="shared" si="93"/>
        <v>2.3595763826654525E-2</v>
      </c>
      <c r="AV105" s="419">
        <f t="shared" si="91"/>
        <v>2.3595763826654518E-2</v>
      </c>
      <c r="AW105" s="92">
        <f t="shared" si="92"/>
        <v>72589.229176113673</v>
      </c>
      <c r="BB105" s="186">
        <f t="shared" si="94"/>
        <v>0</v>
      </c>
      <c r="BC105" s="186">
        <f t="shared" si="94"/>
        <v>1</v>
      </c>
      <c r="BE105" s="188">
        <f t="shared" si="95"/>
        <v>1</v>
      </c>
    </row>
    <row r="106" spans="2:57" x14ac:dyDescent="0.25">
      <c r="B106" s="57">
        <f t="shared" si="68"/>
        <v>76</v>
      </c>
      <c r="C106" s="421" t="str">
        <f>IF('תנאי סף'!AO106&lt;&gt;1,"",'תנאי סף'!F106)</f>
        <v>מולטי פיאנו- פליציה בלומנטל</v>
      </c>
      <c r="D106" s="91">
        <f>IF($C106="","",IF(ייצוב!Y106="",$BA$1,ייצוב!Y106))</f>
        <v>1.7146521879135918E-2</v>
      </c>
      <c r="E106" s="165"/>
      <c r="F106" s="91">
        <f>IF($C106="","",IF(ייצוב!G106="",$BA$1,ייצוב!G106))</f>
        <v>0</v>
      </c>
      <c r="G106" s="426">
        <f>'סיכום לועדה- הזנת נתונים'!G106</f>
        <v>1</v>
      </c>
      <c r="H106" s="267">
        <f t="shared" si="69"/>
        <v>0</v>
      </c>
      <c r="I106" s="426">
        <f t="shared" si="70"/>
        <v>0</v>
      </c>
      <c r="J106" s="427">
        <f t="shared" si="71"/>
        <v>1.7146521879135918E-2</v>
      </c>
      <c r="K106" s="427">
        <f t="shared" si="72"/>
        <v>1.7146521879135911E-2</v>
      </c>
      <c r="L106" s="428">
        <f t="shared" si="73"/>
        <v>0</v>
      </c>
      <c r="M106" s="428">
        <f t="shared" si="96"/>
        <v>0</v>
      </c>
      <c r="N106" s="429">
        <f t="shared" si="74"/>
        <v>1.7146521879135918E-2</v>
      </c>
      <c r="O106" s="429">
        <f t="shared" si="97"/>
        <v>1.7146521879135911E-2</v>
      </c>
      <c r="P106" s="428">
        <f t="shared" si="75"/>
        <v>0</v>
      </c>
      <c r="Q106" s="428">
        <f t="shared" si="98"/>
        <v>0</v>
      </c>
      <c r="R106" s="429">
        <f t="shared" si="76"/>
        <v>1.7146521879135918E-2</v>
      </c>
      <c r="S106" s="429">
        <f t="shared" si="99"/>
        <v>1.7146521879135911E-2</v>
      </c>
      <c r="T106" s="428">
        <f t="shared" si="77"/>
        <v>0</v>
      </c>
      <c r="U106" s="428">
        <f t="shared" si="100"/>
        <v>0</v>
      </c>
      <c r="V106" s="429">
        <f t="shared" si="78"/>
        <v>1.7146521879135911E-2</v>
      </c>
      <c r="W106" s="429">
        <f t="shared" si="101"/>
        <v>1.7146521879135915E-2</v>
      </c>
      <c r="X106" s="428">
        <f t="shared" si="79"/>
        <v>0</v>
      </c>
      <c r="Y106" s="428">
        <f t="shared" si="102"/>
        <v>0</v>
      </c>
      <c r="Z106" s="429">
        <f t="shared" si="80"/>
        <v>1.7146521879135915E-2</v>
      </c>
      <c r="AA106" s="429">
        <f t="shared" si="103"/>
        <v>1.7146521879135911E-2</v>
      </c>
      <c r="AB106" s="428">
        <f t="shared" si="81"/>
        <v>0</v>
      </c>
      <c r="AC106" s="428">
        <f t="shared" si="104"/>
        <v>0</v>
      </c>
      <c r="AD106" s="429">
        <f t="shared" si="82"/>
        <v>1.7146521879135911E-2</v>
      </c>
      <c r="AE106" s="429">
        <f t="shared" si="105"/>
        <v>1.7146521879135915E-2</v>
      </c>
      <c r="AF106" s="428">
        <f t="shared" si="83"/>
        <v>0</v>
      </c>
      <c r="AG106" s="428">
        <f t="shared" si="106"/>
        <v>0</v>
      </c>
      <c r="AH106" s="429">
        <f t="shared" si="84"/>
        <v>1.7146521879135915E-2</v>
      </c>
      <c r="AI106" s="429">
        <f t="shared" si="107"/>
        <v>1.7146521879135911E-2</v>
      </c>
      <c r="AJ106" s="428">
        <f t="shared" si="85"/>
        <v>0</v>
      </c>
      <c r="AK106" s="428">
        <f t="shared" si="108"/>
        <v>0</v>
      </c>
      <c r="AL106" s="429">
        <f t="shared" si="86"/>
        <v>1.7146521879135911E-2</v>
      </c>
      <c r="AM106" s="429">
        <f t="shared" si="109"/>
        <v>1.7146521879135915E-2</v>
      </c>
      <c r="AN106" s="428">
        <f t="shared" si="87"/>
        <v>0</v>
      </c>
      <c r="AO106" s="428">
        <f t="shared" si="110"/>
        <v>0</v>
      </c>
      <c r="AP106" s="429">
        <f t="shared" si="88"/>
        <v>1.7146521879135915E-2</v>
      </c>
      <c r="AQ106" s="429">
        <f t="shared" si="111"/>
        <v>1.7146521879135911E-2</v>
      </c>
      <c r="AR106" s="428">
        <f t="shared" si="89"/>
        <v>0</v>
      </c>
      <c r="AS106" s="428">
        <f t="shared" si="112"/>
        <v>0</v>
      </c>
      <c r="AT106" s="429">
        <f t="shared" si="90"/>
        <v>1.7146521879135911E-2</v>
      </c>
      <c r="AU106" s="429">
        <f t="shared" si="93"/>
        <v>1.7146521879135915E-2</v>
      </c>
      <c r="AV106" s="419">
        <f t="shared" si="91"/>
        <v>1.7146521879135911E-2</v>
      </c>
      <c r="AW106" s="92">
        <f t="shared" si="92"/>
        <v>52748.994073751703</v>
      </c>
      <c r="BB106" s="186">
        <f t="shared" si="94"/>
        <v>0</v>
      </c>
      <c r="BC106" s="186">
        <f t="shared" si="94"/>
        <v>1</v>
      </c>
      <c r="BE106" s="188">
        <f t="shared" si="95"/>
        <v>1</v>
      </c>
    </row>
    <row r="107" spans="2:57" x14ac:dyDescent="0.25">
      <c r="B107" s="57">
        <f t="shared" si="68"/>
        <v>77</v>
      </c>
      <c r="C107" s="421" t="str">
        <f>IF('תנאי סף'!AO107&lt;&gt;1,"",'תנאי סף'!F107)</f>
        <v>ארמון בזמן - העמותה לתרבות רב תחומית</v>
      </c>
      <c r="D107" s="91">
        <f>IF($C107="","",IF(ייצוב!Y107="",$BA$1,ייצוב!Y107))</f>
        <v>2.3047981348353425E-2</v>
      </c>
      <c r="E107" s="165"/>
      <c r="F107" s="91">
        <f>IF($C107="","",IF(ייצוב!G107="",$BA$1,ייצוב!G107))</f>
        <v>2.1701409748911622E-2</v>
      </c>
      <c r="G107" s="426">
        <f>'סיכום לועדה- הזנת נתונים'!G107</f>
        <v>1</v>
      </c>
      <c r="H107" s="267">
        <f t="shared" si="69"/>
        <v>0</v>
      </c>
      <c r="I107" s="426">
        <f t="shared" si="70"/>
        <v>0</v>
      </c>
      <c r="J107" s="427">
        <f t="shared" si="71"/>
        <v>2.3047981348353425E-2</v>
      </c>
      <c r="K107" s="427">
        <f t="shared" si="72"/>
        <v>2.3047981348353414E-2</v>
      </c>
      <c r="L107" s="428">
        <f t="shared" si="73"/>
        <v>0</v>
      </c>
      <c r="M107" s="428">
        <f t="shared" si="96"/>
        <v>0</v>
      </c>
      <c r="N107" s="429">
        <f t="shared" si="74"/>
        <v>2.3047981348353425E-2</v>
      </c>
      <c r="O107" s="429">
        <f t="shared" si="97"/>
        <v>2.3047981348353414E-2</v>
      </c>
      <c r="P107" s="428">
        <f t="shared" si="75"/>
        <v>0</v>
      </c>
      <c r="Q107" s="428">
        <f t="shared" si="98"/>
        <v>0</v>
      </c>
      <c r="R107" s="429">
        <f t="shared" si="76"/>
        <v>2.3047981348353425E-2</v>
      </c>
      <c r="S107" s="429">
        <f t="shared" si="99"/>
        <v>2.3047981348353414E-2</v>
      </c>
      <c r="T107" s="428">
        <f t="shared" si="77"/>
        <v>0</v>
      </c>
      <c r="U107" s="428">
        <f t="shared" si="100"/>
        <v>0</v>
      </c>
      <c r="V107" s="429">
        <f t="shared" si="78"/>
        <v>2.3047981348353414E-2</v>
      </c>
      <c r="W107" s="429">
        <f t="shared" si="101"/>
        <v>2.3047981348353418E-2</v>
      </c>
      <c r="X107" s="428">
        <f t="shared" si="79"/>
        <v>0</v>
      </c>
      <c r="Y107" s="428">
        <f t="shared" si="102"/>
        <v>0</v>
      </c>
      <c r="Z107" s="429">
        <f t="shared" si="80"/>
        <v>2.3047981348353418E-2</v>
      </c>
      <c r="AA107" s="429">
        <f t="shared" si="103"/>
        <v>2.3047981348353414E-2</v>
      </c>
      <c r="AB107" s="428">
        <f t="shared" si="81"/>
        <v>0</v>
      </c>
      <c r="AC107" s="428">
        <f t="shared" si="104"/>
        <v>0</v>
      </c>
      <c r="AD107" s="429">
        <f t="shared" si="82"/>
        <v>2.3047981348353414E-2</v>
      </c>
      <c r="AE107" s="429">
        <f t="shared" si="105"/>
        <v>2.3047981348353418E-2</v>
      </c>
      <c r="AF107" s="428">
        <f t="shared" si="83"/>
        <v>0</v>
      </c>
      <c r="AG107" s="428">
        <f t="shared" si="106"/>
        <v>0</v>
      </c>
      <c r="AH107" s="429">
        <f t="shared" si="84"/>
        <v>2.3047981348353418E-2</v>
      </c>
      <c r="AI107" s="429">
        <f t="shared" si="107"/>
        <v>2.3047981348353414E-2</v>
      </c>
      <c r="AJ107" s="428">
        <f t="shared" si="85"/>
        <v>0</v>
      </c>
      <c r="AK107" s="428">
        <f t="shared" si="108"/>
        <v>0</v>
      </c>
      <c r="AL107" s="429">
        <f t="shared" si="86"/>
        <v>2.3047981348353414E-2</v>
      </c>
      <c r="AM107" s="429">
        <f t="shared" si="109"/>
        <v>2.3047981348353418E-2</v>
      </c>
      <c r="AN107" s="428">
        <f t="shared" si="87"/>
        <v>0</v>
      </c>
      <c r="AO107" s="428">
        <f t="shared" si="110"/>
        <v>0</v>
      </c>
      <c r="AP107" s="429">
        <f t="shared" si="88"/>
        <v>2.3047981348353418E-2</v>
      </c>
      <c r="AQ107" s="429">
        <f t="shared" si="111"/>
        <v>2.3047981348353414E-2</v>
      </c>
      <c r="AR107" s="428">
        <f t="shared" si="89"/>
        <v>0</v>
      </c>
      <c r="AS107" s="428">
        <f t="shared" si="112"/>
        <v>0</v>
      </c>
      <c r="AT107" s="429">
        <f t="shared" si="90"/>
        <v>2.3047981348353414E-2</v>
      </c>
      <c r="AU107" s="429">
        <f t="shared" si="93"/>
        <v>2.3047981348353418E-2</v>
      </c>
      <c r="AV107" s="419">
        <f t="shared" si="91"/>
        <v>2.3047981348353414E-2</v>
      </c>
      <c r="AW107" s="92">
        <f t="shared" si="92"/>
        <v>70904.049236689942</v>
      </c>
      <c r="BB107" s="186">
        <f t="shared" si="94"/>
        <v>0</v>
      </c>
      <c r="BC107" s="186">
        <f t="shared" si="94"/>
        <v>1</v>
      </c>
      <c r="BE107" s="188">
        <f t="shared" si="95"/>
        <v>1</v>
      </c>
    </row>
    <row r="108" spans="2:57" x14ac:dyDescent="0.25">
      <c r="B108" s="57" t="str">
        <f t="shared" si="68"/>
        <v/>
      </c>
      <c r="C108" s="421" t="str">
        <f>IF('תנאי סף'!AO108&lt;&gt;1,"",'תנאי סף'!F108)</f>
        <v/>
      </c>
      <c r="D108" s="91" t="str">
        <f>IF($C108="","",IF(ייצוב!Y108="",$BA$1,ייצוב!Y108))</f>
        <v/>
      </c>
      <c r="E108" s="165"/>
      <c r="F108" s="91" t="str">
        <f>IF($C108="","",IF(ייצוב!G108="",$BA$1,ייצוב!G108))</f>
        <v/>
      </c>
      <c r="G108" s="426" t="str">
        <f>'סיכום לועדה- הזנת נתונים'!G108</f>
        <v/>
      </c>
      <c r="H108" s="267" t="str">
        <f t="shared" si="69"/>
        <v/>
      </c>
      <c r="I108" s="426" t="str">
        <f t="shared" si="70"/>
        <v/>
      </c>
      <c r="J108" s="427" t="str">
        <f t="shared" si="71"/>
        <v/>
      </c>
      <c r="K108" s="427" t="str">
        <f t="shared" si="72"/>
        <v/>
      </c>
      <c r="L108" s="428" t="str">
        <f t="shared" si="73"/>
        <v/>
      </c>
      <c r="M108" s="428" t="str">
        <f t="shared" si="96"/>
        <v/>
      </c>
      <c r="N108" s="429" t="str">
        <f t="shared" si="74"/>
        <v/>
      </c>
      <c r="O108" s="429" t="str">
        <f t="shared" si="97"/>
        <v/>
      </c>
      <c r="P108" s="428" t="str">
        <f t="shared" si="75"/>
        <v/>
      </c>
      <c r="Q108" s="428" t="str">
        <f t="shared" si="98"/>
        <v/>
      </c>
      <c r="R108" s="429" t="str">
        <f t="shared" si="76"/>
        <v/>
      </c>
      <c r="S108" s="429" t="str">
        <f t="shared" si="99"/>
        <v/>
      </c>
      <c r="T108" s="428" t="str">
        <f t="shared" si="77"/>
        <v/>
      </c>
      <c r="U108" s="428" t="str">
        <f t="shared" si="100"/>
        <v/>
      </c>
      <c r="V108" s="429" t="str">
        <f t="shared" si="78"/>
        <v/>
      </c>
      <c r="W108" s="429" t="str">
        <f t="shared" si="101"/>
        <v/>
      </c>
      <c r="X108" s="428" t="str">
        <f t="shared" si="79"/>
        <v/>
      </c>
      <c r="Y108" s="428" t="str">
        <f t="shared" si="102"/>
        <v/>
      </c>
      <c r="Z108" s="429" t="str">
        <f t="shared" si="80"/>
        <v/>
      </c>
      <c r="AA108" s="429" t="str">
        <f t="shared" si="103"/>
        <v/>
      </c>
      <c r="AB108" s="428" t="str">
        <f t="shared" si="81"/>
        <v/>
      </c>
      <c r="AC108" s="428" t="str">
        <f t="shared" si="104"/>
        <v/>
      </c>
      <c r="AD108" s="429" t="str">
        <f t="shared" si="82"/>
        <v/>
      </c>
      <c r="AE108" s="429" t="str">
        <f t="shared" si="105"/>
        <v/>
      </c>
      <c r="AF108" s="428" t="str">
        <f t="shared" si="83"/>
        <v/>
      </c>
      <c r="AG108" s="428" t="str">
        <f t="shared" si="106"/>
        <v/>
      </c>
      <c r="AH108" s="429" t="str">
        <f t="shared" si="84"/>
        <v/>
      </c>
      <c r="AI108" s="429" t="str">
        <f t="shared" si="107"/>
        <v/>
      </c>
      <c r="AJ108" s="428" t="str">
        <f t="shared" si="85"/>
        <v/>
      </c>
      <c r="AK108" s="428" t="str">
        <f t="shared" si="108"/>
        <v/>
      </c>
      <c r="AL108" s="429" t="str">
        <f t="shared" si="86"/>
        <v/>
      </c>
      <c r="AM108" s="429" t="str">
        <f t="shared" si="109"/>
        <v/>
      </c>
      <c r="AN108" s="428" t="str">
        <f t="shared" si="87"/>
        <v/>
      </c>
      <c r="AO108" s="428" t="str">
        <f t="shared" si="110"/>
        <v/>
      </c>
      <c r="AP108" s="429" t="str">
        <f t="shared" si="88"/>
        <v/>
      </c>
      <c r="AQ108" s="429" t="str">
        <f t="shared" si="111"/>
        <v/>
      </c>
      <c r="AR108" s="428" t="str">
        <f t="shared" si="89"/>
        <v/>
      </c>
      <c r="AS108" s="428" t="str">
        <f t="shared" si="112"/>
        <v/>
      </c>
      <c r="AT108" s="429" t="str">
        <f t="shared" si="90"/>
        <v/>
      </c>
      <c r="AU108" s="429" t="str">
        <f t="shared" si="93"/>
        <v/>
      </c>
      <c r="AV108" s="419" t="str">
        <f t="shared" si="91"/>
        <v/>
      </c>
      <c r="AW108" s="92" t="str">
        <f t="shared" si="92"/>
        <v/>
      </c>
      <c r="BB108" s="186" t="str">
        <f t="shared" si="94"/>
        <v/>
      </c>
      <c r="BC108" s="186" t="str">
        <f t="shared" si="94"/>
        <v/>
      </c>
      <c r="BE108" s="188">
        <f t="shared" si="95"/>
        <v>0</v>
      </c>
    </row>
    <row r="109" spans="2:57" x14ac:dyDescent="0.25">
      <c r="B109" s="57" t="str">
        <f t="shared" si="68"/>
        <v/>
      </c>
      <c r="C109" s="421" t="str">
        <f>IF('תנאי סף'!AO109&lt;&gt;1,"",'תנאי סף'!F109)</f>
        <v/>
      </c>
      <c r="D109" s="91" t="str">
        <f>IF($C109="","",IF(ייצוב!Y109="",$BA$1,ייצוב!Y109))</f>
        <v/>
      </c>
      <c r="E109" s="165"/>
      <c r="F109" s="91" t="str">
        <f>IF($C109="","",IF(ייצוב!G109="",$BA$1,ייצוב!G109))</f>
        <v/>
      </c>
      <c r="G109" s="426" t="str">
        <f>'סיכום לועדה- הזנת נתונים'!G109</f>
        <v/>
      </c>
      <c r="H109" s="267" t="str">
        <f t="shared" si="69"/>
        <v/>
      </c>
      <c r="I109" s="426" t="str">
        <f t="shared" si="70"/>
        <v/>
      </c>
      <c r="J109" s="427" t="str">
        <f t="shared" si="71"/>
        <v/>
      </c>
      <c r="K109" s="427" t="str">
        <f t="shared" si="72"/>
        <v/>
      </c>
      <c r="L109" s="428" t="str">
        <f t="shared" si="73"/>
        <v/>
      </c>
      <c r="M109" s="428" t="str">
        <f t="shared" si="96"/>
        <v/>
      </c>
      <c r="N109" s="429" t="str">
        <f t="shared" si="74"/>
        <v/>
      </c>
      <c r="O109" s="429" t="str">
        <f t="shared" si="97"/>
        <v/>
      </c>
      <c r="P109" s="428" t="str">
        <f t="shared" si="75"/>
        <v/>
      </c>
      <c r="Q109" s="428" t="str">
        <f t="shared" si="98"/>
        <v/>
      </c>
      <c r="R109" s="429" t="str">
        <f t="shared" si="76"/>
        <v/>
      </c>
      <c r="S109" s="429" t="str">
        <f t="shared" si="99"/>
        <v/>
      </c>
      <c r="T109" s="428" t="str">
        <f t="shared" si="77"/>
        <v/>
      </c>
      <c r="U109" s="428" t="str">
        <f t="shared" si="100"/>
        <v/>
      </c>
      <c r="V109" s="429" t="str">
        <f t="shared" si="78"/>
        <v/>
      </c>
      <c r="W109" s="429" t="str">
        <f t="shared" si="101"/>
        <v/>
      </c>
      <c r="X109" s="428" t="str">
        <f t="shared" si="79"/>
        <v/>
      </c>
      <c r="Y109" s="428" t="str">
        <f t="shared" si="102"/>
        <v/>
      </c>
      <c r="Z109" s="429" t="str">
        <f t="shared" si="80"/>
        <v/>
      </c>
      <c r="AA109" s="429" t="str">
        <f t="shared" si="103"/>
        <v/>
      </c>
      <c r="AB109" s="428" t="str">
        <f t="shared" si="81"/>
        <v/>
      </c>
      <c r="AC109" s="428" t="str">
        <f t="shared" si="104"/>
        <v/>
      </c>
      <c r="AD109" s="429" t="str">
        <f t="shared" si="82"/>
        <v/>
      </c>
      <c r="AE109" s="429" t="str">
        <f t="shared" si="105"/>
        <v/>
      </c>
      <c r="AF109" s="428" t="str">
        <f t="shared" si="83"/>
        <v/>
      </c>
      <c r="AG109" s="428" t="str">
        <f t="shared" si="106"/>
        <v/>
      </c>
      <c r="AH109" s="429" t="str">
        <f t="shared" si="84"/>
        <v/>
      </c>
      <c r="AI109" s="429" t="str">
        <f t="shared" si="107"/>
        <v/>
      </c>
      <c r="AJ109" s="428" t="str">
        <f t="shared" si="85"/>
        <v/>
      </c>
      <c r="AK109" s="428" t="str">
        <f t="shared" si="108"/>
        <v/>
      </c>
      <c r="AL109" s="429" t="str">
        <f t="shared" si="86"/>
        <v/>
      </c>
      <c r="AM109" s="429" t="str">
        <f t="shared" si="109"/>
        <v/>
      </c>
      <c r="AN109" s="428" t="str">
        <f t="shared" si="87"/>
        <v/>
      </c>
      <c r="AO109" s="428" t="str">
        <f t="shared" si="110"/>
        <v/>
      </c>
      <c r="AP109" s="429" t="str">
        <f t="shared" si="88"/>
        <v/>
      </c>
      <c r="AQ109" s="429" t="str">
        <f t="shared" si="111"/>
        <v/>
      </c>
      <c r="AR109" s="428" t="str">
        <f t="shared" si="89"/>
        <v/>
      </c>
      <c r="AS109" s="428" t="str">
        <f t="shared" si="112"/>
        <v/>
      </c>
      <c r="AT109" s="429" t="str">
        <f t="shared" si="90"/>
        <v/>
      </c>
      <c r="AU109" s="429" t="str">
        <f t="shared" si="93"/>
        <v/>
      </c>
      <c r="AV109" s="419" t="str">
        <f t="shared" si="91"/>
        <v/>
      </c>
      <c r="AW109" s="92" t="str">
        <f t="shared" si="92"/>
        <v/>
      </c>
      <c r="BB109" s="186" t="str">
        <f t="shared" si="94"/>
        <v/>
      </c>
      <c r="BC109" s="186" t="str">
        <f t="shared" si="94"/>
        <v/>
      </c>
      <c r="BE109" s="188">
        <f t="shared" si="95"/>
        <v>0</v>
      </c>
    </row>
    <row r="110" spans="2:57" x14ac:dyDescent="0.25">
      <c r="B110" s="57" t="str">
        <f t="shared" si="68"/>
        <v/>
      </c>
      <c r="C110" s="421" t="str">
        <f>IF('תנאי סף'!AO110&lt;&gt;1,"",'תנאי סף'!F110)</f>
        <v/>
      </c>
      <c r="D110" s="91" t="str">
        <f>IF($C110="","",IF(ייצוב!Y110="",$BA$1,ייצוב!Y110))</f>
        <v/>
      </c>
      <c r="E110" s="165"/>
      <c r="F110" s="91" t="str">
        <f>IF($C110="","",IF(ייצוב!G110="",$BA$1,ייצוב!G110))</f>
        <v/>
      </c>
      <c r="G110" s="426" t="str">
        <f>'סיכום לועדה- הזנת נתונים'!G110</f>
        <v/>
      </c>
      <c r="H110" s="267" t="str">
        <f t="shared" si="69"/>
        <v/>
      </c>
      <c r="I110" s="426" t="str">
        <f t="shared" si="70"/>
        <v/>
      </c>
      <c r="J110" s="427" t="str">
        <f t="shared" si="71"/>
        <v/>
      </c>
      <c r="K110" s="427" t="str">
        <f t="shared" si="72"/>
        <v/>
      </c>
      <c r="L110" s="428" t="str">
        <f t="shared" si="73"/>
        <v/>
      </c>
      <c r="M110" s="428" t="str">
        <f t="shared" si="96"/>
        <v/>
      </c>
      <c r="N110" s="429" t="str">
        <f t="shared" si="74"/>
        <v/>
      </c>
      <c r="O110" s="429" t="str">
        <f t="shared" si="97"/>
        <v/>
      </c>
      <c r="P110" s="428" t="str">
        <f t="shared" si="75"/>
        <v/>
      </c>
      <c r="Q110" s="428" t="str">
        <f t="shared" si="98"/>
        <v/>
      </c>
      <c r="R110" s="429" t="str">
        <f t="shared" si="76"/>
        <v/>
      </c>
      <c r="S110" s="429" t="str">
        <f t="shared" si="99"/>
        <v/>
      </c>
      <c r="T110" s="428" t="str">
        <f t="shared" si="77"/>
        <v/>
      </c>
      <c r="U110" s="428" t="str">
        <f t="shared" si="100"/>
        <v/>
      </c>
      <c r="V110" s="429" t="str">
        <f t="shared" si="78"/>
        <v/>
      </c>
      <c r="W110" s="429" t="str">
        <f t="shared" si="101"/>
        <v/>
      </c>
      <c r="X110" s="428" t="str">
        <f t="shared" si="79"/>
        <v/>
      </c>
      <c r="Y110" s="428" t="str">
        <f t="shared" si="102"/>
        <v/>
      </c>
      <c r="Z110" s="429" t="str">
        <f t="shared" si="80"/>
        <v/>
      </c>
      <c r="AA110" s="429" t="str">
        <f t="shared" si="103"/>
        <v/>
      </c>
      <c r="AB110" s="428" t="str">
        <f t="shared" si="81"/>
        <v/>
      </c>
      <c r="AC110" s="428" t="str">
        <f t="shared" si="104"/>
        <v/>
      </c>
      <c r="AD110" s="429" t="str">
        <f t="shared" si="82"/>
        <v/>
      </c>
      <c r="AE110" s="429" t="str">
        <f t="shared" si="105"/>
        <v/>
      </c>
      <c r="AF110" s="428" t="str">
        <f t="shared" si="83"/>
        <v/>
      </c>
      <c r="AG110" s="428" t="str">
        <f t="shared" si="106"/>
        <v/>
      </c>
      <c r="AH110" s="429" t="str">
        <f t="shared" si="84"/>
        <v/>
      </c>
      <c r="AI110" s="429" t="str">
        <f t="shared" si="107"/>
        <v/>
      </c>
      <c r="AJ110" s="428" t="str">
        <f t="shared" si="85"/>
        <v/>
      </c>
      <c r="AK110" s="428" t="str">
        <f t="shared" si="108"/>
        <v/>
      </c>
      <c r="AL110" s="429" t="str">
        <f t="shared" si="86"/>
        <v/>
      </c>
      <c r="AM110" s="429" t="str">
        <f t="shared" si="109"/>
        <v/>
      </c>
      <c r="AN110" s="428" t="str">
        <f t="shared" si="87"/>
        <v/>
      </c>
      <c r="AO110" s="428" t="str">
        <f t="shared" si="110"/>
        <v/>
      </c>
      <c r="AP110" s="429" t="str">
        <f t="shared" si="88"/>
        <v/>
      </c>
      <c r="AQ110" s="429" t="str">
        <f t="shared" si="111"/>
        <v/>
      </c>
      <c r="AR110" s="428" t="str">
        <f t="shared" si="89"/>
        <v/>
      </c>
      <c r="AS110" s="428" t="str">
        <f t="shared" si="112"/>
        <v/>
      </c>
      <c r="AT110" s="429" t="str">
        <f t="shared" si="90"/>
        <v/>
      </c>
      <c r="AU110" s="429" t="str">
        <f t="shared" si="93"/>
        <v/>
      </c>
      <c r="AV110" s="419" t="str">
        <f t="shared" si="91"/>
        <v/>
      </c>
      <c r="AW110" s="92" t="str">
        <f t="shared" si="92"/>
        <v/>
      </c>
      <c r="BB110" s="186" t="str">
        <f t="shared" si="94"/>
        <v/>
      </c>
      <c r="BC110" s="186" t="str">
        <f t="shared" si="94"/>
        <v/>
      </c>
      <c r="BE110" s="188">
        <f t="shared" si="95"/>
        <v>0</v>
      </c>
    </row>
    <row r="111" spans="2:57" x14ac:dyDescent="0.25">
      <c r="B111" s="57" t="str">
        <f t="shared" si="68"/>
        <v/>
      </c>
      <c r="C111" s="421" t="str">
        <f>IF('תנאי סף'!AO111&lt;&gt;1,"",'תנאי סף'!F111)</f>
        <v/>
      </c>
      <c r="D111" s="91" t="str">
        <f>IF($C111="","",IF(ייצוב!Y111="",$BA$1,ייצוב!Y111))</f>
        <v/>
      </c>
      <c r="E111" s="165"/>
      <c r="F111" s="91" t="str">
        <f>IF($C111="","",IF(ייצוב!G111="",$BA$1,ייצוב!G111))</f>
        <v/>
      </c>
      <c r="G111" s="426" t="str">
        <f>'סיכום לועדה- הזנת נתונים'!G111</f>
        <v/>
      </c>
      <c r="H111" s="267" t="str">
        <f t="shared" si="69"/>
        <v/>
      </c>
      <c r="I111" s="426" t="str">
        <f t="shared" si="70"/>
        <v/>
      </c>
      <c r="J111" s="427" t="str">
        <f t="shared" si="71"/>
        <v/>
      </c>
      <c r="K111" s="427" t="str">
        <f t="shared" si="72"/>
        <v/>
      </c>
      <c r="L111" s="428" t="str">
        <f t="shared" si="73"/>
        <v/>
      </c>
      <c r="M111" s="428" t="str">
        <f t="shared" si="96"/>
        <v/>
      </c>
      <c r="N111" s="429" t="str">
        <f t="shared" si="74"/>
        <v/>
      </c>
      <c r="O111" s="429" t="str">
        <f t="shared" si="97"/>
        <v/>
      </c>
      <c r="P111" s="428" t="str">
        <f t="shared" si="75"/>
        <v/>
      </c>
      <c r="Q111" s="428" t="str">
        <f t="shared" si="98"/>
        <v/>
      </c>
      <c r="R111" s="429" t="str">
        <f t="shared" si="76"/>
        <v/>
      </c>
      <c r="S111" s="429" t="str">
        <f t="shared" si="99"/>
        <v/>
      </c>
      <c r="T111" s="428" t="str">
        <f t="shared" si="77"/>
        <v/>
      </c>
      <c r="U111" s="428" t="str">
        <f t="shared" si="100"/>
        <v/>
      </c>
      <c r="V111" s="429" t="str">
        <f t="shared" si="78"/>
        <v/>
      </c>
      <c r="W111" s="429" t="str">
        <f t="shared" si="101"/>
        <v/>
      </c>
      <c r="X111" s="428" t="str">
        <f t="shared" si="79"/>
        <v/>
      </c>
      <c r="Y111" s="428" t="str">
        <f t="shared" si="102"/>
        <v/>
      </c>
      <c r="Z111" s="429" t="str">
        <f t="shared" si="80"/>
        <v/>
      </c>
      <c r="AA111" s="429" t="str">
        <f t="shared" si="103"/>
        <v/>
      </c>
      <c r="AB111" s="428" t="str">
        <f t="shared" si="81"/>
        <v/>
      </c>
      <c r="AC111" s="428" t="str">
        <f t="shared" si="104"/>
        <v/>
      </c>
      <c r="AD111" s="429" t="str">
        <f t="shared" si="82"/>
        <v/>
      </c>
      <c r="AE111" s="429" t="str">
        <f t="shared" si="105"/>
        <v/>
      </c>
      <c r="AF111" s="428" t="str">
        <f t="shared" si="83"/>
        <v/>
      </c>
      <c r="AG111" s="428" t="str">
        <f t="shared" si="106"/>
        <v/>
      </c>
      <c r="AH111" s="429" t="str">
        <f t="shared" si="84"/>
        <v/>
      </c>
      <c r="AI111" s="429" t="str">
        <f t="shared" si="107"/>
        <v/>
      </c>
      <c r="AJ111" s="428" t="str">
        <f t="shared" si="85"/>
        <v/>
      </c>
      <c r="AK111" s="428" t="str">
        <f t="shared" si="108"/>
        <v/>
      </c>
      <c r="AL111" s="429" t="str">
        <f t="shared" si="86"/>
        <v/>
      </c>
      <c r="AM111" s="429" t="str">
        <f t="shared" si="109"/>
        <v/>
      </c>
      <c r="AN111" s="428" t="str">
        <f t="shared" si="87"/>
        <v/>
      </c>
      <c r="AO111" s="428" t="str">
        <f t="shared" si="110"/>
        <v/>
      </c>
      <c r="AP111" s="429" t="str">
        <f t="shared" si="88"/>
        <v/>
      </c>
      <c r="AQ111" s="429" t="str">
        <f t="shared" si="111"/>
        <v/>
      </c>
      <c r="AR111" s="428" t="str">
        <f t="shared" si="89"/>
        <v/>
      </c>
      <c r="AS111" s="428" t="str">
        <f t="shared" si="112"/>
        <v/>
      </c>
      <c r="AT111" s="429" t="str">
        <f t="shared" si="90"/>
        <v/>
      </c>
      <c r="AU111" s="429" t="str">
        <f t="shared" si="93"/>
        <v/>
      </c>
      <c r="AV111" s="419" t="str">
        <f t="shared" si="91"/>
        <v/>
      </c>
      <c r="AW111" s="92" t="str">
        <f t="shared" si="92"/>
        <v/>
      </c>
      <c r="BB111" s="186" t="str">
        <f t="shared" si="94"/>
        <v/>
      </c>
      <c r="BC111" s="186" t="str">
        <f t="shared" si="94"/>
        <v/>
      </c>
      <c r="BE111" s="188">
        <f t="shared" si="95"/>
        <v>0</v>
      </c>
    </row>
    <row r="112" spans="2:57" x14ac:dyDescent="0.25">
      <c r="B112" s="57" t="str">
        <f t="shared" si="68"/>
        <v/>
      </c>
      <c r="C112" s="421" t="str">
        <f>IF('תנאי סף'!AO112&lt;&gt;1,"",'תנאי סף'!F112)</f>
        <v/>
      </c>
      <c r="D112" s="91" t="str">
        <f>IF($C112="","",IF(ייצוב!Y112="",$BA$1,ייצוב!Y112))</f>
        <v/>
      </c>
      <c r="E112" s="165"/>
      <c r="F112" s="91" t="str">
        <f>IF($C112="","",IF(ייצוב!G112="",$BA$1,ייצוב!G112))</f>
        <v/>
      </c>
      <c r="G112" s="426" t="str">
        <f>'סיכום לועדה- הזנת נתונים'!G112</f>
        <v/>
      </c>
      <c r="H112" s="267" t="str">
        <f t="shared" si="69"/>
        <v/>
      </c>
      <c r="I112" s="426" t="str">
        <f t="shared" si="70"/>
        <v/>
      </c>
      <c r="J112" s="427" t="str">
        <f t="shared" si="71"/>
        <v/>
      </c>
      <c r="K112" s="427" t="str">
        <f t="shared" si="72"/>
        <v/>
      </c>
      <c r="L112" s="428" t="str">
        <f t="shared" si="73"/>
        <v/>
      </c>
      <c r="M112" s="428" t="str">
        <f t="shared" si="96"/>
        <v/>
      </c>
      <c r="N112" s="429" t="str">
        <f t="shared" si="74"/>
        <v/>
      </c>
      <c r="O112" s="429" t="str">
        <f t="shared" si="97"/>
        <v/>
      </c>
      <c r="P112" s="428" t="str">
        <f t="shared" si="75"/>
        <v/>
      </c>
      <c r="Q112" s="428" t="str">
        <f t="shared" si="98"/>
        <v/>
      </c>
      <c r="R112" s="429" t="str">
        <f t="shared" si="76"/>
        <v/>
      </c>
      <c r="S112" s="429" t="str">
        <f t="shared" si="99"/>
        <v/>
      </c>
      <c r="T112" s="428" t="str">
        <f t="shared" si="77"/>
        <v/>
      </c>
      <c r="U112" s="428" t="str">
        <f t="shared" si="100"/>
        <v/>
      </c>
      <c r="V112" s="429" t="str">
        <f t="shared" si="78"/>
        <v/>
      </c>
      <c r="W112" s="429" t="str">
        <f t="shared" si="101"/>
        <v/>
      </c>
      <c r="X112" s="428" t="str">
        <f t="shared" si="79"/>
        <v/>
      </c>
      <c r="Y112" s="428" t="str">
        <f t="shared" si="102"/>
        <v/>
      </c>
      <c r="Z112" s="429" t="str">
        <f t="shared" si="80"/>
        <v/>
      </c>
      <c r="AA112" s="429" t="str">
        <f t="shared" si="103"/>
        <v/>
      </c>
      <c r="AB112" s="428" t="str">
        <f t="shared" si="81"/>
        <v/>
      </c>
      <c r="AC112" s="428" t="str">
        <f t="shared" si="104"/>
        <v/>
      </c>
      <c r="AD112" s="429" t="str">
        <f t="shared" si="82"/>
        <v/>
      </c>
      <c r="AE112" s="429" t="str">
        <f t="shared" si="105"/>
        <v/>
      </c>
      <c r="AF112" s="428" t="str">
        <f t="shared" si="83"/>
        <v/>
      </c>
      <c r="AG112" s="428" t="str">
        <f t="shared" si="106"/>
        <v/>
      </c>
      <c r="AH112" s="429" t="str">
        <f t="shared" si="84"/>
        <v/>
      </c>
      <c r="AI112" s="429" t="str">
        <f t="shared" si="107"/>
        <v/>
      </c>
      <c r="AJ112" s="428" t="str">
        <f t="shared" si="85"/>
        <v/>
      </c>
      <c r="AK112" s="428" t="str">
        <f t="shared" si="108"/>
        <v/>
      </c>
      <c r="AL112" s="429" t="str">
        <f t="shared" si="86"/>
        <v/>
      </c>
      <c r="AM112" s="429" t="str">
        <f t="shared" si="109"/>
        <v/>
      </c>
      <c r="AN112" s="428" t="str">
        <f t="shared" si="87"/>
        <v/>
      </c>
      <c r="AO112" s="428" t="str">
        <f t="shared" si="110"/>
        <v/>
      </c>
      <c r="AP112" s="429" t="str">
        <f t="shared" si="88"/>
        <v/>
      </c>
      <c r="AQ112" s="429" t="str">
        <f t="shared" si="111"/>
        <v/>
      </c>
      <c r="AR112" s="428" t="str">
        <f t="shared" si="89"/>
        <v/>
      </c>
      <c r="AS112" s="428" t="str">
        <f t="shared" si="112"/>
        <v/>
      </c>
      <c r="AT112" s="429" t="str">
        <f t="shared" si="90"/>
        <v/>
      </c>
      <c r="AU112" s="429" t="str">
        <f t="shared" si="93"/>
        <v/>
      </c>
      <c r="AV112" s="419" t="str">
        <f t="shared" si="91"/>
        <v/>
      </c>
      <c r="AW112" s="92" t="str">
        <f t="shared" si="92"/>
        <v/>
      </c>
      <c r="BB112" s="186" t="str">
        <f t="shared" si="94"/>
        <v/>
      </c>
      <c r="BC112" s="186" t="str">
        <f t="shared" si="94"/>
        <v/>
      </c>
      <c r="BE112" s="188">
        <f t="shared" si="95"/>
        <v>0</v>
      </c>
    </row>
    <row r="113" spans="2:57" x14ac:dyDescent="0.25">
      <c r="B113" s="57" t="str">
        <f t="shared" si="68"/>
        <v/>
      </c>
      <c r="C113" s="421" t="str">
        <f>IF('תנאי סף'!AO113&lt;&gt;1,"",'תנאי סף'!F113)</f>
        <v/>
      </c>
      <c r="D113" s="91" t="str">
        <f>IF($C113="","",IF(ייצוב!Y113="",$BA$1,ייצוב!Y113))</f>
        <v/>
      </c>
      <c r="E113" s="165"/>
      <c r="F113" s="91" t="str">
        <f>IF($C113="","",IF(ייצוב!G113="",$BA$1,ייצוב!G113))</f>
        <v/>
      </c>
      <c r="G113" s="426" t="str">
        <f>'סיכום לועדה- הזנת נתונים'!G113</f>
        <v/>
      </c>
      <c r="H113" s="267" t="str">
        <f t="shared" si="69"/>
        <v/>
      </c>
      <c r="I113" s="426" t="str">
        <f t="shared" si="70"/>
        <v/>
      </c>
      <c r="J113" s="427" t="str">
        <f t="shared" si="71"/>
        <v/>
      </c>
      <c r="K113" s="427" t="str">
        <f t="shared" si="72"/>
        <v/>
      </c>
      <c r="L113" s="428" t="str">
        <f t="shared" si="73"/>
        <v/>
      </c>
      <c r="M113" s="428" t="str">
        <f t="shared" si="96"/>
        <v/>
      </c>
      <c r="N113" s="429" t="str">
        <f t="shared" si="74"/>
        <v/>
      </c>
      <c r="O113" s="429" t="str">
        <f t="shared" si="97"/>
        <v/>
      </c>
      <c r="P113" s="428" t="str">
        <f t="shared" si="75"/>
        <v/>
      </c>
      <c r="Q113" s="428" t="str">
        <f t="shared" si="98"/>
        <v/>
      </c>
      <c r="R113" s="429" t="str">
        <f t="shared" si="76"/>
        <v/>
      </c>
      <c r="S113" s="429" t="str">
        <f t="shared" si="99"/>
        <v/>
      </c>
      <c r="T113" s="428" t="str">
        <f t="shared" si="77"/>
        <v/>
      </c>
      <c r="U113" s="428" t="str">
        <f t="shared" si="100"/>
        <v/>
      </c>
      <c r="V113" s="429" t="str">
        <f t="shared" si="78"/>
        <v/>
      </c>
      <c r="W113" s="429" t="str">
        <f t="shared" si="101"/>
        <v/>
      </c>
      <c r="X113" s="428" t="str">
        <f t="shared" si="79"/>
        <v/>
      </c>
      <c r="Y113" s="428" t="str">
        <f t="shared" si="102"/>
        <v/>
      </c>
      <c r="Z113" s="429" t="str">
        <f t="shared" si="80"/>
        <v/>
      </c>
      <c r="AA113" s="429" t="str">
        <f t="shared" si="103"/>
        <v/>
      </c>
      <c r="AB113" s="428" t="str">
        <f t="shared" si="81"/>
        <v/>
      </c>
      <c r="AC113" s="428" t="str">
        <f t="shared" si="104"/>
        <v/>
      </c>
      <c r="AD113" s="429" t="str">
        <f t="shared" si="82"/>
        <v/>
      </c>
      <c r="AE113" s="429" t="str">
        <f t="shared" si="105"/>
        <v/>
      </c>
      <c r="AF113" s="428" t="str">
        <f t="shared" si="83"/>
        <v/>
      </c>
      <c r="AG113" s="428" t="str">
        <f t="shared" si="106"/>
        <v/>
      </c>
      <c r="AH113" s="429" t="str">
        <f t="shared" si="84"/>
        <v/>
      </c>
      <c r="AI113" s="429" t="str">
        <f t="shared" si="107"/>
        <v/>
      </c>
      <c r="AJ113" s="428" t="str">
        <f t="shared" si="85"/>
        <v/>
      </c>
      <c r="AK113" s="428" t="str">
        <f t="shared" si="108"/>
        <v/>
      </c>
      <c r="AL113" s="429" t="str">
        <f t="shared" si="86"/>
        <v/>
      </c>
      <c r="AM113" s="429" t="str">
        <f t="shared" si="109"/>
        <v/>
      </c>
      <c r="AN113" s="428" t="str">
        <f t="shared" si="87"/>
        <v/>
      </c>
      <c r="AO113" s="428" t="str">
        <f t="shared" si="110"/>
        <v/>
      </c>
      <c r="AP113" s="429" t="str">
        <f t="shared" si="88"/>
        <v/>
      </c>
      <c r="AQ113" s="429" t="str">
        <f t="shared" si="111"/>
        <v/>
      </c>
      <c r="AR113" s="428" t="str">
        <f t="shared" si="89"/>
        <v/>
      </c>
      <c r="AS113" s="428" t="str">
        <f t="shared" si="112"/>
        <v/>
      </c>
      <c r="AT113" s="429" t="str">
        <f t="shared" si="90"/>
        <v/>
      </c>
      <c r="AU113" s="429" t="str">
        <f t="shared" si="93"/>
        <v/>
      </c>
      <c r="AV113" s="419" t="str">
        <f t="shared" si="91"/>
        <v/>
      </c>
      <c r="AW113" s="92" t="str">
        <f t="shared" si="92"/>
        <v/>
      </c>
      <c r="BB113" s="186" t="str">
        <f t="shared" si="94"/>
        <v/>
      </c>
      <c r="BC113" s="186" t="str">
        <f t="shared" si="94"/>
        <v/>
      </c>
      <c r="BE113" s="188">
        <f t="shared" si="95"/>
        <v>0</v>
      </c>
    </row>
    <row r="114" spans="2:57" x14ac:dyDescent="0.25">
      <c r="B114" s="57" t="str">
        <f t="shared" si="68"/>
        <v/>
      </c>
      <c r="C114" s="421" t="str">
        <f>IF('תנאי סף'!AO114&lt;&gt;1,"",'תנאי סף'!F114)</f>
        <v/>
      </c>
      <c r="D114" s="91" t="str">
        <f>IF($C114="","",IF(ייצוב!Y114="",$BA$1,ייצוב!Y114))</f>
        <v/>
      </c>
      <c r="E114" s="165"/>
      <c r="F114" s="91" t="str">
        <f>IF($C114="","",IF(ייצוב!G114="",$BA$1,ייצוב!G114))</f>
        <v/>
      </c>
      <c r="G114" s="426" t="str">
        <f>'סיכום לועדה- הזנת נתונים'!G114</f>
        <v/>
      </c>
      <c r="H114" s="267" t="str">
        <f t="shared" si="69"/>
        <v/>
      </c>
      <c r="I114" s="426" t="str">
        <f t="shared" si="70"/>
        <v/>
      </c>
      <c r="J114" s="427" t="str">
        <f t="shared" si="71"/>
        <v/>
      </c>
      <c r="K114" s="427" t="str">
        <f t="shared" si="72"/>
        <v/>
      </c>
      <c r="L114" s="428" t="str">
        <f t="shared" si="73"/>
        <v/>
      </c>
      <c r="M114" s="428" t="str">
        <f t="shared" si="96"/>
        <v/>
      </c>
      <c r="N114" s="429" t="str">
        <f t="shared" si="74"/>
        <v/>
      </c>
      <c r="O114" s="429" t="str">
        <f t="shared" si="97"/>
        <v/>
      </c>
      <c r="P114" s="428" t="str">
        <f t="shared" si="75"/>
        <v/>
      </c>
      <c r="Q114" s="428" t="str">
        <f t="shared" si="98"/>
        <v/>
      </c>
      <c r="R114" s="429" t="str">
        <f t="shared" si="76"/>
        <v/>
      </c>
      <c r="S114" s="429" t="str">
        <f t="shared" si="99"/>
        <v/>
      </c>
      <c r="T114" s="428" t="str">
        <f t="shared" si="77"/>
        <v/>
      </c>
      <c r="U114" s="428" t="str">
        <f t="shared" si="100"/>
        <v/>
      </c>
      <c r="V114" s="429" t="str">
        <f t="shared" si="78"/>
        <v/>
      </c>
      <c r="W114" s="429" t="str">
        <f t="shared" si="101"/>
        <v/>
      </c>
      <c r="X114" s="428" t="str">
        <f t="shared" si="79"/>
        <v/>
      </c>
      <c r="Y114" s="428" t="str">
        <f t="shared" si="102"/>
        <v/>
      </c>
      <c r="Z114" s="429" t="str">
        <f t="shared" si="80"/>
        <v/>
      </c>
      <c r="AA114" s="429" t="str">
        <f t="shared" si="103"/>
        <v/>
      </c>
      <c r="AB114" s="428" t="str">
        <f t="shared" si="81"/>
        <v/>
      </c>
      <c r="AC114" s="428" t="str">
        <f t="shared" si="104"/>
        <v/>
      </c>
      <c r="AD114" s="429" t="str">
        <f t="shared" si="82"/>
        <v/>
      </c>
      <c r="AE114" s="429" t="str">
        <f t="shared" si="105"/>
        <v/>
      </c>
      <c r="AF114" s="428" t="str">
        <f t="shared" si="83"/>
        <v/>
      </c>
      <c r="AG114" s="428" t="str">
        <f t="shared" si="106"/>
        <v/>
      </c>
      <c r="AH114" s="429" t="str">
        <f t="shared" si="84"/>
        <v/>
      </c>
      <c r="AI114" s="429" t="str">
        <f t="shared" si="107"/>
        <v/>
      </c>
      <c r="AJ114" s="428" t="str">
        <f t="shared" si="85"/>
        <v/>
      </c>
      <c r="AK114" s="428" t="str">
        <f t="shared" si="108"/>
        <v/>
      </c>
      <c r="AL114" s="429" t="str">
        <f t="shared" si="86"/>
        <v/>
      </c>
      <c r="AM114" s="429" t="str">
        <f t="shared" si="109"/>
        <v/>
      </c>
      <c r="AN114" s="428" t="str">
        <f t="shared" si="87"/>
        <v/>
      </c>
      <c r="AO114" s="428" t="str">
        <f t="shared" si="110"/>
        <v/>
      </c>
      <c r="AP114" s="429" t="str">
        <f t="shared" si="88"/>
        <v/>
      </c>
      <c r="AQ114" s="429" t="str">
        <f t="shared" si="111"/>
        <v/>
      </c>
      <c r="AR114" s="428" t="str">
        <f t="shared" si="89"/>
        <v/>
      </c>
      <c r="AS114" s="428" t="str">
        <f t="shared" si="112"/>
        <v/>
      </c>
      <c r="AT114" s="429" t="str">
        <f t="shared" si="90"/>
        <v/>
      </c>
      <c r="AU114" s="429" t="str">
        <f t="shared" si="93"/>
        <v/>
      </c>
      <c r="AV114" s="419" t="str">
        <f t="shared" si="91"/>
        <v/>
      </c>
      <c r="AW114" s="92" t="str">
        <f t="shared" si="92"/>
        <v/>
      </c>
      <c r="BB114" s="186" t="str">
        <f t="shared" si="94"/>
        <v/>
      </c>
      <c r="BC114" s="186" t="str">
        <f t="shared" si="94"/>
        <v/>
      </c>
      <c r="BE114" s="188">
        <f t="shared" si="95"/>
        <v>0</v>
      </c>
    </row>
    <row r="115" spans="2:57" x14ac:dyDescent="0.25">
      <c r="B115" s="57" t="str">
        <f t="shared" si="68"/>
        <v/>
      </c>
      <c r="C115" s="421" t="str">
        <f>IF('תנאי סף'!AO115&lt;&gt;1,"",'תנאי סף'!F115)</f>
        <v/>
      </c>
      <c r="D115" s="91" t="str">
        <f>IF($C115="","",IF(ייצוב!Y115="",$BA$1,ייצוב!Y115))</f>
        <v/>
      </c>
      <c r="E115" s="165"/>
      <c r="F115" s="91" t="str">
        <f>IF($C115="","",IF(ייצוב!G115="",$BA$1,ייצוב!G115))</f>
        <v/>
      </c>
      <c r="G115" s="426" t="str">
        <f>'סיכום לועדה- הזנת נתונים'!G115</f>
        <v/>
      </c>
      <c r="H115" s="267" t="str">
        <f t="shared" si="69"/>
        <v/>
      </c>
      <c r="I115" s="426" t="str">
        <f t="shared" si="70"/>
        <v/>
      </c>
      <c r="J115" s="427" t="str">
        <f t="shared" si="71"/>
        <v/>
      </c>
      <c r="K115" s="427" t="str">
        <f t="shared" si="72"/>
        <v/>
      </c>
      <c r="L115" s="428" t="str">
        <f t="shared" si="73"/>
        <v/>
      </c>
      <c r="M115" s="428" t="str">
        <f t="shared" si="96"/>
        <v/>
      </c>
      <c r="N115" s="429" t="str">
        <f t="shared" si="74"/>
        <v/>
      </c>
      <c r="O115" s="429" t="str">
        <f t="shared" si="97"/>
        <v/>
      </c>
      <c r="P115" s="428" t="str">
        <f t="shared" si="75"/>
        <v/>
      </c>
      <c r="Q115" s="428" t="str">
        <f t="shared" si="98"/>
        <v/>
      </c>
      <c r="R115" s="429" t="str">
        <f t="shared" si="76"/>
        <v/>
      </c>
      <c r="S115" s="429" t="str">
        <f t="shared" si="99"/>
        <v/>
      </c>
      <c r="T115" s="428" t="str">
        <f t="shared" si="77"/>
        <v/>
      </c>
      <c r="U115" s="428" t="str">
        <f t="shared" si="100"/>
        <v/>
      </c>
      <c r="V115" s="429" t="str">
        <f t="shared" si="78"/>
        <v/>
      </c>
      <c r="W115" s="429" t="str">
        <f t="shared" si="101"/>
        <v/>
      </c>
      <c r="X115" s="428" t="str">
        <f t="shared" si="79"/>
        <v/>
      </c>
      <c r="Y115" s="428" t="str">
        <f t="shared" si="102"/>
        <v/>
      </c>
      <c r="Z115" s="429" t="str">
        <f t="shared" si="80"/>
        <v/>
      </c>
      <c r="AA115" s="429" t="str">
        <f t="shared" si="103"/>
        <v/>
      </c>
      <c r="AB115" s="428" t="str">
        <f t="shared" si="81"/>
        <v/>
      </c>
      <c r="AC115" s="428" t="str">
        <f t="shared" si="104"/>
        <v/>
      </c>
      <c r="AD115" s="429" t="str">
        <f t="shared" si="82"/>
        <v/>
      </c>
      <c r="AE115" s="429" t="str">
        <f t="shared" si="105"/>
        <v/>
      </c>
      <c r="AF115" s="428" t="str">
        <f t="shared" si="83"/>
        <v/>
      </c>
      <c r="AG115" s="428" t="str">
        <f t="shared" si="106"/>
        <v/>
      </c>
      <c r="AH115" s="429" t="str">
        <f t="shared" si="84"/>
        <v/>
      </c>
      <c r="AI115" s="429" t="str">
        <f t="shared" si="107"/>
        <v/>
      </c>
      <c r="AJ115" s="428" t="str">
        <f t="shared" si="85"/>
        <v/>
      </c>
      <c r="AK115" s="428" t="str">
        <f t="shared" si="108"/>
        <v/>
      </c>
      <c r="AL115" s="429" t="str">
        <f t="shared" si="86"/>
        <v/>
      </c>
      <c r="AM115" s="429" t="str">
        <f t="shared" si="109"/>
        <v/>
      </c>
      <c r="AN115" s="428" t="str">
        <f t="shared" si="87"/>
        <v/>
      </c>
      <c r="AO115" s="428" t="str">
        <f t="shared" si="110"/>
        <v/>
      </c>
      <c r="AP115" s="429" t="str">
        <f t="shared" si="88"/>
        <v/>
      </c>
      <c r="AQ115" s="429" t="str">
        <f t="shared" si="111"/>
        <v/>
      </c>
      <c r="AR115" s="428" t="str">
        <f t="shared" si="89"/>
        <v/>
      </c>
      <c r="AS115" s="428" t="str">
        <f t="shared" si="112"/>
        <v/>
      </c>
      <c r="AT115" s="429" t="str">
        <f t="shared" si="90"/>
        <v/>
      </c>
      <c r="AU115" s="429" t="str">
        <f t="shared" si="93"/>
        <v/>
      </c>
      <c r="AV115" s="419" t="str">
        <f t="shared" si="91"/>
        <v/>
      </c>
      <c r="AW115" s="92" t="str">
        <f t="shared" si="92"/>
        <v/>
      </c>
      <c r="BB115" s="186" t="str">
        <f t="shared" si="94"/>
        <v/>
      </c>
      <c r="BC115" s="186" t="str">
        <f t="shared" si="94"/>
        <v/>
      </c>
      <c r="BE115" s="188">
        <f t="shared" si="95"/>
        <v>0</v>
      </c>
    </row>
    <row r="116" spans="2:57" x14ac:dyDescent="0.25">
      <c r="B116" s="57" t="str">
        <f t="shared" si="68"/>
        <v/>
      </c>
      <c r="C116" s="421" t="str">
        <f>IF('תנאי סף'!AO116&lt;&gt;1,"",'תנאי סף'!F116)</f>
        <v/>
      </c>
      <c r="D116" s="91" t="str">
        <f>IF($C116="","",IF(ייצוב!Y116="",$BA$1,ייצוב!Y116))</f>
        <v/>
      </c>
      <c r="E116" s="165"/>
      <c r="F116" s="91" t="str">
        <f>IF($C116="","",IF(ייצוב!G116="",$BA$1,ייצוב!G116))</f>
        <v/>
      </c>
      <c r="G116" s="426" t="str">
        <f>'סיכום לועדה- הזנת נתונים'!G116</f>
        <v/>
      </c>
      <c r="H116" s="267" t="str">
        <f t="shared" si="69"/>
        <v/>
      </c>
      <c r="I116" s="426" t="str">
        <f t="shared" si="70"/>
        <v/>
      </c>
      <c r="J116" s="427" t="str">
        <f t="shared" si="71"/>
        <v/>
      </c>
      <c r="K116" s="427" t="str">
        <f t="shared" si="72"/>
        <v/>
      </c>
      <c r="L116" s="428" t="str">
        <f t="shared" si="73"/>
        <v/>
      </c>
      <c r="M116" s="428" t="str">
        <f t="shared" si="96"/>
        <v/>
      </c>
      <c r="N116" s="429" t="str">
        <f t="shared" si="74"/>
        <v/>
      </c>
      <c r="O116" s="429" t="str">
        <f t="shared" si="97"/>
        <v/>
      </c>
      <c r="P116" s="428" t="str">
        <f t="shared" si="75"/>
        <v/>
      </c>
      <c r="Q116" s="428" t="str">
        <f t="shared" si="98"/>
        <v/>
      </c>
      <c r="R116" s="429" t="str">
        <f t="shared" si="76"/>
        <v/>
      </c>
      <c r="S116" s="429" t="str">
        <f t="shared" si="99"/>
        <v/>
      </c>
      <c r="T116" s="428" t="str">
        <f t="shared" si="77"/>
        <v/>
      </c>
      <c r="U116" s="428" t="str">
        <f t="shared" si="100"/>
        <v/>
      </c>
      <c r="V116" s="429" t="str">
        <f t="shared" si="78"/>
        <v/>
      </c>
      <c r="W116" s="429" t="str">
        <f t="shared" si="101"/>
        <v/>
      </c>
      <c r="X116" s="428" t="str">
        <f t="shared" si="79"/>
        <v/>
      </c>
      <c r="Y116" s="428" t="str">
        <f t="shared" si="102"/>
        <v/>
      </c>
      <c r="Z116" s="429" t="str">
        <f t="shared" si="80"/>
        <v/>
      </c>
      <c r="AA116" s="429" t="str">
        <f t="shared" si="103"/>
        <v/>
      </c>
      <c r="AB116" s="428" t="str">
        <f t="shared" si="81"/>
        <v/>
      </c>
      <c r="AC116" s="428" t="str">
        <f t="shared" si="104"/>
        <v/>
      </c>
      <c r="AD116" s="429" t="str">
        <f t="shared" si="82"/>
        <v/>
      </c>
      <c r="AE116" s="429" t="str">
        <f t="shared" si="105"/>
        <v/>
      </c>
      <c r="AF116" s="428" t="str">
        <f t="shared" si="83"/>
        <v/>
      </c>
      <c r="AG116" s="428" t="str">
        <f t="shared" si="106"/>
        <v/>
      </c>
      <c r="AH116" s="429" t="str">
        <f t="shared" si="84"/>
        <v/>
      </c>
      <c r="AI116" s="429" t="str">
        <f t="shared" si="107"/>
        <v/>
      </c>
      <c r="AJ116" s="428" t="str">
        <f t="shared" si="85"/>
        <v/>
      </c>
      <c r="AK116" s="428" t="str">
        <f t="shared" si="108"/>
        <v/>
      </c>
      <c r="AL116" s="429" t="str">
        <f t="shared" si="86"/>
        <v/>
      </c>
      <c r="AM116" s="429" t="str">
        <f t="shared" si="109"/>
        <v/>
      </c>
      <c r="AN116" s="428" t="str">
        <f t="shared" si="87"/>
        <v/>
      </c>
      <c r="AO116" s="428" t="str">
        <f t="shared" si="110"/>
        <v/>
      </c>
      <c r="AP116" s="429" t="str">
        <f t="shared" si="88"/>
        <v/>
      </c>
      <c r="AQ116" s="429" t="str">
        <f t="shared" si="111"/>
        <v/>
      </c>
      <c r="AR116" s="428" t="str">
        <f t="shared" si="89"/>
        <v/>
      </c>
      <c r="AS116" s="428" t="str">
        <f t="shared" si="112"/>
        <v/>
      </c>
      <c r="AT116" s="429" t="str">
        <f t="shared" si="90"/>
        <v/>
      </c>
      <c r="AU116" s="429" t="str">
        <f t="shared" si="93"/>
        <v/>
      </c>
      <c r="AV116" s="419" t="str">
        <f t="shared" si="91"/>
        <v/>
      </c>
      <c r="AW116" s="92" t="str">
        <f t="shared" si="92"/>
        <v/>
      </c>
      <c r="BB116" s="186" t="str">
        <f t="shared" si="94"/>
        <v/>
      </c>
      <c r="BC116" s="186" t="str">
        <f t="shared" si="94"/>
        <v/>
      </c>
      <c r="BE116" s="188">
        <f t="shared" si="95"/>
        <v>0</v>
      </c>
    </row>
    <row r="117" spans="2:57" x14ac:dyDescent="0.25">
      <c r="B117" s="57" t="str">
        <f t="shared" si="68"/>
        <v/>
      </c>
      <c r="C117" s="421" t="str">
        <f>IF('תנאי סף'!AO117&lt;&gt;1,"",'תנאי סף'!F117)</f>
        <v/>
      </c>
      <c r="D117" s="91" t="str">
        <f>IF($C117="","",IF(ייצוב!Y117="",$BA$1,ייצוב!Y117))</f>
        <v/>
      </c>
      <c r="E117" s="165"/>
      <c r="F117" s="91" t="str">
        <f>IF($C117="","",IF(ייצוב!G117="",$BA$1,ייצוב!G117))</f>
        <v/>
      </c>
      <c r="G117" s="426" t="str">
        <f>'סיכום לועדה- הזנת נתונים'!G117</f>
        <v/>
      </c>
      <c r="H117" s="267" t="str">
        <f t="shared" si="69"/>
        <v/>
      </c>
      <c r="I117" s="426" t="str">
        <f t="shared" si="70"/>
        <v/>
      </c>
      <c r="J117" s="427" t="str">
        <f t="shared" si="71"/>
        <v/>
      </c>
      <c r="K117" s="427" t="str">
        <f t="shared" si="72"/>
        <v/>
      </c>
      <c r="L117" s="428" t="str">
        <f t="shared" si="73"/>
        <v/>
      </c>
      <c r="M117" s="428" t="str">
        <f t="shared" si="96"/>
        <v/>
      </c>
      <c r="N117" s="429" t="str">
        <f t="shared" si="74"/>
        <v/>
      </c>
      <c r="O117" s="429" t="str">
        <f t="shared" si="97"/>
        <v/>
      </c>
      <c r="P117" s="428" t="str">
        <f t="shared" si="75"/>
        <v/>
      </c>
      <c r="Q117" s="428" t="str">
        <f t="shared" si="98"/>
        <v/>
      </c>
      <c r="R117" s="429" t="str">
        <f t="shared" si="76"/>
        <v/>
      </c>
      <c r="S117" s="429" t="str">
        <f t="shared" si="99"/>
        <v/>
      </c>
      <c r="T117" s="428" t="str">
        <f t="shared" si="77"/>
        <v/>
      </c>
      <c r="U117" s="428" t="str">
        <f t="shared" si="100"/>
        <v/>
      </c>
      <c r="V117" s="429" t="str">
        <f t="shared" si="78"/>
        <v/>
      </c>
      <c r="W117" s="429" t="str">
        <f t="shared" si="101"/>
        <v/>
      </c>
      <c r="X117" s="428" t="str">
        <f t="shared" si="79"/>
        <v/>
      </c>
      <c r="Y117" s="428" t="str">
        <f t="shared" si="102"/>
        <v/>
      </c>
      <c r="Z117" s="429" t="str">
        <f t="shared" si="80"/>
        <v/>
      </c>
      <c r="AA117" s="429" t="str">
        <f t="shared" si="103"/>
        <v/>
      </c>
      <c r="AB117" s="428" t="str">
        <f t="shared" si="81"/>
        <v/>
      </c>
      <c r="AC117" s="428" t="str">
        <f t="shared" si="104"/>
        <v/>
      </c>
      <c r="AD117" s="429" t="str">
        <f t="shared" si="82"/>
        <v/>
      </c>
      <c r="AE117" s="429" t="str">
        <f t="shared" si="105"/>
        <v/>
      </c>
      <c r="AF117" s="428" t="str">
        <f t="shared" si="83"/>
        <v/>
      </c>
      <c r="AG117" s="428" t="str">
        <f t="shared" si="106"/>
        <v/>
      </c>
      <c r="AH117" s="429" t="str">
        <f t="shared" si="84"/>
        <v/>
      </c>
      <c r="AI117" s="429" t="str">
        <f t="shared" si="107"/>
        <v/>
      </c>
      <c r="AJ117" s="428" t="str">
        <f t="shared" si="85"/>
        <v/>
      </c>
      <c r="AK117" s="428" t="str">
        <f t="shared" si="108"/>
        <v/>
      </c>
      <c r="AL117" s="429" t="str">
        <f t="shared" si="86"/>
        <v/>
      </c>
      <c r="AM117" s="429" t="str">
        <f t="shared" si="109"/>
        <v/>
      </c>
      <c r="AN117" s="428" t="str">
        <f t="shared" si="87"/>
        <v/>
      </c>
      <c r="AO117" s="428" t="str">
        <f t="shared" si="110"/>
        <v/>
      </c>
      <c r="AP117" s="429" t="str">
        <f t="shared" si="88"/>
        <v/>
      </c>
      <c r="AQ117" s="429" t="str">
        <f t="shared" si="111"/>
        <v/>
      </c>
      <c r="AR117" s="428" t="str">
        <f t="shared" si="89"/>
        <v/>
      </c>
      <c r="AS117" s="428" t="str">
        <f t="shared" si="112"/>
        <v/>
      </c>
      <c r="AT117" s="429" t="str">
        <f t="shared" si="90"/>
        <v/>
      </c>
      <c r="AU117" s="429" t="str">
        <f t="shared" si="93"/>
        <v/>
      </c>
      <c r="AV117" s="419" t="str">
        <f t="shared" si="91"/>
        <v/>
      </c>
      <c r="AW117" s="92" t="str">
        <f t="shared" si="92"/>
        <v/>
      </c>
      <c r="BB117" s="186" t="str">
        <f t="shared" si="94"/>
        <v/>
      </c>
      <c r="BC117" s="186" t="str">
        <f t="shared" si="94"/>
        <v/>
      </c>
      <c r="BE117" s="188">
        <f t="shared" si="95"/>
        <v>0</v>
      </c>
    </row>
    <row r="118" spans="2:57" x14ac:dyDescent="0.25">
      <c r="B118" s="57" t="str">
        <f t="shared" si="68"/>
        <v/>
      </c>
      <c r="C118" s="421" t="str">
        <f>IF('תנאי סף'!AO118&lt;&gt;1,"",'תנאי סף'!F118)</f>
        <v/>
      </c>
      <c r="D118" s="91" t="str">
        <f>IF($C118="","",IF(ייצוב!Y118="",$BA$1,ייצוב!Y118))</f>
        <v/>
      </c>
      <c r="E118" s="165"/>
      <c r="F118" s="91" t="str">
        <f>IF($C118="","",IF(ייצוב!G118="",$BA$1,ייצוב!G118))</f>
        <v/>
      </c>
      <c r="G118" s="426" t="str">
        <f>'סיכום לועדה- הזנת נתונים'!G118</f>
        <v/>
      </c>
      <c r="H118" s="267" t="str">
        <f t="shared" si="69"/>
        <v/>
      </c>
      <c r="I118" s="426" t="str">
        <f t="shared" si="70"/>
        <v/>
      </c>
      <c r="J118" s="427" t="str">
        <f t="shared" si="71"/>
        <v/>
      </c>
      <c r="K118" s="427" t="str">
        <f t="shared" si="72"/>
        <v/>
      </c>
      <c r="L118" s="428" t="str">
        <f t="shared" si="73"/>
        <v/>
      </c>
      <c r="M118" s="428" t="str">
        <f t="shared" si="96"/>
        <v/>
      </c>
      <c r="N118" s="429" t="str">
        <f t="shared" si="74"/>
        <v/>
      </c>
      <c r="O118" s="429" t="str">
        <f t="shared" si="97"/>
        <v/>
      </c>
      <c r="P118" s="428" t="str">
        <f t="shared" si="75"/>
        <v/>
      </c>
      <c r="Q118" s="428" t="str">
        <f t="shared" si="98"/>
        <v/>
      </c>
      <c r="R118" s="429" t="str">
        <f t="shared" si="76"/>
        <v/>
      </c>
      <c r="S118" s="429" t="str">
        <f t="shared" si="99"/>
        <v/>
      </c>
      <c r="T118" s="428" t="str">
        <f t="shared" si="77"/>
        <v/>
      </c>
      <c r="U118" s="428" t="str">
        <f t="shared" si="100"/>
        <v/>
      </c>
      <c r="V118" s="429" t="str">
        <f t="shared" si="78"/>
        <v/>
      </c>
      <c r="W118" s="429" t="str">
        <f t="shared" si="101"/>
        <v/>
      </c>
      <c r="X118" s="428" t="str">
        <f t="shared" si="79"/>
        <v/>
      </c>
      <c r="Y118" s="428" t="str">
        <f t="shared" si="102"/>
        <v/>
      </c>
      <c r="Z118" s="429" t="str">
        <f t="shared" si="80"/>
        <v/>
      </c>
      <c r="AA118" s="429" t="str">
        <f t="shared" si="103"/>
        <v/>
      </c>
      <c r="AB118" s="428" t="str">
        <f t="shared" si="81"/>
        <v/>
      </c>
      <c r="AC118" s="428" t="str">
        <f t="shared" si="104"/>
        <v/>
      </c>
      <c r="AD118" s="429" t="str">
        <f t="shared" si="82"/>
        <v/>
      </c>
      <c r="AE118" s="429" t="str">
        <f t="shared" si="105"/>
        <v/>
      </c>
      <c r="AF118" s="428" t="str">
        <f t="shared" si="83"/>
        <v/>
      </c>
      <c r="AG118" s="428" t="str">
        <f t="shared" si="106"/>
        <v/>
      </c>
      <c r="AH118" s="429" t="str">
        <f t="shared" si="84"/>
        <v/>
      </c>
      <c r="AI118" s="429" t="str">
        <f t="shared" si="107"/>
        <v/>
      </c>
      <c r="AJ118" s="428" t="str">
        <f t="shared" si="85"/>
        <v/>
      </c>
      <c r="AK118" s="428" t="str">
        <f t="shared" si="108"/>
        <v/>
      </c>
      <c r="AL118" s="429" t="str">
        <f t="shared" si="86"/>
        <v/>
      </c>
      <c r="AM118" s="429" t="str">
        <f t="shared" si="109"/>
        <v/>
      </c>
      <c r="AN118" s="428" t="str">
        <f t="shared" si="87"/>
        <v/>
      </c>
      <c r="AO118" s="428" t="str">
        <f t="shared" si="110"/>
        <v/>
      </c>
      <c r="AP118" s="429" t="str">
        <f t="shared" si="88"/>
        <v/>
      </c>
      <c r="AQ118" s="429" t="str">
        <f t="shared" si="111"/>
        <v/>
      </c>
      <c r="AR118" s="428" t="str">
        <f t="shared" si="89"/>
        <v/>
      </c>
      <c r="AS118" s="428" t="str">
        <f t="shared" si="112"/>
        <v/>
      </c>
      <c r="AT118" s="429" t="str">
        <f t="shared" si="90"/>
        <v/>
      </c>
      <c r="AU118" s="429" t="str">
        <f t="shared" si="93"/>
        <v/>
      </c>
      <c r="AV118" s="419" t="str">
        <f t="shared" si="91"/>
        <v/>
      </c>
      <c r="AW118" s="92" t="str">
        <f t="shared" si="92"/>
        <v/>
      </c>
      <c r="BB118" s="186" t="str">
        <f t="shared" si="94"/>
        <v/>
      </c>
      <c r="BC118" s="186" t="str">
        <f t="shared" si="94"/>
        <v/>
      </c>
      <c r="BE118" s="188">
        <f t="shared" si="95"/>
        <v>0</v>
      </c>
    </row>
    <row r="119" spans="2:57" x14ac:dyDescent="0.25">
      <c r="B119" s="57" t="str">
        <f t="shared" si="68"/>
        <v/>
      </c>
      <c r="C119" s="421" t="str">
        <f>IF('תנאי סף'!AO119&lt;&gt;1,"",'תנאי סף'!F119)</f>
        <v/>
      </c>
      <c r="D119" s="91" t="str">
        <f>IF($C119="","",IF(ייצוב!Y119="",$BA$1,ייצוב!Y119))</f>
        <v/>
      </c>
      <c r="E119" s="165"/>
      <c r="F119" s="91" t="str">
        <f>IF($C119="","",IF(ייצוב!G119="",$BA$1,ייצוב!G119))</f>
        <v/>
      </c>
      <c r="G119" s="426" t="str">
        <f>'סיכום לועדה- הזנת נתונים'!G119</f>
        <v/>
      </c>
      <c r="H119" s="267" t="str">
        <f t="shared" si="69"/>
        <v/>
      </c>
      <c r="I119" s="426" t="str">
        <f t="shared" si="70"/>
        <v/>
      </c>
      <c r="J119" s="427" t="str">
        <f t="shared" si="71"/>
        <v/>
      </c>
      <c r="K119" s="427" t="str">
        <f t="shared" si="72"/>
        <v/>
      </c>
      <c r="L119" s="428" t="str">
        <f t="shared" si="73"/>
        <v/>
      </c>
      <c r="M119" s="428" t="str">
        <f t="shared" si="96"/>
        <v/>
      </c>
      <c r="N119" s="429" t="str">
        <f t="shared" si="74"/>
        <v/>
      </c>
      <c r="O119" s="429" t="str">
        <f t="shared" si="97"/>
        <v/>
      </c>
      <c r="P119" s="428" t="str">
        <f t="shared" si="75"/>
        <v/>
      </c>
      <c r="Q119" s="428" t="str">
        <f t="shared" si="98"/>
        <v/>
      </c>
      <c r="R119" s="429" t="str">
        <f t="shared" si="76"/>
        <v/>
      </c>
      <c r="S119" s="429" t="str">
        <f t="shared" si="99"/>
        <v/>
      </c>
      <c r="T119" s="428" t="str">
        <f t="shared" si="77"/>
        <v/>
      </c>
      <c r="U119" s="428" t="str">
        <f t="shared" si="100"/>
        <v/>
      </c>
      <c r="V119" s="429" t="str">
        <f t="shared" si="78"/>
        <v/>
      </c>
      <c r="W119" s="429" t="str">
        <f t="shared" si="101"/>
        <v/>
      </c>
      <c r="X119" s="428" t="str">
        <f t="shared" si="79"/>
        <v/>
      </c>
      <c r="Y119" s="428" t="str">
        <f t="shared" si="102"/>
        <v/>
      </c>
      <c r="Z119" s="429" t="str">
        <f t="shared" si="80"/>
        <v/>
      </c>
      <c r="AA119" s="429" t="str">
        <f t="shared" si="103"/>
        <v/>
      </c>
      <c r="AB119" s="428" t="str">
        <f t="shared" si="81"/>
        <v/>
      </c>
      <c r="AC119" s="428" t="str">
        <f t="shared" si="104"/>
        <v/>
      </c>
      <c r="AD119" s="429" t="str">
        <f t="shared" si="82"/>
        <v/>
      </c>
      <c r="AE119" s="429" t="str">
        <f t="shared" si="105"/>
        <v/>
      </c>
      <c r="AF119" s="428" t="str">
        <f t="shared" si="83"/>
        <v/>
      </c>
      <c r="AG119" s="428" t="str">
        <f t="shared" si="106"/>
        <v/>
      </c>
      <c r="AH119" s="429" t="str">
        <f t="shared" si="84"/>
        <v/>
      </c>
      <c r="AI119" s="429" t="str">
        <f t="shared" si="107"/>
        <v/>
      </c>
      <c r="AJ119" s="428" t="str">
        <f t="shared" si="85"/>
        <v/>
      </c>
      <c r="AK119" s="428" t="str">
        <f t="shared" si="108"/>
        <v/>
      </c>
      <c r="AL119" s="429" t="str">
        <f t="shared" si="86"/>
        <v/>
      </c>
      <c r="AM119" s="429" t="str">
        <f t="shared" si="109"/>
        <v/>
      </c>
      <c r="AN119" s="428" t="str">
        <f t="shared" si="87"/>
        <v/>
      </c>
      <c r="AO119" s="428" t="str">
        <f t="shared" si="110"/>
        <v/>
      </c>
      <c r="AP119" s="429" t="str">
        <f t="shared" si="88"/>
        <v/>
      </c>
      <c r="AQ119" s="429" t="str">
        <f t="shared" si="111"/>
        <v/>
      </c>
      <c r="AR119" s="428" t="str">
        <f t="shared" si="89"/>
        <v/>
      </c>
      <c r="AS119" s="428" t="str">
        <f t="shared" si="112"/>
        <v/>
      </c>
      <c r="AT119" s="429" t="str">
        <f t="shared" si="90"/>
        <v/>
      </c>
      <c r="AU119" s="429" t="str">
        <f t="shared" si="93"/>
        <v/>
      </c>
      <c r="AV119" s="419" t="str">
        <f t="shared" si="91"/>
        <v/>
      </c>
      <c r="AW119" s="92" t="str">
        <f t="shared" si="92"/>
        <v/>
      </c>
      <c r="BB119" s="186" t="str">
        <f t="shared" si="94"/>
        <v/>
      </c>
      <c r="BC119" s="186" t="str">
        <f t="shared" si="94"/>
        <v/>
      </c>
      <c r="BE119" s="188">
        <f t="shared" si="95"/>
        <v>0</v>
      </c>
    </row>
    <row r="120" spans="2:57" x14ac:dyDescent="0.25">
      <c r="B120" s="57" t="str">
        <f t="shared" si="68"/>
        <v/>
      </c>
      <c r="C120" s="421" t="str">
        <f>IF('תנאי סף'!AO120&lt;&gt;1,"",'תנאי סף'!F120)</f>
        <v/>
      </c>
      <c r="D120" s="91" t="str">
        <f>IF($C120="","",IF(ייצוב!Y120="",$BA$1,ייצוב!Y120))</f>
        <v/>
      </c>
      <c r="E120" s="165"/>
      <c r="F120" s="91" t="str">
        <f>IF($C120="","",IF(ייצוב!G120="",$BA$1,ייצוב!G120))</f>
        <v/>
      </c>
      <c r="G120" s="426" t="str">
        <f>'סיכום לועדה- הזנת נתונים'!G120</f>
        <v/>
      </c>
      <c r="H120" s="267" t="str">
        <f t="shared" si="69"/>
        <v/>
      </c>
      <c r="I120" s="426" t="str">
        <f t="shared" si="70"/>
        <v/>
      </c>
      <c r="J120" s="427" t="str">
        <f t="shared" si="71"/>
        <v/>
      </c>
      <c r="K120" s="427" t="str">
        <f t="shared" si="72"/>
        <v/>
      </c>
      <c r="L120" s="428" t="str">
        <f t="shared" si="73"/>
        <v/>
      </c>
      <c r="M120" s="428" t="str">
        <f t="shared" si="96"/>
        <v/>
      </c>
      <c r="N120" s="429" t="str">
        <f t="shared" si="74"/>
        <v/>
      </c>
      <c r="O120" s="429" t="str">
        <f t="shared" si="97"/>
        <v/>
      </c>
      <c r="P120" s="428" t="str">
        <f t="shared" si="75"/>
        <v/>
      </c>
      <c r="Q120" s="428" t="str">
        <f t="shared" si="98"/>
        <v/>
      </c>
      <c r="R120" s="429" t="str">
        <f t="shared" si="76"/>
        <v/>
      </c>
      <c r="S120" s="429" t="str">
        <f t="shared" si="99"/>
        <v/>
      </c>
      <c r="T120" s="428" t="str">
        <f t="shared" si="77"/>
        <v/>
      </c>
      <c r="U120" s="428" t="str">
        <f t="shared" si="100"/>
        <v/>
      </c>
      <c r="V120" s="429" t="str">
        <f t="shared" si="78"/>
        <v/>
      </c>
      <c r="W120" s="429" t="str">
        <f t="shared" si="101"/>
        <v/>
      </c>
      <c r="X120" s="428" t="str">
        <f t="shared" si="79"/>
        <v/>
      </c>
      <c r="Y120" s="428" t="str">
        <f t="shared" si="102"/>
        <v/>
      </c>
      <c r="Z120" s="429" t="str">
        <f t="shared" si="80"/>
        <v/>
      </c>
      <c r="AA120" s="429" t="str">
        <f t="shared" si="103"/>
        <v/>
      </c>
      <c r="AB120" s="428" t="str">
        <f t="shared" si="81"/>
        <v/>
      </c>
      <c r="AC120" s="428" t="str">
        <f t="shared" si="104"/>
        <v/>
      </c>
      <c r="AD120" s="429" t="str">
        <f t="shared" si="82"/>
        <v/>
      </c>
      <c r="AE120" s="429" t="str">
        <f t="shared" si="105"/>
        <v/>
      </c>
      <c r="AF120" s="428" t="str">
        <f t="shared" si="83"/>
        <v/>
      </c>
      <c r="AG120" s="428" t="str">
        <f t="shared" si="106"/>
        <v/>
      </c>
      <c r="AH120" s="429" t="str">
        <f t="shared" si="84"/>
        <v/>
      </c>
      <c r="AI120" s="429" t="str">
        <f t="shared" si="107"/>
        <v/>
      </c>
      <c r="AJ120" s="428" t="str">
        <f t="shared" si="85"/>
        <v/>
      </c>
      <c r="AK120" s="428" t="str">
        <f t="shared" si="108"/>
        <v/>
      </c>
      <c r="AL120" s="429" t="str">
        <f t="shared" si="86"/>
        <v/>
      </c>
      <c r="AM120" s="429" t="str">
        <f t="shared" si="109"/>
        <v/>
      </c>
      <c r="AN120" s="428" t="str">
        <f t="shared" si="87"/>
        <v/>
      </c>
      <c r="AO120" s="428" t="str">
        <f t="shared" si="110"/>
        <v/>
      </c>
      <c r="AP120" s="429" t="str">
        <f t="shared" si="88"/>
        <v/>
      </c>
      <c r="AQ120" s="429" t="str">
        <f t="shared" si="111"/>
        <v/>
      </c>
      <c r="AR120" s="428" t="str">
        <f t="shared" si="89"/>
        <v/>
      </c>
      <c r="AS120" s="428" t="str">
        <f t="shared" si="112"/>
        <v/>
      </c>
      <c r="AT120" s="429" t="str">
        <f t="shared" si="90"/>
        <v/>
      </c>
      <c r="AU120" s="429" t="str">
        <f t="shared" si="93"/>
        <v/>
      </c>
      <c r="AV120" s="419" t="str">
        <f t="shared" si="91"/>
        <v/>
      </c>
      <c r="AW120" s="92" t="str">
        <f t="shared" si="92"/>
        <v/>
      </c>
      <c r="BB120" s="186" t="str">
        <f t="shared" si="94"/>
        <v/>
      </c>
      <c r="BC120" s="186" t="str">
        <f t="shared" si="94"/>
        <v/>
      </c>
      <c r="BE120" s="188">
        <f t="shared" si="95"/>
        <v>0</v>
      </c>
    </row>
    <row r="121" spans="2:57" x14ac:dyDescent="0.25">
      <c r="B121" s="57" t="str">
        <f t="shared" si="68"/>
        <v/>
      </c>
      <c r="C121" s="421" t="str">
        <f>IF('תנאי סף'!AO121&lt;&gt;1,"",'תנאי סף'!F121)</f>
        <v/>
      </c>
      <c r="D121" s="91" t="str">
        <f>IF($C121="","",IF(ייצוב!Y121="",$BA$1,ייצוב!Y121))</f>
        <v/>
      </c>
      <c r="E121" s="165"/>
      <c r="F121" s="91" t="str">
        <f>IF($C121="","",IF(ייצוב!G121="",$BA$1,ייצוב!G121))</f>
        <v/>
      </c>
      <c r="G121" s="426" t="str">
        <f>'סיכום לועדה- הזנת נתונים'!G121</f>
        <v/>
      </c>
      <c r="H121" s="267" t="str">
        <f t="shared" si="69"/>
        <v/>
      </c>
      <c r="I121" s="426" t="str">
        <f t="shared" si="70"/>
        <v/>
      </c>
      <c r="J121" s="427" t="str">
        <f t="shared" si="71"/>
        <v/>
      </c>
      <c r="K121" s="427" t="str">
        <f t="shared" si="72"/>
        <v/>
      </c>
      <c r="L121" s="428" t="str">
        <f t="shared" si="73"/>
        <v/>
      </c>
      <c r="M121" s="428" t="str">
        <f t="shared" si="96"/>
        <v/>
      </c>
      <c r="N121" s="429" t="str">
        <f t="shared" si="74"/>
        <v/>
      </c>
      <c r="O121" s="429" t="str">
        <f t="shared" si="97"/>
        <v/>
      </c>
      <c r="P121" s="428" t="str">
        <f t="shared" si="75"/>
        <v/>
      </c>
      <c r="Q121" s="428" t="str">
        <f t="shared" si="98"/>
        <v/>
      </c>
      <c r="R121" s="429" t="str">
        <f t="shared" si="76"/>
        <v/>
      </c>
      <c r="S121" s="429" t="str">
        <f t="shared" si="99"/>
        <v/>
      </c>
      <c r="T121" s="428" t="str">
        <f t="shared" si="77"/>
        <v/>
      </c>
      <c r="U121" s="428" t="str">
        <f t="shared" si="100"/>
        <v/>
      </c>
      <c r="V121" s="429" t="str">
        <f t="shared" si="78"/>
        <v/>
      </c>
      <c r="W121" s="429" t="str">
        <f t="shared" si="101"/>
        <v/>
      </c>
      <c r="X121" s="428" t="str">
        <f t="shared" si="79"/>
        <v/>
      </c>
      <c r="Y121" s="428" t="str">
        <f t="shared" si="102"/>
        <v/>
      </c>
      <c r="Z121" s="429" t="str">
        <f t="shared" si="80"/>
        <v/>
      </c>
      <c r="AA121" s="429" t="str">
        <f t="shared" si="103"/>
        <v/>
      </c>
      <c r="AB121" s="428" t="str">
        <f t="shared" si="81"/>
        <v/>
      </c>
      <c r="AC121" s="428" t="str">
        <f t="shared" si="104"/>
        <v/>
      </c>
      <c r="AD121" s="429" t="str">
        <f t="shared" si="82"/>
        <v/>
      </c>
      <c r="AE121" s="429" t="str">
        <f t="shared" si="105"/>
        <v/>
      </c>
      <c r="AF121" s="428" t="str">
        <f t="shared" si="83"/>
        <v/>
      </c>
      <c r="AG121" s="428" t="str">
        <f t="shared" si="106"/>
        <v/>
      </c>
      <c r="AH121" s="429" t="str">
        <f t="shared" si="84"/>
        <v/>
      </c>
      <c r="AI121" s="429" t="str">
        <f t="shared" si="107"/>
        <v/>
      </c>
      <c r="AJ121" s="428" t="str">
        <f t="shared" si="85"/>
        <v/>
      </c>
      <c r="AK121" s="428" t="str">
        <f t="shared" si="108"/>
        <v/>
      </c>
      <c r="AL121" s="429" t="str">
        <f t="shared" si="86"/>
        <v/>
      </c>
      <c r="AM121" s="429" t="str">
        <f t="shared" si="109"/>
        <v/>
      </c>
      <c r="AN121" s="428" t="str">
        <f t="shared" si="87"/>
        <v/>
      </c>
      <c r="AO121" s="428" t="str">
        <f t="shared" si="110"/>
        <v/>
      </c>
      <c r="AP121" s="429" t="str">
        <f t="shared" si="88"/>
        <v/>
      </c>
      <c r="AQ121" s="429" t="str">
        <f t="shared" si="111"/>
        <v/>
      </c>
      <c r="AR121" s="428" t="str">
        <f t="shared" si="89"/>
        <v/>
      </c>
      <c r="AS121" s="428" t="str">
        <f t="shared" si="112"/>
        <v/>
      </c>
      <c r="AT121" s="429" t="str">
        <f t="shared" si="90"/>
        <v/>
      </c>
      <c r="AU121" s="429" t="str">
        <f t="shared" si="93"/>
        <v/>
      </c>
      <c r="AV121" s="419" t="str">
        <f t="shared" si="91"/>
        <v/>
      </c>
      <c r="AW121" s="92" t="str">
        <f t="shared" si="92"/>
        <v/>
      </c>
      <c r="BB121" s="186" t="str">
        <f t="shared" si="94"/>
        <v/>
      </c>
      <c r="BC121" s="186" t="str">
        <f t="shared" si="94"/>
        <v/>
      </c>
      <c r="BE121" s="188">
        <f t="shared" si="95"/>
        <v>0</v>
      </c>
    </row>
    <row r="122" spans="2:57" x14ac:dyDescent="0.25">
      <c r="B122" s="57" t="str">
        <f t="shared" si="68"/>
        <v/>
      </c>
      <c r="C122" s="421" t="str">
        <f>IF('תנאי סף'!AO122&lt;&gt;1,"",'תנאי סף'!F122)</f>
        <v/>
      </c>
      <c r="D122" s="91" t="str">
        <f>IF($C122="","",IF(ייצוב!Y122="",$BA$1,ייצוב!Y122))</f>
        <v/>
      </c>
      <c r="E122" s="165"/>
      <c r="F122" s="91" t="str">
        <f>IF($C122="","",IF(ייצוב!G122="",$BA$1,ייצוב!G122))</f>
        <v/>
      </c>
      <c r="G122" s="426" t="str">
        <f>'סיכום לועדה- הזנת נתונים'!G122</f>
        <v/>
      </c>
      <c r="H122" s="267" t="str">
        <f t="shared" si="69"/>
        <v/>
      </c>
      <c r="I122" s="426" t="str">
        <f t="shared" si="70"/>
        <v/>
      </c>
      <c r="J122" s="427" t="str">
        <f t="shared" si="71"/>
        <v/>
      </c>
      <c r="K122" s="427" t="str">
        <f t="shared" si="72"/>
        <v/>
      </c>
      <c r="L122" s="428" t="str">
        <f t="shared" si="73"/>
        <v/>
      </c>
      <c r="M122" s="428" t="str">
        <f t="shared" si="96"/>
        <v/>
      </c>
      <c r="N122" s="429" t="str">
        <f t="shared" si="74"/>
        <v/>
      </c>
      <c r="O122" s="429" t="str">
        <f t="shared" si="97"/>
        <v/>
      </c>
      <c r="P122" s="428" t="str">
        <f t="shared" si="75"/>
        <v/>
      </c>
      <c r="Q122" s="428" t="str">
        <f t="shared" si="98"/>
        <v/>
      </c>
      <c r="R122" s="429" t="str">
        <f t="shared" si="76"/>
        <v/>
      </c>
      <c r="S122" s="429" t="str">
        <f t="shared" si="99"/>
        <v/>
      </c>
      <c r="T122" s="428" t="str">
        <f t="shared" si="77"/>
        <v/>
      </c>
      <c r="U122" s="428" t="str">
        <f t="shared" si="100"/>
        <v/>
      </c>
      <c r="V122" s="429" t="str">
        <f t="shared" si="78"/>
        <v/>
      </c>
      <c r="W122" s="429" t="str">
        <f t="shared" si="101"/>
        <v/>
      </c>
      <c r="X122" s="428" t="str">
        <f t="shared" si="79"/>
        <v/>
      </c>
      <c r="Y122" s="428" t="str">
        <f t="shared" si="102"/>
        <v/>
      </c>
      <c r="Z122" s="429" t="str">
        <f t="shared" si="80"/>
        <v/>
      </c>
      <c r="AA122" s="429" t="str">
        <f t="shared" si="103"/>
        <v/>
      </c>
      <c r="AB122" s="428" t="str">
        <f t="shared" si="81"/>
        <v/>
      </c>
      <c r="AC122" s="428" t="str">
        <f t="shared" si="104"/>
        <v/>
      </c>
      <c r="AD122" s="429" t="str">
        <f t="shared" si="82"/>
        <v/>
      </c>
      <c r="AE122" s="429" t="str">
        <f t="shared" si="105"/>
        <v/>
      </c>
      <c r="AF122" s="428" t="str">
        <f t="shared" si="83"/>
        <v/>
      </c>
      <c r="AG122" s="428" t="str">
        <f t="shared" si="106"/>
        <v/>
      </c>
      <c r="AH122" s="429" t="str">
        <f t="shared" si="84"/>
        <v/>
      </c>
      <c r="AI122" s="429" t="str">
        <f t="shared" si="107"/>
        <v/>
      </c>
      <c r="AJ122" s="428" t="str">
        <f t="shared" si="85"/>
        <v/>
      </c>
      <c r="AK122" s="428" t="str">
        <f t="shared" si="108"/>
        <v/>
      </c>
      <c r="AL122" s="429" t="str">
        <f t="shared" si="86"/>
        <v/>
      </c>
      <c r="AM122" s="429" t="str">
        <f t="shared" si="109"/>
        <v/>
      </c>
      <c r="AN122" s="428" t="str">
        <f t="shared" si="87"/>
        <v/>
      </c>
      <c r="AO122" s="428" t="str">
        <f t="shared" si="110"/>
        <v/>
      </c>
      <c r="AP122" s="429" t="str">
        <f t="shared" si="88"/>
        <v/>
      </c>
      <c r="AQ122" s="429" t="str">
        <f t="shared" si="111"/>
        <v/>
      </c>
      <c r="AR122" s="428" t="str">
        <f t="shared" si="89"/>
        <v/>
      </c>
      <c r="AS122" s="428" t="str">
        <f t="shared" si="112"/>
        <v/>
      </c>
      <c r="AT122" s="429" t="str">
        <f t="shared" si="90"/>
        <v/>
      </c>
      <c r="AU122" s="429" t="str">
        <f t="shared" si="93"/>
        <v/>
      </c>
      <c r="AV122" s="419" t="str">
        <f t="shared" si="91"/>
        <v/>
      </c>
      <c r="AW122" s="92" t="str">
        <f t="shared" si="92"/>
        <v/>
      </c>
      <c r="BB122" s="186" t="str">
        <f t="shared" si="94"/>
        <v/>
      </c>
      <c r="BC122" s="186" t="str">
        <f t="shared" si="94"/>
        <v/>
      </c>
      <c r="BE122" s="188">
        <f t="shared" si="95"/>
        <v>0</v>
      </c>
    </row>
    <row r="123" spans="2:57" x14ac:dyDescent="0.25">
      <c r="B123" s="57" t="str">
        <f t="shared" si="68"/>
        <v/>
      </c>
      <c r="C123" s="421" t="str">
        <f>IF('תנאי סף'!AO123&lt;&gt;1,"",'תנאי סף'!F123)</f>
        <v/>
      </c>
      <c r="D123" s="91" t="str">
        <f>IF($C123="","",IF(ייצוב!Y123="",$BA$1,ייצוב!Y123))</f>
        <v/>
      </c>
      <c r="E123" s="165"/>
      <c r="F123" s="91" t="str">
        <f>IF($C123="","",IF(ייצוב!G123="",$BA$1,ייצוב!G123))</f>
        <v/>
      </c>
      <c r="G123" s="426" t="str">
        <f>'סיכום לועדה- הזנת נתונים'!G123</f>
        <v/>
      </c>
      <c r="H123" s="267" t="str">
        <f t="shared" si="69"/>
        <v/>
      </c>
      <c r="I123" s="426" t="str">
        <f t="shared" si="70"/>
        <v/>
      </c>
      <c r="J123" s="427" t="str">
        <f t="shared" si="71"/>
        <v/>
      </c>
      <c r="K123" s="427" t="str">
        <f t="shared" si="72"/>
        <v/>
      </c>
      <c r="L123" s="428" t="str">
        <f t="shared" si="73"/>
        <v/>
      </c>
      <c r="M123" s="428" t="str">
        <f t="shared" si="96"/>
        <v/>
      </c>
      <c r="N123" s="429" t="str">
        <f t="shared" si="74"/>
        <v/>
      </c>
      <c r="O123" s="429" t="str">
        <f t="shared" si="97"/>
        <v/>
      </c>
      <c r="P123" s="428" t="str">
        <f t="shared" si="75"/>
        <v/>
      </c>
      <c r="Q123" s="428" t="str">
        <f t="shared" si="98"/>
        <v/>
      </c>
      <c r="R123" s="429" t="str">
        <f t="shared" si="76"/>
        <v/>
      </c>
      <c r="S123" s="429" t="str">
        <f t="shared" si="99"/>
        <v/>
      </c>
      <c r="T123" s="428" t="str">
        <f t="shared" si="77"/>
        <v/>
      </c>
      <c r="U123" s="428" t="str">
        <f t="shared" si="100"/>
        <v/>
      </c>
      <c r="V123" s="429" t="str">
        <f t="shared" si="78"/>
        <v/>
      </c>
      <c r="W123" s="429" t="str">
        <f t="shared" si="101"/>
        <v/>
      </c>
      <c r="X123" s="428" t="str">
        <f t="shared" si="79"/>
        <v/>
      </c>
      <c r="Y123" s="428" t="str">
        <f t="shared" si="102"/>
        <v/>
      </c>
      <c r="Z123" s="429" t="str">
        <f t="shared" si="80"/>
        <v/>
      </c>
      <c r="AA123" s="429" t="str">
        <f t="shared" si="103"/>
        <v/>
      </c>
      <c r="AB123" s="428" t="str">
        <f t="shared" si="81"/>
        <v/>
      </c>
      <c r="AC123" s="428" t="str">
        <f t="shared" si="104"/>
        <v/>
      </c>
      <c r="AD123" s="429" t="str">
        <f t="shared" si="82"/>
        <v/>
      </c>
      <c r="AE123" s="429" t="str">
        <f t="shared" si="105"/>
        <v/>
      </c>
      <c r="AF123" s="428" t="str">
        <f t="shared" si="83"/>
        <v/>
      </c>
      <c r="AG123" s="428" t="str">
        <f t="shared" si="106"/>
        <v/>
      </c>
      <c r="AH123" s="429" t="str">
        <f t="shared" si="84"/>
        <v/>
      </c>
      <c r="AI123" s="429" t="str">
        <f t="shared" si="107"/>
        <v/>
      </c>
      <c r="AJ123" s="428" t="str">
        <f t="shared" si="85"/>
        <v/>
      </c>
      <c r="AK123" s="428" t="str">
        <f t="shared" si="108"/>
        <v/>
      </c>
      <c r="AL123" s="429" t="str">
        <f t="shared" si="86"/>
        <v/>
      </c>
      <c r="AM123" s="429" t="str">
        <f t="shared" si="109"/>
        <v/>
      </c>
      <c r="AN123" s="428" t="str">
        <f t="shared" si="87"/>
        <v/>
      </c>
      <c r="AO123" s="428" t="str">
        <f t="shared" si="110"/>
        <v/>
      </c>
      <c r="AP123" s="429" t="str">
        <f t="shared" si="88"/>
        <v/>
      </c>
      <c r="AQ123" s="429" t="str">
        <f t="shared" si="111"/>
        <v/>
      </c>
      <c r="AR123" s="428" t="str">
        <f t="shared" si="89"/>
        <v/>
      </c>
      <c r="AS123" s="428" t="str">
        <f t="shared" si="112"/>
        <v/>
      </c>
      <c r="AT123" s="429" t="str">
        <f t="shared" si="90"/>
        <v/>
      </c>
      <c r="AU123" s="429" t="str">
        <f t="shared" si="93"/>
        <v/>
      </c>
      <c r="AV123" s="419" t="str">
        <f t="shared" si="91"/>
        <v/>
      </c>
      <c r="AW123" s="92" t="str">
        <f t="shared" si="92"/>
        <v/>
      </c>
      <c r="BB123" s="186" t="str">
        <f t="shared" si="94"/>
        <v/>
      </c>
      <c r="BC123" s="186" t="str">
        <f t="shared" si="94"/>
        <v/>
      </c>
      <c r="BE123" s="188">
        <f t="shared" si="95"/>
        <v>0</v>
      </c>
    </row>
    <row r="124" spans="2:57" x14ac:dyDescent="0.25">
      <c r="B124" s="57" t="str">
        <f t="shared" si="68"/>
        <v/>
      </c>
      <c r="C124" s="421" t="str">
        <f>IF('תנאי סף'!AO124&lt;&gt;1,"",'תנאי סף'!F124)</f>
        <v/>
      </c>
      <c r="D124" s="91" t="str">
        <f>IF($C124="","",IF(ייצוב!Y124="",$BA$1,ייצוב!Y124))</f>
        <v/>
      </c>
      <c r="E124" s="165"/>
      <c r="F124" s="91" t="str">
        <f>IF($C124="","",IF(ייצוב!G124="",$BA$1,ייצוב!G124))</f>
        <v/>
      </c>
      <c r="G124" s="426" t="str">
        <f>'סיכום לועדה- הזנת נתונים'!G124</f>
        <v/>
      </c>
      <c r="H124" s="267" t="str">
        <f t="shared" si="69"/>
        <v/>
      </c>
      <c r="I124" s="426" t="str">
        <f t="shared" si="70"/>
        <v/>
      </c>
      <c r="J124" s="427" t="str">
        <f t="shared" si="71"/>
        <v/>
      </c>
      <c r="K124" s="427" t="str">
        <f t="shared" si="72"/>
        <v/>
      </c>
      <c r="L124" s="428" t="str">
        <f t="shared" si="73"/>
        <v/>
      </c>
      <c r="M124" s="428" t="str">
        <f t="shared" si="96"/>
        <v/>
      </c>
      <c r="N124" s="429" t="str">
        <f t="shared" si="74"/>
        <v/>
      </c>
      <c r="O124" s="429" t="str">
        <f t="shared" si="97"/>
        <v/>
      </c>
      <c r="P124" s="428" t="str">
        <f t="shared" si="75"/>
        <v/>
      </c>
      <c r="Q124" s="428" t="str">
        <f t="shared" si="98"/>
        <v/>
      </c>
      <c r="R124" s="429" t="str">
        <f t="shared" si="76"/>
        <v/>
      </c>
      <c r="S124" s="429" t="str">
        <f t="shared" si="99"/>
        <v/>
      </c>
      <c r="T124" s="428" t="str">
        <f t="shared" si="77"/>
        <v/>
      </c>
      <c r="U124" s="428" t="str">
        <f t="shared" si="100"/>
        <v/>
      </c>
      <c r="V124" s="429" t="str">
        <f t="shared" si="78"/>
        <v/>
      </c>
      <c r="W124" s="429" t="str">
        <f t="shared" si="101"/>
        <v/>
      </c>
      <c r="X124" s="428" t="str">
        <f t="shared" si="79"/>
        <v/>
      </c>
      <c r="Y124" s="428" t="str">
        <f t="shared" si="102"/>
        <v/>
      </c>
      <c r="Z124" s="429" t="str">
        <f t="shared" si="80"/>
        <v/>
      </c>
      <c r="AA124" s="429" t="str">
        <f t="shared" si="103"/>
        <v/>
      </c>
      <c r="AB124" s="428" t="str">
        <f t="shared" si="81"/>
        <v/>
      </c>
      <c r="AC124" s="428" t="str">
        <f t="shared" si="104"/>
        <v/>
      </c>
      <c r="AD124" s="429" t="str">
        <f t="shared" si="82"/>
        <v/>
      </c>
      <c r="AE124" s="429" t="str">
        <f t="shared" si="105"/>
        <v/>
      </c>
      <c r="AF124" s="428" t="str">
        <f t="shared" si="83"/>
        <v/>
      </c>
      <c r="AG124" s="428" t="str">
        <f t="shared" si="106"/>
        <v/>
      </c>
      <c r="AH124" s="429" t="str">
        <f t="shared" si="84"/>
        <v/>
      </c>
      <c r="AI124" s="429" t="str">
        <f t="shared" si="107"/>
        <v/>
      </c>
      <c r="AJ124" s="428" t="str">
        <f t="shared" si="85"/>
        <v/>
      </c>
      <c r="AK124" s="428" t="str">
        <f t="shared" si="108"/>
        <v/>
      </c>
      <c r="AL124" s="429" t="str">
        <f t="shared" si="86"/>
        <v/>
      </c>
      <c r="AM124" s="429" t="str">
        <f t="shared" si="109"/>
        <v/>
      </c>
      <c r="AN124" s="428" t="str">
        <f t="shared" si="87"/>
        <v/>
      </c>
      <c r="AO124" s="428" t="str">
        <f t="shared" si="110"/>
        <v/>
      </c>
      <c r="AP124" s="429" t="str">
        <f t="shared" si="88"/>
        <v/>
      </c>
      <c r="AQ124" s="429" t="str">
        <f t="shared" si="111"/>
        <v/>
      </c>
      <c r="AR124" s="428" t="str">
        <f t="shared" si="89"/>
        <v/>
      </c>
      <c r="AS124" s="428" t="str">
        <f t="shared" si="112"/>
        <v/>
      </c>
      <c r="AT124" s="429" t="str">
        <f t="shared" si="90"/>
        <v/>
      </c>
      <c r="AU124" s="429" t="str">
        <f t="shared" si="93"/>
        <v/>
      </c>
      <c r="AV124" s="419" t="str">
        <f t="shared" si="91"/>
        <v/>
      </c>
      <c r="AW124" s="92" t="str">
        <f t="shared" si="92"/>
        <v/>
      </c>
      <c r="BB124" s="186" t="str">
        <f t="shared" si="94"/>
        <v/>
      </c>
      <c r="BC124" s="186" t="str">
        <f t="shared" si="94"/>
        <v/>
      </c>
      <c r="BE124" s="188">
        <f t="shared" si="95"/>
        <v>0</v>
      </c>
    </row>
    <row r="125" spans="2:57" x14ac:dyDescent="0.25">
      <c r="B125" s="57" t="str">
        <f t="shared" si="68"/>
        <v/>
      </c>
      <c r="C125" s="421" t="str">
        <f>IF('תנאי סף'!AO125&lt;&gt;1,"",'תנאי סף'!F125)</f>
        <v/>
      </c>
      <c r="D125" s="91" t="str">
        <f>IF($C125="","",IF(ייצוב!Y125="",$BA$1,ייצוב!Y125))</f>
        <v/>
      </c>
      <c r="E125" s="165"/>
      <c r="F125" s="91" t="str">
        <f>IF($C125="","",IF(ייצוב!G125="",$BA$1,ייצוב!G125))</f>
        <v/>
      </c>
      <c r="G125" s="426" t="str">
        <f>'סיכום לועדה- הזנת נתונים'!G125</f>
        <v/>
      </c>
      <c r="H125" s="267" t="str">
        <f t="shared" si="69"/>
        <v/>
      </c>
      <c r="I125" s="426" t="str">
        <f t="shared" si="70"/>
        <v/>
      </c>
      <c r="J125" s="427" t="str">
        <f t="shared" si="71"/>
        <v/>
      </c>
      <c r="K125" s="427" t="str">
        <f t="shared" si="72"/>
        <v/>
      </c>
      <c r="L125" s="428" t="str">
        <f t="shared" si="73"/>
        <v/>
      </c>
      <c r="M125" s="428" t="str">
        <f t="shared" si="96"/>
        <v/>
      </c>
      <c r="N125" s="429" t="str">
        <f t="shared" si="74"/>
        <v/>
      </c>
      <c r="O125" s="429" t="str">
        <f t="shared" si="97"/>
        <v/>
      </c>
      <c r="P125" s="428" t="str">
        <f t="shared" si="75"/>
        <v/>
      </c>
      <c r="Q125" s="428" t="str">
        <f t="shared" si="98"/>
        <v/>
      </c>
      <c r="R125" s="429" t="str">
        <f t="shared" si="76"/>
        <v/>
      </c>
      <c r="S125" s="429" t="str">
        <f t="shared" si="99"/>
        <v/>
      </c>
      <c r="T125" s="428" t="str">
        <f t="shared" si="77"/>
        <v/>
      </c>
      <c r="U125" s="428" t="str">
        <f t="shared" si="100"/>
        <v/>
      </c>
      <c r="V125" s="429" t="str">
        <f t="shared" si="78"/>
        <v/>
      </c>
      <c r="W125" s="429" t="str">
        <f t="shared" si="101"/>
        <v/>
      </c>
      <c r="X125" s="428" t="str">
        <f t="shared" si="79"/>
        <v/>
      </c>
      <c r="Y125" s="428" t="str">
        <f t="shared" si="102"/>
        <v/>
      </c>
      <c r="Z125" s="429" t="str">
        <f t="shared" si="80"/>
        <v/>
      </c>
      <c r="AA125" s="429" t="str">
        <f t="shared" si="103"/>
        <v/>
      </c>
      <c r="AB125" s="428" t="str">
        <f t="shared" si="81"/>
        <v/>
      </c>
      <c r="AC125" s="428" t="str">
        <f t="shared" si="104"/>
        <v/>
      </c>
      <c r="AD125" s="429" t="str">
        <f t="shared" si="82"/>
        <v/>
      </c>
      <c r="AE125" s="429" t="str">
        <f t="shared" si="105"/>
        <v/>
      </c>
      <c r="AF125" s="428" t="str">
        <f t="shared" si="83"/>
        <v/>
      </c>
      <c r="AG125" s="428" t="str">
        <f t="shared" si="106"/>
        <v/>
      </c>
      <c r="AH125" s="429" t="str">
        <f t="shared" si="84"/>
        <v/>
      </c>
      <c r="AI125" s="429" t="str">
        <f t="shared" si="107"/>
        <v/>
      </c>
      <c r="AJ125" s="428" t="str">
        <f t="shared" si="85"/>
        <v/>
      </c>
      <c r="AK125" s="428" t="str">
        <f t="shared" si="108"/>
        <v/>
      </c>
      <c r="AL125" s="429" t="str">
        <f t="shared" si="86"/>
        <v/>
      </c>
      <c r="AM125" s="429" t="str">
        <f t="shared" si="109"/>
        <v/>
      </c>
      <c r="AN125" s="428" t="str">
        <f t="shared" si="87"/>
        <v/>
      </c>
      <c r="AO125" s="428" t="str">
        <f t="shared" si="110"/>
        <v/>
      </c>
      <c r="AP125" s="429" t="str">
        <f t="shared" si="88"/>
        <v/>
      </c>
      <c r="AQ125" s="429" t="str">
        <f t="shared" si="111"/>
        <v/>
      </c>
      <c r="AR125" s="428" t="str">
        <f t="shared" si="89"/>
        <v/>
      </c>
      <c r="AS125" s="428" t="str">
        <f t="shared" si="112"/>
        <v/>
      </c>
      <c r="AT125" s="429" t="str">
        <f t="shared" si="90"/>
        <v/>
      </c>
      <c r="AU125" s="429" t="str">
        <f t="shared" si="93"/>
        <v/>
      </c>
      <c r="AV125" s="419" t="str">
        <f t="shared" si="91"/>
        <v/>
      </c>
      <c r="AW125" s="92" t="str">
        <f t="shared" si="92"/>
        <v/>
      </c>
      <c r="BB125" s="186" t="str">
        <f t="shared" si="94"/>
        <v/>
      </c>
      <c r="BC125" s="186" t="str">
        <f t="shared" si="94"/>
        <v/>
      </c>
      <c r="BE125" s="188">
        <f t="shared" si="95"/>
        <v>0</v>
      </c>
    </row>
    <row r="126" spans="2:57" x14ac:dyDescent="0.25">
      <c r="B126" s="57" t="str">
        <f t="shared" si="68"/>
        <v/>
      </c>
      <c r="C126" s="421" t="str">
        <f>IF('תנאי סף'!AO126&lt;&gt;1,"",'תנאי סף'!F126)</f>
        <v/>
      </c>
      <c r="D126" s="91" t="str">
        <f>IF($C126="","",IF(ייצוב!Y126="",$BA$1,ייצוב!Y126))</f>
        <v/>
      </c>
      <c r="E126" s="165"/>
      <c r="F126" s="91" t="str">
        <f>IF($C126="","",IF(ייצוב!G126="",$BA$1,ייצוב!G126))</f>
        <v/>
      </c>
      <c r="G126" s="426" t="str">
        <f>'סיכום לועדה- הזנת נתונים'!G126</f>
        <v/>
      </c>
      <c r="H126" s="267" t="str">
        <f t="shared" si="69"/>
        <v/>
      </c>
      <c r="I126" s="426" t="str">
        <f t="shared" si="70"/>
        <v/>
      </c>
      <c r="J126" s="427" t="str">
        <f t="shared" si="71"/>
        <v/>
      </c>
      <c r="K126" s="427" t="str">
        <f t="shared" si="72"/>
        <v/>
      </c>
      <c r="L126" s="428" t="str">
        <f t="shared" si="73"/>
        <v/>
      </c>
      <c r="M126" s="428" t="str">
        <f t="shared" si="96"/>
        <v/>
      </c>
      <c r="N126" s="429" t="str">
        <f t="shared" si="74"/>
        <v/>
      </c>
      <c r="O126" s="429" t="str">
        <f t="shared" si="97"/>
        <v/>
      </c>
      <c r="P126" s="428" t="str">
        <f t="shared" si="75"/>
        <v/>
      </c>
      <c r="Q126" s="428" t="str">
        <f t="shared" si="98"/>
        <v/>
      </c>
      <c r="R126" s="429" t="str">
        <f t="shared" si="76"/>
        <v/>
      </c>
      <c r="S126" s="429" t="str">
        <f t="shared" si="99"/>
        <v/>
      </c>
      <c r="T126" s="428" t="str">
        <f t="shared" si="77"/>
        <v/>
      </c>
      <c r="U126" s="428" t="str">
        <f t="shared" si="100"/>
        <v/>
      </c>
      <c r="V126" s="429" t="str">
        <f t="shared" si="78"/>
        <v/>
      </c>
      <c r="W126" s="429" t="str">
        <f t="shared" si="101"/>
        <v/>
      </c>
      <c r="X126" s="428" t="str">
        <f t="shared" si="79"/>
        <v/>
      </c>
      <c r="Y126" s="428" t="str">
        <f t="shared" si="102"/>
        <v/>
      </c>
      <c r="Z126" s="429" t="str">
        <f t="shared" si="80"/>
        <v/>
      </c>
      <c r="AA126" s="429" t="str">
        <f t="shared" si="103"/>
        <v/>
      </c>
      <c r="AB126" s="428" t="str">
        <f t="shared" si="81"/>
        <v/>
      </c>
      <c r="AC126" s="428" t="str">
        <f t="shared" si="104"/>
        <v/>
      </c>
      <c r="AD126" s="429" t="str">
        <f t="shared" si="82"/>
        <v/>
      </c>
      <c r="AE126" s="429" t="str">
        <f t="shared" si="105"/>
        <v/>
      </c>
      <c r="AF126" s="428" t="str">
        <f t="shared" si="83"/>
        <v/>
      </c>
      <c r="AG126" s="428" t="str">
        <f t="shared" si="106"/>
        <v/>
      </c>
      <c r="AH126" s="429" t="str">
        <f t="shared" si="84"/>
        <v/>
      </c>
      <c r="AI126" s="429" t="str">
        <f t="shared" si="107"/>
        <v/>
      </c>
      <c r="AJ126" s="428" t="str">
        <f t="shared" si="85"/>
        <v/>
      </c>
      <c r="AK126" s="428" t="str">
        <f t="shared" si="108"/>
        <v/>
      </c>
      <c r="AL126" s="429" t="str">
        <f t="shared" si="86"/>
        <v/>
      </c>
      <c r="AM126" s="429" t="str">
        <f t="shared" si="109"/>
        <v/>
      </c>
      <c r="AN126" s="428" t="str">
        <f t="shared" si="87"/>
        <v/>
      </c>
      <c r="AO126" s="428" t="str">
        <f t="shared" si="110"/>
        <v/>
      </c>
      <c r="AP126" s="429" t="str">
        <f t="shared" si="88"/>
        <v/>
      </c>
      <c r="AQ126" s="429" t="str">
        <f t="shared" si="111"/>
        <v/>
      </c>
      <c r="AR126" s="428" t="str">
        <f t="shared" si="89"/>
        <v/>
      </c>
      <c r="AS126" s="428" t="str">
        <f t="shared" si="112"/>
        <v/>
      </c>
      <c r="AT126" s="429" t="str">
        <f t="shared" si="90"/>
        <v/>
      </c>
      <c r="AU126" s="429" t="str">
        <f t="shared" si="93"/>
        <v/>
      </c>
      <c r="AV126" s="419" t="str">
        <f t="shared" si="91"/>
        <v/>
      </c>
      <c r="AW126" s="92" t="str">
        <f t="shared" si="92"/>
        <v/>
      </c>
      <c r="BB126" s="186" t="str">
        <f t="shared" si="94"/>
        <v/>
      </c>
      <c r="BC126" s="186" t="str">
        <f t="shared" si="94"/>
        <v/>
      </c>
      <c r="BE126" s="188">
        <f t="shared" si="95"/>
        <v>0</v>
      </c>
    </row>
    <row r="127" spans="2:57" x14ac:dyDescent="0.25">
      <c r="B127" s="57" t="str">
        <f t="shared" si="68"/>
        <v/>
      </c>
      <c r="C127" s="421" t="str">
        <f>IF('תנאי סף'!AO127&lt;&gt;1,"",'תנאי סף'!F127)</f>
        <v/>
      </c>
      <c r="D127" s="91" t="str">
        <f>IF($C127="","",IF(ייצוב!Y127="",$BA$1,ייצוב!Y127))</f>
        <v/>
      </c>
      <c r="E127" s="165"/>
      <c r="F127" s="91" t="str">
        <f>IF($C127="","",IF(ייצוב!G127="",$BA$1,ייצוב!G127))</f>
        <v/>
      </c>
      <c r="G127" s="426" t="str">
        <f>'סיכום לועדה- הזנת נתונים'!G127</f>
        <v/>
      </c>
      <c r="H127" s="267" t="str">
        <f t="shared" si="69"/>
        <v/>
      </c>
      <c r="I127" s="426" t="str">
        <f t="shared" si="70"/>
        <v/>
      </c>
      <c r="J127" s="427" t="str">
        <f>IF($C127="","",IF(I127=1,$F127*$H$6,$D127))</f>
        <v/>
      </c>
      <c r="K127" s="427" t="str">
        <f t="shared" si="72"/>
        <v/>
      </c>
      <c r="L127" s="428" t="str">
        <f>IF($C127="","",IF(K127&lt;$F127*$H$6,1,0))</f>
        <v/>
      </c>
      <c r="M127" s="428" t="str">
        <f t="shared" si="96"/>
        <v/>
      </c>
      <c r="N127" s="429" t="str">
        <f>IF($C127="","",IF(M127=1,$F127*$H$6,$J127))</f>
        <v/>
      </c>
      <c r="O127" s="429" t="str">
        <f t="shared" si="97"/>
        <v/>
      </c>
      <c r="P127" s="428" t="str">
        <f>IF($C127="","",IF(O127&lt;$F127*$H$6,1,0))</f>
        <v/>
      </c>
      <c r="Q127" s="428" t="str">
        <f t="shared" si="98"/>
        <v/>
      </c>
      <c r="R127" s="429" t="str">
        <f>IF($C127="","",IF(Q127=1,$F127*$H$6,$N127))</f>
        <v/>
      </c>
      <c r="S127" s="429" t="str">
        <f t="shared" si="99"/>
        <v/>
      </c>
      <c r="T127" s="428" t="str">
        <f>IF($C127="","",IF(S127&lt;$F127*$H$6,1,0))</f>
        <v/>
      </c>
      <c r="U127" s="428" t="str">
        <f t="shared" si="100"/>
        <v/>
      </c>
      <c r="V127" s="429" t="str">
        <f>IF($C127="","",IF(U127=1,$F127*$H$6,S127))</f>
        <v/>
      </c>
      <c r="W127" s="429" t="str">
        <f t="shared" si="101"/>
        <v/>
      </c>
      <c r="X127" s="428" t="str">
        <f>IF($C127="","",IF(W127&lt;$F127*$H$6,1,0))</f>
        <v/>
      </c>
      <c r="Y127" s="428" t="str">
        <f t="shared" si="102"/>
        <v/>
      </c>
      <c r="Z127" s="429" t="str">
        <f>IF($C127="","",IF(Y127=1,$F127*$H$6,W127))</f>
        <v/>
      </c>
      <c r="AA127" s="429" t="str">
        <f t="shared" si="103"/>
        <v/>
      </c>
      <c r="AB127" s="428" t="str">
        <f>IF($C127="","",IF(AA127&lt;$F127*$H$6,1,0))</f>
        <v/>
      </c>
      <c r="AC127" s="428" t="str">
        <f t="shared" si="104"/>
        <v/>
      </c>
      <c r="AD127" s="429" t="str">
        <f>IF($C127="","",IF(AC127=1,$F127*$H$6,AA127))</f>
        <v/>
      </c>
      <c r="AE127" s="429" t="str">
        <f t="shared" si="105"/>
        <v/>
      </c>
      <c r="AF127" s="428" t="str">
        <f>IF($C127="","",IF(AE127&lt;$F127*$H$6,1,0))</f>
        <v/>
      </c>
      <c r="AG127" s="428" t="str">
        <f t="shared" si="106"/>
        <v/>
      </c>
      <c r="AH127" s="429" t="str">
        <f>IF($C127="","",IF(AG127=1,$F127*$H$6,AE127))</f>
        <v/>
      </c>
      <c r="AI127" s="429" t="str">
        <f t="shared" si="107"/>
        <v/>
      </c>
      <c r="AJ127" s="428" t="str">
        <f>IF($C127="","",IF(AI127&lt;$F127*$H$6,1,0))</f>
        <v/>
      </c>
      <c r="AK127" s="428" t="str">
        <f t="shared" si="108"/>
        <v/>
      </c>
      <c r="AL127" s="429" t="str">
        <f>IF($C127="","",IF(AK127=1,$F127*$H$6,AI127))</f>
        <v/>
      </c>
      <c r="AM127" s="429" t="str">
        <f t="shared" si="109"/>
        <v/>
      </c>
      <c r="AN127" s="428" t="str">
        <f>IF($C127="","",IF(AM127&lt;$F127*$H$6,1,0))</f>
        <v/>
      </c>
      <c r="AO127" s="428" t="str">
        <f t="shared" si="110"/>
        <v/>
      </c>
      <c r="AP127" s="429" t="str">
        <f>IF($C127="","",IF(AO127=1,$F127*$H$6,AM127))</f>
        <v/>
      </c>
      <c r="AQ127" s="429" t="str">
        <f t="shared" si="111"/>
        <v/>
      </c>
      <c r="AR127" s="428" t="str">
        <f>IF($C127="","",IF(OR(AQ127&lt;$F127*$H$6,AO127=1,AK127=1,AG127=1,AC127=1,Y127=1,U127=1,Q127=1,M127=1,I127=1),1,0))</f>
        <v/>
      </c>
      <c r="AS127" s="428" t="str">
        <f t="shared" si="112"/>
        <v/>
      </c>
      <c r="AT127" s="429" t="str">
        <f>IF($C127="","",IF(AS127=1,$F127*$H$6,AQ127))</f>
        <v/>
      </c>
      <c r="AU127" s="429" t="str">
        <f t="shared" si="93"/>
        <v/>
      </c>
      <c r="AV127" s="419" t="str">
        <f>IF(C127="","",IFERROR(AU127/SUM($AU$31:$AU$130),$BA$1))</f>
        <v/>
      </c>
      <c r="AW127" s="92" t="str">
        <f>IF(C127="","",IFERROR(AV127*$C$2,$BA$1))</f>
        <v/>
      </c>
      <c r="BB127" s="186" t="str">
        <f t="shared" si="94"/>
        <v/>
      </c>
      <c r="BC127" s="186" t="str">
        <f t="shared" si="94"/>
        <v/>
      </c>
      <c r="BE127" s="188">
        <f t="shared" si="95"/>
        <v>0</v>
      </c>
    </row>
    <row r="128" spans="2:57" x14ac:dyDescent="0.25">
      <c r="B128" s="57" t="str">
        <f t="shared" si="68"/>
        <v/>
      </c>
      <c r="C128" s="421" t="str">
        <f>IF('תנאי סף'!AO128&lt;&gt;1,"",'תנאי סף'!F128)</f>
        <v/>
      </c>
      <c r="D128" s="91" t="str">
        <f>IF($C128="","",IF(ייצוב!Y128="",$BA$1,ייצוב!Y128))</f>
        <v/>
      </c>
      <c r="E128" s="165"/>
      <c r="F128" s="91" t="str">
        <f>IF($C128="","",IF(ייצוב!G128="",$BA$1,ייצוב!G128))</f>
        <v/>
      </c>
      <c r="G128" s="426" t="str">
        <f>'סיכום לועדה- הזנת נתונים'!G128</f>
        <v/>
      </c>
      <c r="H128" s="267" t="str">
        <f t="shared" si="69"/>
        <v/>
      </c>
      <c r="I128" s="426" t="str">
        <f t="shared" si="70"/>
        <v/>
      </c>
      <c r="J128" s="427" t="str">
        <f>IF($C128="","",IF(I128=1,$F128*$H$6,$D128))</f>
        <v/>
      </c>
      <c r="K128" s="427" t="str">
        <f t="shared" si="72"/>
        <v/>
      </c>
      <c r="L128" s="428" t="str">
        <f>IF($C128="","",IF(K128&lt;$F128*$H$6,1,0))</f>
        <v/>
      </c>
      <c r="M128" s="428" t="str">
        <f t="shared" si="96"/>
        <v/>
      </c>
      <c r="N128" s="429" t="str">
        <f>IF($C128="","",IF(M128=1,$F128*$H$6,$J128))</f>
        <v/>
      </c>
      <c r="O128" s="429" t="str">
        <f t="shared" si="97"/>
        <v/>
      </c>
      <c r="P128" s="428" t="str">
        <f>IF($C128="","",IF(O128&lt;$F128*$H$6,1,0))</f>
        <v/>
      </c>
      <c r="Q128" s="428" t="str">
        <f t="shared" si="98"/>
        <v/>
      </c>
      <c r="R128" s="429" t="str">
        <f>IF($C128="","",IF(Q128=1,$F128*$H$6,$N128))</f>
        <v/>
      </c>
      <c r="S128" s="429" t="str">
        <f t="shared" si="99"/>
        <v/>
      </c>
      <c r="T128" s="428" t="str">
        <f>IF($C128="","",IF(S128&lt;$F128*$H$6,1,0))</f>
        <v/>
      </c>
      <c r="U128" s="428" t="str">
        <f t="shared" si="100"/>
        <v/>
      </c>
      <c r="V128" s="429" t="str">
        <f>IF($C128="","",IF(U128=1,$F128*$H$6,S128))</f>
        <v/>
      </c>
      <c r="W128" s="429" t="str">
        <f t="shared" si="101"/>
        <v/>
      </c>
      <c r="X128" s="428" t="str">
        <f>IF($C128="","",IF(W128&lt;$F128*$H$6,1,0))</f>
        <v/>
      </c>
      <c r="Y128" s="428" t="str">
        <f t="shared" si="102"/>
        <v/>
      </c>
      <c r="Z128" s="429" t="str">
        <f>IF($C128="","",IF(Y128=1,$F128*$H$6,W128))</f>
        <v/>
      </c>
      <c r="AA128" s="429" t="str">
        <f t="shared" si="103"/>
        <v/>
      </c>
      <c r="AB128" s="428" t="str">
        <f>IF($C128="","",IF(AA128&lt;$F128*$H$6,1,0))</f>
        <v/>
      </c>
      <c r="AC128" s="428" t="str">
        <f t="shared" si="104"/>
        <v/>
      </c>
      <c r="AD128" s="429" t="str">
        <f>IF($C128="","",IF(AC128=1,$F128*$H$6,AA128))</f>
        <v/>
      </c>
      <c r="AE128" s="429" t="str">
        <f t="shared" si="105"/>
        <v/>
      </c>
      <c r="AF128" s="428" t="str">
        <f>IF($C128="","",IF(AE128&lt;$F128*$H$6,1,0))</f>
        <v/>
      </c>
      <c r="AG128" s="428" t="str">
        <f t="shared" si="106"/>
        <v/>
      </c>
      <c r="AH128" s="429" t="str">
        <f>IF($C128="","",IF(AG128=1,$F128*$H$6,AE128))</f>
        <v/>
      </c>
      <c r="AI128" s="429" t="str">
        <f t="shared" si="107"/>
        <v/>
      </c>
      <c r="AJ128" s="428" t="str">
        <f>IF($C128="","",IF(AI128&lt;$F128*$H$6,1,0))</f>
        <v/>
      </c>
      <c r="AK128" s="428" t="str">
        <f t="shared" si="108"/>
        <v/>
      </c>
      <c r="AL128" s="429" t="str">
        <f>IF($C128="","",IF(AK128=1,$F128*$H$6,AI128))</f>
        <v/>
      </c>
      <c r="AM128" s="429" t="str">
        <f t="shared" si="109"/>
        <v/>
      </c>
      <c r="AN128" s="428" t="str">
        <f>IF($C128="","",IF(AM128&lt;$F128*$H$6,1,0))</f>
        <v/>
      </c>
      <c r="AO128" s="428" t="str">
        <f t="shared" si="110"/>
        <v/>
      </c>
      <c r="AP128" s="429" t="str">
        <f>IF($C128="","",IF(AO128=1,$F128*$H$6,AM128))</f>
        <v/>
      </c>
      <c r="AQ128" s="429" t="str">
        <f t="shared" si="111"/>
        <v/>
      </c>
      <c r="AR128" s="428" t="str">
        <f>IF($C128="","",IF(OR(AQ128&lt;$F128*$H$6,AO128=1,AK128=1,AG128=1,AC128=1,Y128=1,U128=1,Q128=1,M128=1,I128=1),1,0))</f>
        <v/>
      </c>
      <c r="AS128" s="428" t="str">
        <f t="shared" si="112"/>
        <v/>
      </c>
      <c r="AT128" s="429" t="str">
        <f>IF($C128="","",IF(AS128=1,$F128*$H$6,AQ128))</f>
        <v/>
      </c>
      <c r="AU128" s="429" t="str">
        <f t="shared" si="93"/>
        <v/>
      </c>
      <c r="AV128" s="419" t="str">
        <f>IF(C128="","",IFERROR(AU128/SUM($AU$31:$AU$130),$BA$1))</f>
        <v/>
      </c>
      <c r="AW128" s="92" t="str">
        <f>IF(C128="","",IFERROR(AV128*$C$2,$BA$1))</f>
        <v/>
      </c>
      <c r="BB128" s="186" t="str">
        <f t="shared" si="94"/>
        <v/>
      </c>
      <c r="BC128" s="186" t="str">
        <f t="shared" si="94"/>
        <v/>
      </c>
      <c r="BE128" s="188">
        <f t="shared" si="95"/>
        <v>0</v>
      </c>
    </row>
    <row r="129" spans="2:57" x14ac:dyDescent="0.25">
      <c r="B129" s="57" t="str">
        <f t="shared" si="68"/>
        <v/>
      </c>
      <c r="C129" s="421" t="str">
        <f>IF('תנאי סף'!AO129&lt;&gt;1,"",'תנאי סף'!F129)</f>
        <v/>
      </c>
      <c r="D129" s="91" t="str">
        <f>IF($C129="","",IF(ייצוב!Y129="",$BA$1,ייצוב!Y129))</f>
        <v/>
      </c>
      <c r="E129" s="165"/>
      <c r="F129" s="91" t="str">
        <f>IF($C129="","",IF(ייצוב!G129="",$BA$1,ייצוב!G129))</f>
        <v/>
      </c>
      <c r="G129" s="426" t="str">
        <f>'סיכום לועדה- הזנת נתונים'!G129</f>
        <v/>
      </c>
      <c r="H129" s="267" t="str">
        <f t="shared" si="69"/>
        <v/>
      </c>
      <c r="I129" s="426" t="str">
        <f t="shared" si="70"/>
        <v/>
      </c>
      <c r="J129" s="427" t="str">
        <f>IF($C129="","",IF(I129=1,$F129*$H$6,$D129))</f>
        <v/>
      </c>
      <c r="K129" s="427" t="str">
        <f t="shared" si="72"/>
        <v/>
      </c>
      <c r="L129" s="428" t="str">
        <f>IF($C129="","",IF(K129&lt;$F129*$H$6,1,0))</f>
        <v/>
      </c>
      <c r="M129" s="428" t="str">
        <f t="shared" si="96"/>
        <v/>
      </c>
      <c r="N129" s="429" t="str">
        <f>IF($C129="","",IF(M129=1,$F129*$H$6,$J129))</f>
        <v/>
      </c>
      <c r="O129" s="429" t="str">
        <f t="shared" si="97"/>
        <v/>
      </c>
      <c r="P129" s="428" t="str">
        <f>IF($C129="","",IF(O129&lt;$F129*$H$6,1,0))</f>
        <v/>
      </c>
      <c r="Q129" s="428" t="str">
        <f t="shared" si="98"/>
        <v/>
      </c>
      <c r="R129" s="429" t="str">
        <f>IF($C129="","",IF(Q129=1,$F129*$H$6,$N129))</f>
        <v/>
      </c>
      <c r="S129" s="429" t="str">
        <f t="shared" si="99"/>
        <v/>
      </c>
      <c r="T129" s="428" t="str">
        <f>IF($C129="","",IF(S129&lt;$F129*$H$6,1,0))</f>
        <v/>
      </c>
      <c r="U129" s="428" t="str">
        <f t="shared" si="100"/>
        <v/>
      </c>
      <c r="V129" s="429" t="str">
        <f>IF($C129="","",IF(U129=1,$F129*$H$6,S129))</f>
        <v/>
      </c>
      <c r="W129" s="429" t="str">
        <f t="shared" si="101"/>
        <v/>
      </c>
      <c r="X129" s="428" t="str">
        <f>IF($C129="","",IF(W129&lt;$F129*$H$6,1,0))</f>
        <v/>
      </c>
      <c r="Y129" s="428" t="str">
        <f t="shared" si="102"/>
        <v/>
      </c>
      <c r="Z129" s="429" t="str">
        <f>IF($C129="","",IF(Y129=1,$F129*$H$6,W129))</f>
        <v/>
      </c>
      <c r="AA129" s="429" t="str">
        <f t="shared" si="103"/>
        <v/>
      </c>
      <c r="AB129" s="428" t="str">
        <f>IF($C129="","",IF(AA129&lt;$F129*$H$6,1,0))</f>
        <v/>
      </c>
      <c r="AC129" s="428" t="str">
        <f t="shared" si="104"/>
        <v/>
      </c>
      <c r="AD129" s="429" t="str">
        <f>IF($C129="","",IF(AC129=1,$F129*$H$6,AA129))</f>
        <v/>
      </c>
      <c r="AE129" s="429" t="str">
        <f t="shared" si="105"/>
        <v/>
      </c>
      <c r="AF129" s="428" t="str">
        <f>IF($C129="","",IF(AE129&lt;$F129*$H$6,1,0))</f>
        <v/>
      </c>
      <c r="AG129" s="428" t="str">
        <f t="shared" si="106"/>
        <v/>
      </c>
      <c r="AH129" s="429" t="str">
        <f>IF($C129="","",IF(AG129=1,$F129*$H$6,AE129))</f>
        <v/>
      </c>
      <c r="AI129" s="429" t="str">
        <f t="shared" si="107"/>
        <v/>
      </c>
      <c r="AJ129" s="428" t="str">
        <f>IF($C129="","",IF(AI129&lt;$F129*$H$6,1,0))</f>
        <v/>
      </c>
      <c r="AK129" s="428" t="str">
        <f t="shared" si="108"/>
        <v/>
      </c>
      <c r="AL129" s="429" t="str">
        <f>IF($C129="","",IF(AK129=1,$F129*$H$6,AI129))</f>
        <v/>
      </c>
      <c r="AM129" s="429" t="str">
        <f t="shared" si="109"/>
        <v/>
      </c>
      <c r="AN129" s="428" t="str">
        <f>IF($C129="","",IF(AM129&lt;$F129*$H$6,1,0))</f>
        <v/>
      </c>
      <c r="AO129" s="428" t="str">
        <f t="shared" si="110"/>
        <v/>
      </c>
      <c r="AP129" s="429" t="str">
        <f>IF($C129="","",IF(AO129=1,$F129*$H$6,AM129))</f>
        <v/>
      </c>
      <c r="AQ129" s="429" t="str">
        <f t="shared" si="111"/>
        <v/>
      </c>
      <c r="AR129" s="428" t="str">
        <f>IF($C129="","",IF(OR(AQ129&lt;$F129*$H$6,AO129=1,AK129=1,AG129=1,AC129=1,Y129=1,U129=1,Q129=1,M129=1,I129=1),1,0))</f>
        <v/>
      </c>
      <c r="AS129" s="428" t="str">
        <f t="shared" si="112"/>
        <v/>
      </c>
      <c r="AT129" s="429" t="str">
        <f>IF($C129="","",IF(AS129=1,$F129*$H$6,AQ129))</f>
        <v/>
      </c>
      <c r="AU129" s="429" t="str">
        <f t="shared" si="93"/>
        <v/>
      </c>
      <c r="AV129" s="419" t="str">
        <f>IF(C129="","",IFERROR(AU129/SUM($AU$31:$AU$130),$BA$1))</f>
        <v/>
      </c>
      <c r="AW129" s="92" t="str">
        <f>IF(C129="","",IFERROR(AV129*$C$2,$BA$1))</f>
        <v/>
      </c>
      <c r="BB129" s="186" t="str">
        <f t="shared" si="94"/>
        <v/>
      </c>
      <c r="BC129" s="186" t="str">
        <f t="shared" si="94"/>
        <v/>
      </c>
      <c r="BE129" s="188">
        <f t="shared" si="95"/>
        <v>0</v>
      </c>
    </row>
    <row r="130" spans="2:57" ht="16.5" thickBot="1" x14ac:dyDescent="0.3">
      <c r="B130" s="376" t="str">
        <f t="shared" si="68"/>
        <v/>
      </c>
      <c r="C130" s="421" t="str">
        <f>IF('תנאי סף'!AO130&lt;&gt;1,"",'תנאי סף'!F130)</f>
        <v/>
      </c>
      <c r="D130" s="91" t="str">
        <f>IF($C130="","",IF(ייצוב!Y130="",$BA$1,ייצוב!Y130))</f>
        <v/>
      </c>
      <c r="E130" s="165"/>
      <c r="F130" s="91" t="str">
        <f>IF($C130="","",IF(ייצוב!G130="",$BA$1,ייצוב!G130))</f>
        <v/>
      </c>
      <c r="G130" s="426" t="str">
        <f>'סיכום לועדה- הזנת נתונים'!G130</f>
        <v/>
      </c>
      <c r="H130" s="268" t="str">
        <f t="shared" si="69"/>
        <v/>
      </c>
      <c r="I130" s="377" t="str">
        <f t="shared" si="70"/>
        <v/>
      </c>
      <c r="J130" s="378" t="str">
        <f>IF($C130="","",IF(I130=1,$F130*$H$6,$D130))</f>
        <v/>
      </c>
      <c r="K130" s="378" t="str">
        <f t="shared" si="72"/>
        <v/>
      </c>
      <c r="L130" s="379" t="str">
        <f>IF($C130="","",IF(K130&lt;$F130*$H$6,1,0))</f>
        <v/>
      </c>
      <c r="M130" s="379" t="str">
        <f t="shared" si="96"/>
        <v/>
      </c>
      <c r="N130" s="380" t="str">
        <f>IF($C130="","",IF(M130=1,$F130*$H$6,$J130))</f>
        <v/>
      </c>
      <c r="O130" s="380" t="str">
        <f t="shared" si="97"/>
        <v/>
      </c>
      <c r="P130" s="379" t="str">
        <f>IF($C130="","",IF(O130&lt;$F130*$H$6,1,0))</f>
        <v/>
      </c>
      <c r="Q130" s="379" t="str">
        <f t="shared" si="98"/>
        <v/>
      </c>
      <c r="R130" s="380" t="str">
        <f>IF($C130="","",IF(Q130=1,$F130*$H$6,$N130))</f>
        <v/>
      </c>
      <c r="S130" s="380" t="str">
        <f t="shared" si="99"/>
        <v/>
      </c>
      <c r="T130" s="379" t="str">
        <f>IF($C130="","",IF(S130&lt;$F130*$H$6,1,0))</f>
        <v/>
      </c>
      <c r="U130" s="379" t="str">
        <f t="shared" si="100"/>
        <v/>
      </c>
      <c r="V130" s="380" t="str">
        <f>IF($C130="","",IF(U130=1,$F130*$H$6,S130))</f>
        <v/>
      </c>
      <c r="W130" s="380" t="str">
        <f t="shared" si="101"/>
        <v/>
      </c>
      <c r="X130" s="379" t="str">
        <f>IF($C130="","",IF(W130&lt;$F130*$H$6,1,0))</f>
        <v/>
      </c>
      <c r="Y130" s="379" t="str">
        <f t="shared" si="102"/>
        <v/>
      </c>
      <c r="Z130" s="380" t="str">
        <f>IF($C130="","",IF(Y130=1,$F130*$H$6,W130))</f>
        <v/>
      </c>
      <c r="AA130" s="380" t="str">
        <f t="shared" si="103"/>
        <v/>
      </c>
      <c r="AB130" s="379" t="str">
        <f>IF($C130="","",IF(AA130&lt;$F130*$H$6,1,0))</f>
        <v/>
      </c>
      <c r="AC130" s="379" t="str">
        <f t="shared" si="104"/>
        <v/>
      </c>
      <c r="AD130" s="380" t="str">
        <f>IF($C130="","",IF(AC130=1,$F130*$H$6,AA130))</f>
        <v/>
      </c>
      <c r="AE130" s="380" t="str">
        <f t="shared" si="105"/>
        <v/>
      </c>
      <c r="AF130" s="379" t="str">
        <f>IF($C130="","",IF(AE130&lt;$F130*$H$6,1,0))</f>
        <v/>
      </c>
      <c r="AG130" s="379" t="str">
        <f t="shared" si="106"/>
        <v/>
      </c>
      <c r="AH130" s="380" t="str">
        <f>IF($C130="","",IF(AG130=1,$F130*$H$6,AE130))</f>
        <v/>
      </c>
      <c r="AI130" s="380" t="str">
        <f t="shared" si="107"/>
        <v/>
      </c>
      <c r="AJ130" s="379" t="str">
        <f>IF($C130="","",IF(AI130&lt;$F130*$H$6,1,0))</f>
        <v/>
      </c>
      <c r="AK130" s="379" t="str">
        <f t="shared" si="108"/>
        <v/>
      </c>
      <c r="AL130" s="380" t="str">
        <f>IF($C130="","",IF(AK130=1,$F130*$H$6,AI130))</f>
        <v/>
      </c>
      <c r="AM130" s="380" t="str">
        <f t="shared" si="109"/>
        <v/>
      </c>
      <c r="AN130" s="379" t="str">
        <f>IF($C130="","",IF(AM130&lt;$F130*$H$6,1,0))</f>
        <v/>
      </c>
      <c r="AO130" s="379" t="str">
        <f t="shared" si="110"/>
        <v/>
      </c>
      <c r="AP130" s="380" t="str">
        <f>IF($C130="","",IF(AO130=1,$F130*$H$6,AM130))</f>
        <v/>
      </c>
      <c r="AQ130" s="380" t="str">
        <f t="shared" si="111"/>
        <v/>
      </c>
      <c r="AR130" s="379" t="str">
        <f>IF($C130="","",IF(OR(AQ130&lt;$F130*$H$6,AO130=1,AK130=1,AG130=1,AC130=1,Y130=1,U130=1,Q130=1,M130=1,I130=1),1,0))</f>
        <v/>
      </c>
      <c r="AS130" s="379" t="str">
        <f t="shared" si="112"/>
        <v/>
      </c>
      <c r="AT130" s="380" t="str">
        <f>IF($C130="","",IF(AS130=1,$F130*$H$6,AQ130))</f>
        <v/>
      </c>
      <c r="AU130" s="429" t="str">
        <f t="shared" si="93"/>
        <v/>
      </c>
      <c r="AV130" s="381" t="str">
        <f>IF(C130="","",IFERROR(AU130/SUM($AU$31:$AU$130),$BA$1))</f>
        <v/>
      </c>
      <c r="AW130" s="382" t="str">
        <f>IF(C130="","",IFERROR(AV130*$C$2,$BA$1))</f>
        <v/>
      </c>
      <c r="BB130" s="186" t="str">
        <f t="shared" si="94"/>
        <v/>
      </c>
      <c r="BC130" s="186" t="str">
        <f t="shared" si="94"/>
        <v/>
      </c>
      <c r="BE130" s="188">
        <f t="shared" si="95"/>
        <v>0</v>
      </c>
    </row>
    <row r="131" spans="2:57" ht="16.5" thickBot="1" x14ac:dyDescent="0.3">
      <c r="B131" s="587" t="s">
        <v>77</v>
      </c>
      <c r="C131" s="604"/>
      <c r="D131" s="93">
        <f>SUM(D31:D130)</f>
        <v>1.0000000000000004</v>
      </c>
      <c r="E131" s="9">
        <f>SUM(E31:E130)-SUMIF(C31:C130,"",E31:E130)</f>
        <v>0</v>
      </c>
      <c r="F131" s="94">
        <f>SUM(F31:F130)</f>
        <v>0.92063368748508378</v>
      </c>
      <c r="G131" s="9">
        <f>SUM(G31:G130)</f>
        <v>35</v>
      </c>
      <c r="H131" s="9">
        <f t="shared" ref="H131:AW131" si="113">SUM(H31:H130)</f>
        <v>2</v>
      </c>
      <c r="I131" s="9">
        <f t="shared" si="113"/>
        <v>0</v>
      </c>
      <c r="J131" s="95">
        <f t="shared" si="113"/>
        <v>1.0000000000000004</v>
      </c>
      <c r="K131" s="95">
        <f t="shared" si="113"/>
        <v>0.99999999999999989</v>
      </c>
      <c r="L131" s="9">
        <f t="shared" si="113"/>
        <v>2</v>
      </c>
      <c r="M131" s="9">
        <f t="shared" si="113"/>
        <v>0</v>
      </c>
      <c r="N131" s="95">
        <f t="shared" si="113"/>
        <v>1.0000000000000004</v>
      </c>
      <c r="O131" s="95">
        <f t="shared" si="113"/>
        <v>0.99999999999999989</v>
      </c>
      <c r="P131" s="9">
        <f t="shared" si="113"/>
        <v>2</v>
      </c>
      <c r="Q131" s="9">
        <f t="shared" si="113"/>
        <v>0</v>
      </c>
      <c r="R131" s="95">
        <f t="shared" si="113"/>
        <v>1.0000000000000004</v>
      </c>
      <c r="S131" s="95">
        <f t="shared" si="113"/>
        <v>0.99999999999999989</v>
      </c>
      <c r="T131" s="9">
        <f t="shared" si="113"/>
        <v>2</v>
      </c>
      <c r="U131" s="9">
        <f t="shared" si="113"/>
        <v>0</v>
      </c>
      <c r="V131" s="95">
        <f t="shared" si="113"/>
        <v>0.99999999999999989</v>
      </c>
      <c r="W131" s="95">
        <f t="shared" si="113"/>
        <v>1.0000000000000002</v>
      </c>
      <c r="X131" s="9">
        <f t="shared" si="113"/>
        <v>2</v>
      </c>
      <c r="Y131" s="9">
        <f t="shared" si="113"/>
        <v>0</v>
      </c>
      <c r="Z131" s="95">
        <f t="shared" si="113"/>
        <v>1.0000000000000002</v>
      </c>
      <c r="AA131" s="95">
        <f t="shared" si="113"/>
        <v>0.99999999999999978</v>
      </c>
      <c r="AB131" s="9">
        <f t="shared" si="113"/>
        <v>2</v>
      </c>
      <c r="AC131" s="9">
        <f t="shared" si="113"/>
        <v>0</v>
      </c>
      <c r="AD131" s="95">
        <f t="shared" si="113"/>
        <v>0.99999999999999978</v>
      </c>
      <c r="AE131" s="95">
        <f t="shared" si="113"/>
        <v>1.0000000000000002</v>
      </c>
      <c r="AF131" s="9">
        <f t="shared" si="113"/>
        <v>2</v>
      </c>
      <c r="AG131" s="9">
        <f t="shared" si="113"/>
        <v>0</v>
      </c>
      <c r="AH131" s="95">
        <f t="shared" si="113"/>
        <v>1.0000000000000002</v>
      </c>
      <c r="AI131" s="95">
        <f t="shared" si="113"/>
        <v>0.99999999999999978</v>
      </c>
      <c r="AJ131" s="9">
        <f t="shared" si="113"/>
        <v>2</v>
      </c>
      <c r="AK131" s="9">
        <f t="shared" si="113"/>
        <v>0</v>
      </c>
      <c r="AL131" s="95">
        <f t="shared" si="113"/>
        <v>0.99999999999999978</v>
      </c>
      <c r="AM131" s="95">
        <f t="shared" si="113"/>
        <v>1.0000000000000002</v>
      </c>
      <c r="AN131" s="9">
        <f t="shared" si="113"/>
        <v>2</v>
      </c>
      <c r="AO131" s="9">
        <f t="shared" si="113"/>
        <v>0</v>
      </c>
      <c r="AP131" s="95">
        <f t="shared" si="113"/>
        <v>1.0000000000000002</v>
      </c>
      <c r="AQ131" s="95">
        <f t="shared" si="113"/>
        <v>0.99999999999999978</v>
      </c>
      <c r="AR131" s="9">
        <f t="shared" si="113"/>
        <v>2</v>
      </c>
      <c r="AS131" s="9">
        <f t="shared" si="113"/>
        <v>0</v>
      </c>
      <c r="AT131" s="95">
        <f t="shared" si="113"/>
        <v>0.99999999999999978</v>
      </c>
      <c r="AU131" s="95">
        <f t="shared" si="113"/>
        <v>1.0000000000000002</v>
      </c>
      <c r="AV131" s="95">
        <f t="shared" si="113"/>
        <v>0.99999999999999978</v>
      </c>
      <c r="AW131" s="96">
        <f t="shared" si="113"/>
        <v>3076367</v>
      </c>
    </row>
  </sheetData>
  <sheetProtection algorithmName="SHA-512" hashValue="3YDAwJrTBkShrT2QifHL9uWS45Svf/umjrU5z0sVzfEyWmLWaLbydESJM+NHx7oe2cHlbs9aKgTiLW+8auMDng==" saltValue="zbL9FAxnTsFwOI4ssbz4Mg==" spinCount="100000" sheet="1" formatCells="0" formatColumns="0" formatRows="0" autoFilter="0"/>
  <mergeCells count="49">
    <mergeCell ref="F5:G5"/>
    <mergeCell ref="F6:G6"/>
    <mergeCell ref="B29:B30"/>
    <mergeCell ref="C29:C30"/>
    <mergeCell ref="D29:D30"/>
    <mergeCell ref="F29:F30"/>
    <mergeCell ref="H29:H30"/>
    <mergeCell ref="I29:I30"/>
    <mergeCell ref="J29:J30"/>
    <mergeCell ref="V29:V30"/>
    <mergeCell ref="K29:K30"/>
    <mergeCell ref="L29:L30"/>
    <mergeCell ref="M29:M30"/>
    <mergeCell ref="N29:N30"/>
    <mergeCell ref="O29:O30"/>
    <mergeCell ref="P29:P30"/>
    <mergeCell ref="Q29:Q30"/>
    <mergeCell ref="R29:R30"/>
    <mergeCell ref="S29:S30"/>
    <mergeCell ref="T29:T30"/>
    <mergeCell ref="U29:U30"/>
    <mergeCell ref="AH29:AH30"/>
    <mergeCell ref="W29:W30"/>
    <mergeCell ref="X29:X30"/>
    <mergeCell ref="Y29:Y30"/>
    <mergeCell ref="Z29:Z30"/>
    <mergeCell ref="AA29:AA30"/>
    <mergeCell ref="AB29:AB30"/>
    <mergeCell ref="AC29:AC30"/>
    <mergeCell ref="AD29:AD30"/>
    <mergeCell ref="AE29:AE30"/>
    <mergeCell ref="AF29:AF30"/>
    <mergeCell ref="AG29:AG30"/>
    <mergeCell ref="AU29:AU30"/>
    <mergeCell ref="AV29:AV30"/>
    <mergeCell ref="AW29:AW30"/>
    <mergeCell ref="B131:C131"/>
    <mergeCell ref="AO29:AO30"/>
    <mergeCell ref="AP29:AP30"/>
    <mergeCell ref="AQ29:AQ30"/>
    <mergeCell ref="AR29:AR30"/>
    <mergeCell ref="AS29:AS30"/>
    <mergeCell ref="AT29:AT30"/>
    <mergeCell ref="AI29:AI30"/>
    <mergeCell ref="AJ29:AJ30"/>
    <mergeCell ref="AK29:AK30"/>
    <mergeCell ref="AL29:AL30"/>
    <mergeCell ref="AM29:AM30"/>
    <mergeCell ref="AN29:AN30"/>
  </mergeCells>
  <conditionalFormatting sqref="B31:F130 H31:AW130">
    <cfRule type="expression" dxfId="78" priority="1" stopIfTrue="1">
      <formula>AND($C31="",B31&lt;&gt;"")</formula>
    </cfRule>
    <cfRule type="expression" dxfId="77" priority="2">
      <formula>$C31=""</formula>
    </cfRule>
    <cfRule type="expression" dxfId="76" priority="3">
      <formula>B$30&lt;&gt;""</formula>
    </cfRule>
  </conditionalFormatting>
  <dataValidations count="2">
    <dataValidation type="decimal" operator="greaterThanOrEqual" allowBlank="1" showInputMessage="1" showErrorMessage="1" errorTitle="נתון שגוי." error="ניתן להזין רק מספר גדול או שווה ל-0." sqref="E31:E130 E6" xr:uid="{00000000-0002-0000-1200-000001000000}">
      <formula1>0</formula1>
    </dataValidation>
    <dataValidation allowBlank="1" showInputMessage="1" showErrorMessage="1" error="יש להזין 0 או 1 _x000a_0  = לא זכאי להגנה_x000a_1 - זכאי להגנה" sqref="G31:G130" xr:uid="{0921960C-AF48-4393-AB9F-2003202D3596}"/>
  </dataValidations>
  <printOptions horizontalCentered="1"/>
  <pageMargins left="0.19685039370078741" right="0.31496062992125984" top="0.5" bottom="0.33" header="0.31496062992125984" footer="0.18"/>
  <pageSetup paperSize="9" scale="35"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5C7C2C76-6799-45AB-A25E-C61414A9786A}">
            <xm:f>NOT(ISERROR(SEARCH($BA$1,B31)))</xm:f>
            <xm:f>$BA$1</xm:f>
            <x14:dxf>
              <fill>
                <patternFill>
                  <bgColor rgb="FFFF0000"/>
                </patternFill>
              </fill>
            </x14:dxf>
          </x14:cfRule>
          <xm:sqref>B31:F130 H31:AW130</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theme="4" tint="-0.249977111117893"/>
  </sheetPr>
  <dimension ref="A1:AJ131"/>
  <sheetViews>
    <sheetView rightToLeft="1" view="pageBreakPreview" topLeftCell="B1" zoomScale="85" zoomScaleNormal="100" zoomScaleSheetLayoutView="85" workbookViewId="0">
      <selection activeCell="B1" sqref="B1"/>
    </sheetView>
  </sheetViews>
  <sheetFormatPr defaultColWidth="9" defaultRowHeight="15.75" x14ac:dyDescent="0.25"/>
  <cols>
    <col min="1" max="1" width="3.42578125" style="189" hidden="1" customWidth="1"/>
    <col min="2" max="2" width="8.28515625" style="189" customWidth="1"/>
    <col min="3" max="3" width="33.5703125" style="189" customWidth="1"/>
    <col min="4" max="4" width="20.140625" style="189" customWidth="1"/>
    <col min="5" max="5" width="12.5703125" style="189" customWidth="1"/>
    <col min="6" max="6" width="13.140625" style="189" customWidth="1"/>
    <col min="7" max="8" width="13" style="189" customWidth="1"/>
    <col min="9" max="9" width="14" style="189" customWidth="1"/>
    <col min="10" max="10" width="12.5703125" style="189" hidden="1" customWidth="1"/>
    <col min="11" max="24" width="5.28515625" style="189" hidden="1" customWidth="1"/>
    <col min="25" max="25" width="12.5703125" style="189" customWidth="1"/>
    <col min="26" max="26" width="15.28515625" style="189" bestFit="1" customWidth="1"/>
    <col min="27" max="31" width="9" style="189" hidden="1" customWidth="1"/>
    <col min="32" max="34" width="8" style="189" hidden="1" customWidth="1"/>
    <col min="35" max="36" width="9" style="189" hidden="1" customWidth="1"/>
    <col min="37" max="200" width="0" style="189" hidden="1" customWidth="1"/>
    <col min="201" max="16384" width="9" style="189"/>
  </cols>
  <sheetData>
    <row r="1" spans="2:34" ht="15.75" customHeight="1" x14ac:dyDescent="0.25">
      <c r="B1" s="249" t="str">
        <f>'פרמטרים לעקרונות חישוב התמיכה'!$B$1</f>
        <v>שנה</v>
      </c>
      <c r="C1" s="1">
        <f>'פרמטרים לעקרונות חישוב התמיכה'!$C$1</f>
        <v>2025</v>
      </c>
      <c r="D1" s="37"/>
      <c r="E1" s="37"/>
      <c r="F1" s="37"/>
      <c r="G1" s="37"/>
      <c r="AH1" s="189" t="s">
        <v>115</v>
      </c>
    </row>
    <row r="2" spans="2:34" ht="35.25" customHeight="1" thickBot="1" x14ac:dyDescent="0.3">
      <c r="B2" s="256" t="str">
        <f>'פרמטרים לעקרונות חישוב התמיכה'!$B$2</f>
        <v>תקציב</v>
      </c>
      <c r="C2" s="2">
        <f>'פרמטרים לעקרונות חישוב התמיכה'!$C$2</f>
        <v>3076367</v>
      </c>
      <c r="D2" s="10"/>
      <c r="E2" s="10"/>
      <c r="F2" s="10"/>
      <c r="G2" s="10"/>
    </row>
    <row r="3" spans="2:34" x14ac:dyDescent="0.25">
      <c r="E3" s="10"/>
      <c r="F3" s="10"/>
    </row>
    <row r="4" spans="2:34" x14ac:dyDescent="0.25">
      <c r="C4" s="611" t="str">
        <f>'פרמטרים לעקרונות חישוב התמיכה'!B42</f>
        <v>מנגנון התוספת בגין הרכב חברי הועדה</v>
      </c>
      <c r="D4" s="612"/>
      <c r="E4" s="10"/>
      <c r="F4" s="10"/>
    </row>
    <row r="5" spans="2:34" ht="68.25" customHeight="1" x14ac:dyDescent="0.25">
      <c r="C5" s="430" t="str">
        <f>'פרמטרים לעקרונות חישוב התמיכה'!B43</f>
        <v>מוסד אשר מספר הנשים החברות בוועד המנהל שלו לעומת כלל חברי הוועד המנהל גדול מ:</v>
      </c>
      <c r="D5" s="430">
        <f>'פרמטרים לעקרונות חישוב התמיכה'!C43</f>
        <v>0.3</v>
      </c>
      <c r="E5" s="10"/>
      <c r="F5" s="10"/>
    </row>
    <row r="6" spans="2:34" x14ac:dyDescent="0.25">
      <c r="C6" s="430" t="str">
        <f>'פרמטרים לעקרונות חישוב התמיכה'!B44</f>
        <v>תגדל התמיכה בו ב:</v>
      </c>
      <c r="D6" s="430">
        <f>'פרמטרים לעקרונות חישוב התמיכה'!C44</f>
        <v>0.02</v>
      </c>
      <c r="E6" s="10"/>
      <c r="F6" s="10"/>
      <c r="AH6" s="189" t="s">
        <v>310</v>
      </c>
    </row>
    <row r="7" spans="2:34" ht="16.5" thickBot="1" x14ac:dyDescent="0.3"/>
    <row r="8" spans="2:34" ht="16.5" hidden="1" thickBot="1" x14ac:dyDescent="0.3"/>
    <row r="9" spans="2:34" ht="16.5" hidden="1" thickBot="1" x14ac:dyDescent="0.3"/>
    <row r="10" spans="2:34" ht="16.5" hidden="1" thickBot="1" x14ac:dyDescent="0.3"/>
    <row r="11" spans="2:34" ht="16.5" hidden="1" thickBot="1" x14ac:dyDescent="0.3"/>
    <row r="12" spans="2:34" ht="16.5" hidden="1" thickBot="1" x14ac:dyDescent="0.3"/>
    <row r="13" spans="2:34" ht="16.5" hidden="1" thickBot="1" x14ac:dyDescent="0.3"/>
    <row r="14" spans="2:34" ht="16.5" hidden="1" thickBot="1" x14ac:dyDescent="0.3"/>
    <row r="15" spans="2:34" ht="16.5" hidden="1" thickBot="1" x14ac:dyDescent="0.3"/>
    <row r="16" spans="2:34" ht="16.5" hidden="1" thickBot="1" x14ac:dyDescent="0.3"/>
    <row r="17" spans="2:34" ht="16.5" hidden="1" thickBot="1" x14ac:dyDescent="0.3"/>
    <row r="18" spans="2:34" ht="16.5" hidden="1" thickBot="1" x14ac:dyDescent="0.3"/>
    <row r="19" spans="2:34" ht="16.5" hidden="1" thickBot="1" x14ac:dyDescent="0.3"/>
    <row r="20" spans="2:34" ht="16.5" hidden="1" thickBot="1" x14ac:dyDescent="0.3"/>
    <row r="21" spans="2:34" ht="16.5" hidden="1" thickBot="1" x14ac:dyDescent="0.3"/>
    <row r="22" spans="2:34" ht="16.5" hidden="1" thickBot="1" x14ac:dyDescent="0.3"/>
    <row r="23" spans="2:34" ht="16.5" hidden="1" thickBot="1" x14ac:dyDescent="0.3"/>
    <row r="24" spans="2:34" ht="16.5" hidden="1" thickBot="1" x14ac:dyDescent="0.3"/>
    <row r="25" spans="2:34" ht="16.5" hidden="1" thickBot="1" x14ac:dyDescent="0.3"/>
    <row r="26" spans="2:34" ht="16.5" hidden="1" thickBot="1" x14ac:dyDescent="0.3"/>
    <row r="27" spans="2:34" ht="16.5" hidden="1" thickBot="1" x14ac:dyDescent="0.3">
      <c r="AH27" s="189">
        <f>IF(SUM(AH31:AH130)=COUNT(AH31:AH130),1,0)</f>
        <v>1</v>
      </c>
    </row>
    <row r="28" spans="2:34" ht="18.75" customHeight="1" thickBot="1" x14ac:dyDescent="0.3">
      <c r="B28" s="613" t="str">
        <f ca="1">MID(CELL("filename",C1),FIND("]",CELL("filename",D1),1)+1,99)</f>
        <v>הרכב חברי הוועדה</v>
      </c>
      <c r="C28" s="614"/>
      <c r="D28" s="614"/>
      <c r="E28" s="614"/>
      <c r="F28" s="614"/>
      <c r="G28" s="614"/>
      <c r="H28" s="614"/>
      <c r="I28" s="614"/>
      <c r="J28" s="614"/>
      <c r="K28" s="614"/>
      <c r="L28" s="614"/>
      <c r="M28" s="614"/>
      <c r="N28" s="614"/>
      <c r="O28" s="614"/>
      <c r="P28" s="614"/>
      <c r="Q28" s="614"/>
      <c r="R28" s="614"/>
      <c r="S28" s="614"/>
      <c r="T28" s="614"/>
      <c r="U28" s="614"/>
      <c r="V28" s="614"/>
      <c r="W28" s="614"/>
      <c r="X28" s="614"/>
      <c r="Y28" s="614"/>
      <c r="Z28" s="615"/>
    </row>
    <row r="29" spans="2:34" ht="62.25" customHeight="1" x14ac:dyDescent="0.25">
      <c r="B29" s="616" t="s">
        <v>219</v>
      </c>
      <c r="C29" s="594" t="s">
        <v>133</v>
      </c>
      <c r="D29" s="618" t="s">
        <v>311</v>
      </c>
      <c r="E29" s="274" t="s">
        <v>312</v>
      </c>
      <c r="F29" s="275" t="s">
        <v>313</v>
      </c>
      <c r="G29" s="618" t="s">
        <v>314</v>
      </c>
      <c r="H29" s="618" t="s">
        <v>315</v>
      </c>
      <c r="I29" s="618" t="s">
        <v>316</v>
      </c>
      <c r="J29" s="276"/>
      <c r="K29" s="276"/>
      <c r="L29" s="276"/>
      <c r="M29" s="276"/>
      <c r="N29" s="276"/>
      <c r="O29" s="276"/>
      <c r="P29" s="276"/>
      <c r="Q29" s="276"/>
      <c r="R29" s="276"/>
      <c r="S29" s="276"/>
      <c r="T29" s="276"/>
      <c r="U29" s="276"/>
      <c r="V29" s="276"/>
      <c r="W29" s="276"/>
      <c r="X29" s="276"/>
      <c r="Y29" s="618" t="s">
        <v>316</v>
      </c>
      <c r="Z29" s="620" t="s">
        <v>317</v>
      </c>
      <c r="AF29" s="585" t="s">
        <v>318</v>
      </c>
      <c r="AG29" s="190"/>
      <c r="AH29" s="187"/>
    </row>
    <row r="30" spans="2:34" ht="32.25" customHeight="1" thickBot="1" x14ac:dyDescent="0.3">
      <c r="B30" s="617"/>
      <c r="C30" s="595"/>
      <c r="D30" s="619"/>
      <c r="E30" s="277" t="s">
        <v>120</v>
      </c>
      <c r="F30" s="277" t="s">
        <v>120</v>
      </c>
      <c r="G30" s="619"/>
      <c r="H30" s="619"/>
      <c r="I30" s="619"/>
      <c r="J30" s="278"/>
      <c r="K30" s="278"/>
      <c r="L30" s="278"/>
      <c r="M30" s="278"/>
      <c r="N30" s="278"/>
      <c r="O30" s="278"/>
      <c r="P30" s="278"/>
      <c r="Q30" s="278"/>
      <c r="R30" s="278"/>
      <c r="S30" s="278"/>
      <c r="T30" s="278"/>
      <c r="U30" s="278"/>
      <c r="V30" s="278"/>
      <c r="W30" s="278"/>
      <c r="X30" s="278"/>
      <c r="Y30" s="619"/>
      <c r="Z30" s="621"/>
      <c r="AE30" s="189" t="s">
        <v>319</v>
      </c>
      <c r="AF30" s="585"/>
      <c r="AG30" s="190" t="s">
        <v>320</v>
      </c>
      <c r="AH30" s="186" t="s">
        <v>263</v>
      </c>
    </row>
    <row r="31" spans="2:34" ht="27.75" customHeight="1" x14ac:dyDescent="0.25">
      <c r="B31" s="80">
        <f>IF(C31="","",ROW()-30)</f>
        <v>1</v>
      </c>
      <c r="C31" s="241" t="str">
        <f>IF('תנאי סף'!AO31&lt;&gt;1,"",'תנאי סף'!F31)</f>
        <v>אנסמבל פרץ אליהו</v>
      </c>
      <c r="D31" s="82">
        <f>הגנה!AV31</f>
        <v>3.4287693138951796E-2</v>
      </c>
      <c r="E31" s="45">
        <v>1</v>
      </c>
      <c r="F31" s="45">
        <v>4</v>
      </c>
      <c r="G31" s="82">
        <f>IF($C31="","",IFERROR(E31/F31,0))</f>
        <v>0.25</v>
      </c>
      <c r="H31" s="279">
        <f>IF($C31="","",IFERROR(IF(G31&gt;=$D$5,1,0),$AH$1))</f>
        <v>0</v>
      </c>
      <c r="I31" s="49">
        <f t="shared" ref="I31:I95" si="0">IF(C31="","",IF(AH31&lt;&gt;1,$AH$1,IFERROR(IF(H31=1,D31*(1+$D$6),D31),"")))</f>
        <v>3.4287693138951796E-2</v>
      </c>
      <c r="J31" s="83"/>
      <c r="K31" s="83"/>
      <c r="L31" s="83"/>
      <c r="M31" s="83"/>
      <c r="N31" s="83"/>
      <c r="O31" s="83"/>
      <c r="P31" s="83"/>
      <c r="Q31" s="83"/>
      <c r="R31" s="83"/>
      <c r="S31" s="83"/>
      <c r="T31" s="83"/>
      <c r="U31" s="83"/>
      <c r="V31" s="83"/>
      <c r="W31" s="83"/>
      <c r="X31" s="83"/>
      <c r="Y31" s="49">
        <f t="shared" ref="Y31:Y62" si="1">IF(C31="","",IF($AH$27&lt;&gt;1,$AH$1,IFERROR(I31/SUMIF($I$31:$I$130,"&lt;&gt;#DIV/0!"),$AH$1)))</f>
        <v>3.4064277583186725E-2</v>
      </c>
      <c r="Z31" s="84">
        <f t="shared" ref="Z31:Z62" si="2">IF(C31="","",IF($AH$27&lt;&gt;1,$AH$1,IFERROR(Y31*$C$2,$AH$1)))</f>
        <v>104794.2194357554</v>
      </c>
      <c r="AE31" s="189">
        <f>IF(D31=$AH$1,0,1)</f>
        <v>1</v>
      </c>
      <c r="AF31" s="187">
        <f>IF(E31="",0,IFERROR(IF(E31*1&gt;=0,1,0),0))</f>
        <v>1</v>
      </c>
      <c r="AG31" s="187">
        <f>IF(F31="",0,IFERROR(IF(OR(F31*1&lt;0,F31*1&lt;E31),0,1),0))</f>
        <v>1</v>
      </c>
      <c r="AH31" s="187">
        <f>IF($C31="",1,IFERROR(IF(SUM(AE31:AG31)=COUNT(AE31:AG31),1,0),0))</f>
        <v>1</v>
      </c>
    </row>
    <row r="32" spans="2:34" ht="27.75" customHeight="1" x14ac:dyDescent="0.25">
      <c r="B32" s="80" t="str">
        <f t="shared" ref="B32:B95" si="3">IF(C32="","",ROW()-30)</f>
        <v/>
      </c>
      <c r="C32" s="421" t="str">
        <f>IF('תנאי סף'!AO32&lt;&gt;1,"",'תנאי סף'!F32)</f>
        <v/>
      </c>
      <c r="D32" s="82" t="str">
        <f>הגנה!AV32</f>
        <v/>
      </c>
      <c r="E32" s="45"/>
      <c r="F32" s="45"/>
      <c r="G32" s="82" t="str">
        <f t="shared" ref="G32:G95" si="4">IF($C32="","",IFERROR(E32/F32,0))</f>
        <v/>
      </c>
      <c r="H32" s="279" t="str">
        <f t="shared" ref="H32:H95" si="5">IF($C32="","",IFERROR(IF(G32&gt;=$D$5,1,0),$AH$1))</f>
        <v/>
      </c>
      <c r="I32" s="49" t="str">
        <f t="shared" si="0"/>
        <v/>
      </c>
      <c r="J32" s="83"/>
      <c r="K32" s="83"/>
      <c r="L32" s="83"/>
      <c r="M32" s="83"/>
      <c r="N32" s="83"/>
      <c r="O32" s="83"/>
      <c r="P32" s="83"/>
      <c r="Q32" s="83"/>
      <c r="R32" s="83"/>
      <c r="S32" s="83"/>
      <c r="T32" s="83"/>
      <c r="U32" s="83"/>
      <c r="V32" s="83"/>
      <c r="W32" s="83"/>
      <c r="X32" s="83"/>
      <c r="Y32" s="49" t="str">
        <f t="shared" si="1"/>
        <v/>
      </c>
      <c r="Z32" s="84" t="str">
        <f t="shared" si="2"/>
        <v/>
      </c>
      <c r="AE32" s="189">
        <f t="shared" ref="AE32:AE95" si="6">IF(D32=$AH$1,0,1)</f>
        <v>1</v>
      </c>
      <c r="AF32" s="187">
        <f t="shared" ref="AF32:AF95" si="7">IF(E32="",0,IFERROR(IF(E32*1&gt;=0,1,0),0))</f>
        <v>0</v>
      </c>
      <c r="AG32" s="187">
        <f t="shared" ref="AG32:AG95" si="8">IF(F32="",0,IFERROR(IF(OR(F32*1&lt;0,F32*1&lt;E32),0,1),0))</f>
        <v>0</v>
      </c>
      <c r="AH32" s="187">
        <f t="shared" ref="AH32:AH95" si="9">IF($C32="",1,IFERROR(IF(SUM(AE32:AG32)=COUNT(AE32:AG32),1,0),0))</f>
        <v>1</v>
      </c>
    </row>
    <row r="33" spans="2:34" ht="27.75" customHeight="1" x14ac:dyDescent="0.25">
      <c r="B33" s="80" t="str">
        <f t="shared" si="3"/>
        <v/>
      </c>
      <c r="C33" s="421" t="str">
        <f>IF('תנאי סף'!AO33&lt;&gt;1,"",'תנאי סף'!F33)</f>
        <v/>
      </c>
      <c r="D33" s="82" t="str">
        <f>הגנה!AV33</f>
        <v/>
      </c>
      <c r="E33" s="45"/>
      <c r="F33" s="45"/>
      <c r="G33" s="82" t="str">
        <f t="shared" si="4"/>
        <v/>
      </c>
      <c r="H33" s="279" t="str">
        <f t="shared" si="5"/>
        <v/>
      </c>
      <c r="I33" s="49" t="str">
        <f t="shared" si="0"/>
        <v/>
      </c>
      <c r="J33" s="83"/>
      <c r="K33" s="83"/>
      <c r="L33" s="83"/>
      <c r="M33" s="83"/>
      <c r="N33" s="83"/>
      <c r="O33" s="83"/>
      <c r="P33" s="83"/>
      <c r="Q33" s="83"/>
      <c r="R33" s="83"/>
      <c r="S33" s="83"/>
      <c r="T33" s="83"/>
      <c r="U33" s="83"/>
      <c r="V33" s="83"/>
      <c r="W33" s="83"/>
      <c r="X33" s="83"/>
      <c r="Y33" s="49" t="str">
        <f t="shared" si="1"/>
        <v/>
      </c>
      <c r="Z33" s="84" t="str">
        <f t="shared" si="2"/>
        <v/>
      </c>
      <c r="AE33" s="189">
        <f t="shared" si="6"/>
        <v>1</v>
      </c>
      <c r="AF33" s="187">
        <f t="shared" si="7"/>
        <v>0</v>
      </c>
      <c r="AG33" s="187">
        <f t="shared" si="8"/>
        <v>0</v>
      </c>
      <c r="AH33" s="187">
        <f t="shared" si="9"/>
        <v>1</v>
      </c>
    </row>
    <row r="34" spans="2:34" ht="27.75" customHeight="1" x14ac:dyDescent="0.25">
      <c r="B34" s="80">
        <f t="shared" si="3"/>
        <v>4</v>
      </c>
      <c r="C34" s="421" t="str">
        <f>IF('תנאי סף'!AO34&lt;&gt;1,"",'תנאי סף'!F34)</f>
        <v>יניב ד'אור - אנסמבל נאיה</v>
      </c>
      <c r="D34" s="82">
        <f>הגנה!AV34</f>
        <v>2.2556690787025581E-2</v>
      </c>
      <c r="E34" s="45">
        <v>1</v>
      </c>
      <c r="F34" s="45">
        <v>4</v>
      </c>
      <c r="G34" s="82">
        <f t="shared" si="4"/>
        <v>0.25</v>
      </c>
      <c r="H34" s="279">
        <f t="shared" si="5"/>
        <v>0</v>
      </c>
      <c r="I34" s="49">
        <f t="shared" si="0"/>
        <v>2.2556690787025581E-2</v>
      </c>
      <c r="J34" s="83"/>
      <c r="K34" s="83"/>
      <c r="L34" s="83"/>
      <c r="M34" s="83"/>
      <c r="N34" s="83"/>
      <c r="O34" s="83"/>
      <c r="P34" s="83"/>
      <c r="Q34" s="83"/>
      <c r="R34" s="83"/>
      <c r="S34" s="83"/>
      <c r="T34" s="83"/>
      <c r="U34" s="83"/>
      <c r="V34" s="83"/>
      <c r="W34" s="83"/>
      <c r="X34" s="83"/>
      <c r="Y34" s="49">
        <f t="shared" si="1"/>
        <v>2.240971339814201E-2</v>
      </c>
      <c r="Z34" s="84">
        <f t="shared" si="2"/>
        <v>68940.502777501941</v>
      </c>
      <c r="AE34" s="189">
        <f t="shared" si="6"/>
        <v>1</v>
      </c>
      <c r="AF34" s="187">
        <f t="shared" si="7"/>
        <v>1</v>
      </c>
      <c r="AG34" s="187">
        <f t="shared" si="8"/>
        <v>1</v>
      </c>
      <c r="AH34" s="187">
        <f t="shared" si="9"/>
        <v>1</v>
      </c>
    </row>
    <row r="35" spans="2:34" ht="27.75" hidden="1" customHeight="1" x14ac:dyDescent="0.25">
      <c r="B35" s="80" t="str">
        <f t="shared" si="3"/>
        <v/>
      </c>
      <c r="C35" s="421" t="str">
        <f>IF('תנאי סף'!AO35&lt;&gt;1,"",'תנאי סף'!F35)</f>
        <v/>
      </c>
      <c r="D35" s="82" t="str">
        <f>הגנה!AV35</f>
        <v/>
      </c>
      <c r="E35" s="45"/>
      <c r="F35" s="45"/>
      <c r="G35" s="82" t="str">
        <f t="shared" si="4"/>
        <v/>
      </c>
      <c r="H35" s="279" t="str">
        <f t="shared" si="5"/>
        <v/>
      </c>
      <c r="I35" s="49" t="str">
        <f t="shared" si="0"/>
        <v/>
      </c>
      <c r="J35" s="83"/>
      <c r="K35" s="83"/>
      <c r="L35" s="83"/>
      <c r="M35" s="83"/>
      <c r="N35" s="83"/>
      <c r="O35" s="83"/>
      <c r="P35" s="83"/>
      <c r="Q35" s="83"/>
      <c r="R35" s="83"/>
      <c r="S35" s="83"/>
      <c r="T35" s="83"/>
      <c r="U35" s="83"/>
      <c r="V35" s="83"/>
      <c r="W35" s="83"/>
      <c r="X35" s="83"/>
      <c r="Y35" s="49" t="str">
        <f t="shared" si="1"/>
        <v/>
      </c>
      <c r="Z35" s="84" t="str">
        <f t="shared" si="2"/>
        <v/>
      </c>
      <c r="AE35" s="189">
        <f t="shared" si="6"/>
        <v>1</v>
      </c>
      <c r="AF35" s="187">
        <f t="shared" si="7"/>
        <v>0</v>
      </c>
      <c r="AG35" s="187">
        <f t="shared" si="8"/>
        <v>0</v>
      </c>
      <c r="AH35" s="187">
        <f t="shared" si="9"/>
        <v>1</v>
      </c>
    </row>
    <row r="36" spans="2:34" ht="27.75" customHeight="1" x14ac:dyDescent="0.25">
      <c r="B36" s="80">
        <f t="shared" si="3"/>
        <v>6</v>
      </c>
      <c r="C36" s="421" t="str">
        <f>IF('תנאי סף'!AO36&lt;&gt;1,"",'תנאי סף'!F36)</f>
        <v>הפרויקט הקאמרי הישראלי</v>
      </c>
      <c r="D36" s="82">
        <f>הגנה!AV36</f>
        <v>2.6868036831799308E-2</v>
      </c>
      <c r="E36" s="45">
        <v>1</v>
      </c>
      <c r="F36" s="45">
        <v>4</v>
      </c>
      <c r="G36" s="82">
        <f t="shared" si="4"/>
        <v>0.25</v>
      </c>
      <c r="H36" s="279">
        <f t="shared" si="5"/>
        <v>0</v>
      </c>
      <c r="I36" s="49">
        <f t="shared" si="0"/>
        <v>2.6868036831799308E-2</v>
      </c>
      <c r="J36" s="83"/>
      <c r="K36" s="83"/>
      <c r="L36" s="83"/>
      <c r="M36" s="83"/>
      <c r="N36" s="83"/>
      <c r="O36" s="83"/>
      <c r="P36" s="83"/>
      <c r="Q36" s="83"/>
      <c r="R36" s="83"/>
      <c r="S36" s="83"/>
      <c r="T36" s="83"/>
      <c r="U36" s="83"/>
      <c r="V36" s="83"/>
      <c r="W36" s="83"/>
      <c r="X36" s="83"/>
      <c r="Y36" s="49">
        <f t="shared" si="1"/>
        <v>2.6692967095939078E-2</v>
      </c>
      <c r="Z36" s="84">
        <f t="shared" si="2"/>
        <v>82117.363106032819</v>
      </c>
      <c r="AE36" s="189">
        <f t="shared" si="6"/>
        <v>1</v>
      </c>
      <c r="AF36" s="187">
        <f t="shared" si="7"/>
        <v>1</v>
      </c>
      <c r="AG36" s="187">
        <f t="shared" si="8"/>
        <v>1</v>
      </c>
      <c r="AH36" s="187">
        <f t="shared" si="9"/>
        <v>1</v>
      </c>
    </row>
    <row r="37" spans="2:34" ht="27.75" customHeight="1" x14ac:dyDescent="0.25">
      <c r="B37" s="80">
        <f t="shared" si="3"/>
        <v>7</v>
      </c>
      <c r="C37" s="421" t="str">
        <f>IF('תנאי סף'!AO37&lt;&gt;1,"",'תנאי סף'!F37)</f>
        <v>מארש דונדורמה</v>
      </c>
      <c r="D37" s="82">
        <f>הגנה!AV37</f>
        <v>4.4791473605795246E-2</v>
      </c>
      <c r="E37" s="45">
        <v>1</v>
      </c>
      <c r="F37" s="45">
        <v>4</v>
      </c>
      <c r="G37" s="82">
        <f t="shared" si="4"/>
        <v>0.25</v>
      </c>
      <c r="H37" s="279">
        <f t="shared" si="5"/>
        <v>0</v>
      </c>
      <c r="I37" s="49">
        <f t="shared" si="0"/>
        <v>4.4791473605795246E-2</v>
      </c>
      <c r="J37" s="83"/>
      <c r="K37" s="83"/>
      <c r="L37" s="83"/>
      <c r="M37" s="83"/>
      <c r="N37" s="83"/>
      <c r="O37" s="83"/>
      <c r="P37" s="83"/>
      <c r="Q37" s="83"/>
      <c r="R37" s="83"/>
      <c r="S37" s="83"/>
      <c r="T37" s="83"/>
      <c r="U37" s="83"/>
      <c r="V37" s="83"/>
      <c r="W37" s="83"/>
      <c r="X37" s="83"/>
      <c r="Y37" s="49">
        <f t="shared" si="1"/>
        <v>4.4499616351688906E-2</v>
      </c>
      <c r="Z37" s="84">
        <f t="shared" si="2"/>
        <v>136897.15125699615</v>
      </c>
      <c r="AE37" s="189">
        <f t="shared" si="6"/>
        <v>1</v>
      </c>
      <c r="AF37" s="187">
        <f t="shared" si="7"/>
        <v>1</v>
      </c>
      <c r="AG37" s="187">
        <f t="shared" si="8"/>
        <v>1</v>
      </c>
      <c r="AH37" s="187">
        <f t="shared" si="9"/>
        <v>1</v>
      </c>
    </row>
    <row r="38" spans="2:34" ht="27.75" customHeight="1" x14ac:dyDescent="0.25">
      <c r="B38" s="80">
        <f t="shared" si="3"/>
        <v>8</v>
      </c>
      <c r="C38" s="421" t="str">
        <f>IF('תנאי סף'!AO38&lt;&gt;1,"",'תנאי סף'!F38)</f>
        <v>להקת מורין נהדר</v>
      </c>
      <c r="D38" s="82">
        <f>הגנה!AV38</f>
        <v>1.0339219310174765E-2</v>
      </c>
      <c r="E38" s="45">
        <v>1</v>
      </c>
      <c r="F38" s="45">
        <v>4</v>
      </c>
      <c r="G38" s="82">
        <f t="shared" si="4"/>
        <v>0.25</v>
      </c>
      <c r="H38" s="279">
        <f t="shared" si="5"/>
        <v>0</v>
      </c>
      <c r="I38" s="49">
        <f t="shared" si="0"/>
        <v>1.0339219310174765E-2</v>
      </c>
      <c r="J38" s="83"/>
      <c r="K38" s="83"/>
      <c r="L38" s="83"/>
      <c r="M38" s="83"/>
      <c r="N38" s="83"/>
      <c r="O38" s="83"/>
      <c r="P38" s="83"/>
      <c r="Q38" s="83"/>
      <c r="R38" s="83"/>
      <c r="S38" s="83"/>
      <c r="T38" s="83"/>
      <c r="U38" s="83"/>
      <c r="V38" s="83"/>
      <c r="W38" s="83"/>
      <c r="X38" s="83"/>
      <c r="Y38" s="49">
        <f t="shared" si="1"/>
        <v>1.0271849877679012E-2</v>
      </c>
      <c r="Z38" s="84">
        <f t="shared" si="2"/>
        <v>31599.979992645749</v>
      </c>
      <c r="AE38" s="189">
        <f t="shared" si="6"/>
        <v>1</v>
      </c>
      <c r="AF38" s="187">
        <f t="shared" si="7"/>
        <v>1</v>
      </c>
      <c r="AG38" s="187">
        <f t="shared" si="8"/>
        <v>1</v>
      </c>
      <c r="AH38" s="187">
        <f t="shared" si="9"/>
        <v>1</v>
      </c>
    </row>
    <row r="39" spans="2:34" ht="27.75" hidden="1" customHeight="1" x14ac:dyDescent="0.25">
      <c r="B39" s="80" t="str">
        <f t="shared" si="3"/>
        <v/>
      </c>
      <c r="C39" s="421" t="str">
        <f>IF('תנאי סף'!AO39&lt;&gt;1,"",'תנאי סף'!F39)</f>
        <v/>
      </c>
      <c r="D39" s="82" t="str">
        <f>הגנה!AV39</f>
        <v/>
      </c>
      <c r="E39" s="45"/>
      <c r="F39" s="45"/>
      <c r="G39" s="82" t="str">
        <f t="shared" si="4"/>
        <v/>
      </c>
      <c r="H39" s="279" t="str">
        <f t="shared" si="5"/>
        <v/>
      </c>
      <c r="I39" s="49" t="str">
        <f t="shared" si="0"/>
        <v/>
      </c>
      <c r="J39" s="83"/>
      <c r="K39" s="83"/>
      <c r="L39" s="83"/>
      <c r="M39" s="83"/>
      <c r="N39" s="83"/>
      <c r="O39" s="83"/>
      <c r="P39" s="83"/>
      <c r="Q39" s="83"/>
      <c r="R39" s="83"/>
      <c r="S39" s="83"/>
      <c r="T39" s="83"/>
      <c r="U39" s="83"/>
      <c r="V39" s="83"/>
      <c r="W39" s="83"/>
      <c r="X39" s="83"/>
      <c r="Y39" s="49" t="str">
        <f t="shared" si="1"/>
        <v/>
      </c>
      <c r="Z39" s="84" t="str">
        <f t="shared" si="2"/>
        <v/>
      </c>
      <c r="AE39" s="189">
        <f t="shared" si="6"/>
        <v>1</v>
      </c>
      <c r="AF39" s="187">
        <f t="shared" si="7"/>
        <v>0</v>
      </c>
      <c r="AG39" s="187">
        <f t="shared" si="8"/>
        <v>0</v>
      </c>
      <c r="AH39" s="187">
        <f t="shared" si="9"/>
        <v>1</v>
      </c>
    </row>
    <row r="40" spans="2:34" ht="27.75" customHeight="1" x14ac:dyDescent="0.25">
      <c r="B40" s="80">
        <f t="shared" si="3"/>
        <v>10</v>
      </c>
      <c r="C40" s="421" t="str">
        <f>IF('תנאי סף'!AO40&lt;&gt;1,"",'תנאי סף'!F40)</f>
        <v>אנסמבל גלעד אפרת</v>
      </c>
      <c r="D40" s="82">
        <f>הגנה!AV40</f>
        <v>2.0836052644528282E-2</v>
      </c>
      <c r="E40" s="45">
        <v>1</v>
      </c>
      <c r="F40" s="45">
        <v>4</v>
      </c>
      <c r="G40" s="82">
        <f t="shared" si="4"/>
        <v>0.25</v>
      </c>
      <c r="H40" s="279">
        <f t="shared" si="5"/>
        <v>0</v>
      </c>
      <c r="I40" s="49">
        <f t="shared" si="0"/>
        <v>2.0836052644528282E-2</v>
      </c>
      <c r="J40" s="83"/>
      <c r="K40" s="83"/>
      <c r="L40" s="83"/>
      <c r="M40" s="83"/>
      <c r="N40" s="83"/>
      <c r="O40" s="83"/>
      <c r="P40" s="83"/>
      <c r="Q40" s="83"/>
      <c r="R40" s="83"/>
      <c r="S40" s="83"/>
      <c r="T40" s="83"/>
      <c r="U40" s="83"/>
      <c r="V40" s="83"/>
      <c r="W40" s="83"/>
      <c r="X40" s="83"/>
      <c r="Y40" s="49">
        <f t="shared" si="1"/>
        <v>2.0700286780588044E-2</v>
      </c>
      <c r="Z40" s="84">
        <f t="shared" si="2"/>
        <v>63681.6791423373</v>
      </c>
      <c r="AE40" s="189">
        <f t="shared" si="6"/>
        <v>1</v>
      </c>
      <c r="AF40" s="187">
        <f t="shared" si="7"/>
        <v>1</v>
      </c>
      <c r="AG40" s="187">
        <f t="shared" si="8"/>
        <v>1</v>
      </c>
      <c r="AH40" s="187">
        <f t="shared" si="9"/>
        <v>1</v>
      </c>
    </row>
    <row r="41" spans="2:34" ht="27.75" customHeight="1" x14ac:dyDescent="0.25">
      <c r="B41" s="80">
        <f t="shared" si="3"/>
        <v>11</v>
      </c>
      <c r="C41" s="421" t="str">
        <f>IF('תנאי סף'!AO41&lt;&gt;1,"",'תנאי סף'!F41)</f>
        <v>רביעיית כרמל</v>
      </c>
      <c r="D41" s="82">
        <f>הגנה!AV41</f>
        <v>4.2669511568340077E-2</v>
      </c>
      <c r="E41" s="45">
        <v>1</v>
      </c>
      <c r="F41" s="45">
        <v>4</v>
      </c>
      <c r="G41" s="82">
        <f t="shared" si="4"/>
        <v>0.25</v>
      </c>
      <c r="H41" s="279">
        <f t="shared" si="5"/>
        <v>0</v>
      </c>
      <c r="I41" s="49">
        <f t="shared" si="0"/>
        <v>4.2669511568340077E-2</v>
      </c>
      <c r="K41" s="83"/>
      <c r="L41" s="83"/>
      <c r="M41" s="83"/>
      <c r="N41" s="83"/>
      <c r="O41" s="83"/>
      <c r="P41" s="83"/>
      <c r="Q41" s="83"/>
      <c r="R41" s="83"/>
      <c r="S41" s="83"/>
      <c r="T41" s="83"/>
      <c r="U41" s="83"/>
      <c r="V41" s="83"/>
      <c r="W41" s="83"/>
      <c r="X41" s="83"/>
      <c r="Y41" s="49">
        <f t="shared" si="1"/>
        <v>4.2391480829945635E-2</v>
      </c>
      <c r="Z41" s="84">
        <f t="shared" si="2"/>
        <v>130411.75270637736</v>
      </c>
      <c r="AE41" s="189">
        <f t="shared" si="6"/>
        <v>1</v>
      </c>
      <c r="AF41" s="187">
        <f t="shared" si="7"/>
        <v>1</v>
      </c>
      <c r="AG41" s="187">
        <f t="shared" si="8"/>
        <v>1</v>
      </c>
      <c r="AH41" s="187">
        <f t="shared" si="9"/>
        <v>1</v>
      </c>
    </row>
    <row r="42" spans="2:34" ht="27.75" customHeight="1" x14ac:dyDescent="0.25">
      <c r="B42" s="80">
        <f t="shared" si="3"/>
        <v>12</v>
      </c>
      <c r="C42" s="421" t="str">
        <f>IF('תנאי סף'!AO42&lt;&gt;1,"",'תנאי סף'!F42)</f>
        <v>שורולה</v>
      </c>
      <c r="D42" s="82">
        <f>הגנה!AV42</f>
        <v>1.2535476762081837E-2</v>
      </c>
      <c r="E42" s="45">
        <v>1</v>
      </c>
      <c r="F42" s="45">
        <v>4</v>
      </c>
      <c r="G42" s="82">
        <f t="shared" si="4"/>
        <v>0.25</v>
      </c>
      <c r="H42" s="279">
        <f t="shared" si="5"/>
        <v>0</v>
      </c>
      <c r="I42" s="49">
        <f t="shared" si="0"/>
        <v>1.2535476762081837E-2</v>
      </c>
      <c r="K42" s="83"/>
      <c r="L42" s="83"/>
      <c r="M42" s="83"/>
      <c r="N42" s="83"/>
      <c r="O42" s="83"/>
      <c r="P42" s="83"/>
      <c r="Q42" s="83"/>
      <c r="R42" s="83"/>
      <c r="S42" s="83"/>
      <c r="T42" s="83"/>
      <c r="U42" s="83"/>
      <c r="V42" s="83"/>
      <c r="W42" s="83"/>
      <c r="X42" s="83"/>
      <c r="Y42" s="49">
        <f t="shared" si="1"/>
        <v>1.2453796711568346E-2</v>
      </c>
      <c r="Z42" s="84">
        <f t="shared" si="2"/>
        <v>38312.449228177378</v>
      </c>
      <c r="AE42" s="189">
        <f t="shared" si="6"/>
        <v>1</v>
      </c>
      <c r="AF42" s="187">
        <f t="shared" si="7"/>
        <v>1</v>
      </c>
      <c r="AG42" s="187">
        <f t="shared" si="8"/>
        <v>1</v>
      </c>
      <c r="AH42" s="187">
        <f t="shared" si="9"/>
        <v>1</v>
      </c>
    </row>
    <row r="43" spans="2:34" ht="27.75" hidden="1" customHeight="1" x14ac:dyDescent="0.25">
      <c r="B43" s="80" t="str">
        <f t="shared" si="3"/>
        <v/>
      </c>
      <c r="C43" s="421" t="str">
        <f>IF('תנאי סף'!AO43&lt;&gt;1,"",'תנאי סף'!F43)</f>
        <v/>
      </c>
      <c r="D43" s="82" t="str">
        <f>הגנה!AV43</f>
        <v/>
      </c>
      <c r="E43" s="45"/>
      <c r="F43" s="45"/>
      <c r="G43" s="82" t="str">
        <f t="shared" si="4"/>
        <v/>
      </c>
      <c r="H43" s="279" t="str">
        <f t="shared" si="5"/>
        <v/>
      </c>
      <c r="I43" s="49" t="str">
        <f t="shared" si="0"/>
        <v/>
      </c>
      <c r="K43" s="83"/>
      <c r="L43" s="83"/>
      <c r="M43" s="83"/>
      <c r="N43" s="83"/>
      <c r="O43" s="83"/>
      <c r="P43" s="83"/>
      <c r="Q43" s="83"/>
      <c r="R43" s="83"/>
      <c r="S43" s="83"/>
      <c r="T43" s="83"/>
      <c r="U43" s="83"/>
      <c r="V43" s="83"/>
      <c r="W43" s="83"/>
      <c r="X43" s="83"/>
      <c r="Y43" s="49" t="str">
        <f t="shared" si="1"/>
        <v/>
      </c>
      <c r="Z43" s="84" t="str">
        <f t="shared" si="2"/>
        <v/>
      </c>
      <c r="AE43" s="189">
        <f t="shared" si="6"/>
        <v>1</v>
      </c>
      <c r="AF43" s="187">
        <f t="shared" si="7"/>
        <v>0</v>
      </c>
      <c r="AG43" s="187">
        <f t="shared" si="8"/>
        <v>0</v>
      </c>
      <c r="AH43" s="187">
        <f t="shared" si="9"/>
        <v>1</v>
      </c>
    </row>
    <row r="44" spans="2:34" ht="27.75" hidden="1" customHeight="1" x14ac:dyDescent="0.25">
      <c r="B44" s="80" t="str">
        <f t="shared" si="3"/>
        <v/>
      </c>
      <c r="C44" s="421" t="str">
        <f>IF('תנאי סף'!AO44&lt;&gt;1,"",'תנאי סף'!F44)</f>
        <v/>
      </c>
      <c r="D44" s="82" t="str">
        <f>הגנה!AV44</f>
        <v/>
      </c>
      <c r="E44" s="45"/>
      <c r="F44" s="45"/>
      <c r="G44" s="82" t="str">
        <f t="shared" si="4"/>
        <v/>
      </c>
      <c r="H44" s="279" t="str">
        <f t="shared" si="5"/>
        <v/>
      </c>
      <c r="I44" s="49" t="str">
        <f t="shared" si="0"/>
        <v/>
      </c>
      <c r="K44" s="83"/>
      <c r="L44" s="83"/>
      <c r="M44" s="83"/>
      <c r="N44" s="83"/>
      <c r="O44" s="83"/>
      <c r="P44" s="83"/>
      <c r="Q44" s="83"/>
      <c r="R44" s="83"/>
      <c r="S44" s="83"/>
      <c r="T44" s="83"/>
      <c r="U44" s="83"/>
      <c r="V44" s="83"/>
      <c r="W44" s="83"/>
      <c r="X44" s="83"/>
      <c r="Y44" s="49" t="str">
        <f t="shared" si="1"/>
        <v/>
      </c>
      <c r="Z44" s="84" t="str">
        <f t="shared" si="2"/>
        <v/>
      </c>
      <c r="AE44" s="189">
        <f t="shared" si="6"/>
        <v>1</v>
      </c>
      <c r="AF44" s="187">
        <f t="shared" si="7"/>
        <v>0</v>
      </c>
      <c r="AG44" s="187">
        <f t="shared" si="8"/>
        <v>0</v>
      </c>
      <c r="AH44" s="187">
        <f t="shared" si="9"/>
        <v>1</v>
      </c>
    </row>
    <row r="45" spans="2:34" ht="27.75" customHeight="1" x14ac:dyDescent="0.25">
      <c r="B45" s="80" t="str">
        <f t="shared" si="3"/>
        <v/>
      </c>
      <c r="C45" s="421" t="str">
        <f>IF('תנאי סף'!AO45&lt;&gt;1,"",'תנאי סף'!F45)</f>
        <v/>
      </c>
      <c r="D45" s="82" t="str">
        <f>הגנה!AV45</f>
        <v/>
      </c>
      <c r="E45" s="45"/>
      <c r="F45" s="45"/>
      <c r="G45" s="82" t="str">
        <f t="shared" si="4"/>
        <v/>
      </c>
      <c r="H45" s="279" t="str">
        <f t="shared" si="5"/>
        <v/>
      </c>
      <c r="I45" s="49" t="str">
        <f t="shared" si="0"/>
        <v/>
      </c>
      <c r="K45" s="83"/>
      <c r="L45" s="83"/>
      <c r="M45" s="83"/>
      <c r="N45" s="83"/>
      <c r="O45" s="83"/>
      <c r="P45" s="83"/>
      <c r="Q45" s="83"/>
      <c r="R45" s="83"/>
      <c r="S45" s="83"/>
      <c r="T45" s="83"/>
      <c r="U45" s="83"/>
      <c r="V45" s="83"/>
      <c r="W45" s="83"/>
      <c r="X45" s="83"/>
      <c r="Y45" s="49" t="str">
        <f t="shared" si="1"/>
        <v/>
      </c>
      <c r="Z45" s="84" t="str">
        <f t="shared" si="2"/>
        <v/>
      </c>
      <c r="AE45" s="189">
        <f t="shared" si="6"/>
        <v>1</v>
      </c>
      <c r="AF45" s="187">
        <f t="shared" si="7"/>
        <v>0</v>
      </c>
      <c r="AG45" s="187">
        <f t="shared" si="8"/>
        <v>0</v>
      </c>
      <c r="AH45" s="187">
        <f t="shared" si="9"/>
        <v>1</v>
      </c>
    </row>
    <row r="46" spans="2:34" ht="27.75" customHeight="1" x14ac:dyDescent="0.25">
      <c r="B46" s="80" t="str">
        <f t="shared" si="3"/>
        <v/>
      </c>
      <c r="C46" s="421" t="str">
        <f>IF('תנאי סף'!AO46&lt;&gt;1,"",'תנאי סף'!F46)</f>
        <v/>
      </c>
      <c r="D46" s="82" t="str">
        <f>הגנה!AV46</f>
        <v/>
      </c>
      <c r="E46" s="45"/>
      <c r="F46" s="45"/>
      <c r="G46" s="82" t="str">
        <f t="shared" si="4"/>
        <v/>
      </c>
      <c r="H46" s="279" t="str">
        <f t="shared" si="5"/>
        <v/>
      </c>
      <c r="I46" s="49" t="str">
        <f t="shared" si="0"/>
        <v/>
      </c>
      <c r="K46" s="83"/>
      <c r="L46" s="83"/>
      <c r="M46" s="83"/>
      <c r="N46" s="83"/>
      <c r="O46" s="83"/>
      <c r="P46" s="83"/>
      <c r="Q46" s="83"/>
      <c r="R46" s="83"/>
      <c r="S46" s="83"/>
      <c r="T46" s="83"/>
      <c r="U46" s="83"/>
      <c r="V46" s="83"/>
      <c r="W46" s="83"/>
      <c r="X46" s="83"/>
      <c r="Y46" s="49" t="str">
        <f t="shared" si="1"/>
        <v/>
      </c>
      <c r="Z46" s="84" t="str">
        <f t="shared" si="2"/>
        <v/>
      </c>
      <c r="AE46" s="189">
        <f t="shared" si="6"/>
        <v>1</v>
      </c>
      <c r="AF46" s="187">
        <f t="shared" si="7"/>
        <v>0</v>
      </c>
      <c r="AG46" s="187">
        <f t="shared" si="8"/>
        <v>0</v>
      </c>
      <c r="AH46" s="187">
        <f t="shared" si="9"/>
        <v>1</v>
      </c>
    </row>
    <row r="47" spans="2:34" ht="27.75" customHeight="1" x14ac:dyDescent="0.25">
      <c r="B47" s="80">
        <f t="shared" si="3"/>
        <v>17</v>
      </c>
      <c r="C47" s="421" t="str">
        <f>IF('תנאי סף'!AO47&lt;&gt;1,"",'תנאי סף'!F47)</f>
        <v>הרכב עמית פרידמן</v>
      </c>
      <c r="D47" s="82">
        <f>הגנה!AV47</f>
        <v>2.4670223090117131E-2</v>
      </c>
      <c r="E47" s="45">
        <v>1</v>
      </c>
      <c r="F47" s="45">
        <v>4</v>
      </c>
      <c r="G47" s="82">
        <f t="shared" si="4"/>
        <v>0.25</v>
      </c>
      <c r="H47" s="279">
        <f t="shared" si="5"/>
        <v>0</v>
      </c>
      <c r="I47" s="49">
        <f t="shared" si="0"/>
        <v>2.4670223090117131E-2</v>
      </c>
      <c r="K47" s="83"/>
      <c r="L47" s="83"/>
      <c r="M47" s="83"/>
      <c r="N47" s="83"/>
      <c r="O47" s="83"/>
      <c r="P47" s="83"/>
      <c r="Q47" s="83"/>
      <c r="R47" s="83"/>
      <c r="S47" s="83"/>
      <c r="T47" s="83"/>
      <c r="U47" s="83"/>
      <c r="V47" s="83"/>
      <c r="W47" s="83"/>
      <c r="X47" s="83"/>
      <c r="Y47" s="49">
        <f t="shared" si="1"/>
        <v>2.4509474112920253E-2</v>
      </c>
      <c r="Z47" s="84">
        <f t="shared" si="2"/>
        <v>75400.137348342134</v>
      </c>
      <c r="AE47" s="189">
        <f t="shared" si="6"/>
        <v>1</v>
      </c>
      <c r="AF47" s="187">
        <f t="shared" si="7"/>
        <v>1</v>
      </c>
      <c r="AG47" s="187">
        <f t="shared" si="8"/>
        <v>1</v>
      </c>
      <c r="AH47" s="187">
        <f t="shared" si="9"/>
        <v>1</v>
      </c>
    </row>
    <row r="48" spans="2:34" ht="27.75" hidden="1" customHeight="1" x14ac:dyDescent="0.25">
      <c r="B48" s="80" t="str">
        <f t="shared" si="3"/>
        <v/>
      </c>
      <c r="C48" s="421" t="str">
        <f>IF('תנאי סף'!AO48&lt;&gt;1,"",'תנאי סף'!F48)</f>
        <v/>
      </c>
      <c r="D48" s="82" t="str">
        <f>הגנה!AV48</f>
        <v/>
      </c>
      <c r="E48" s="45"/>
      <c r="F48" s="45"/>
      <c r="G48" s="82" t="str">
        <f t="shared" si="4"/>
        <v/>
      </c>
      <c r="H48" s="279" t="str">
        <f t="shared" si="5"/>
        <v/>
      </c>
      <c r="I48" s="49" t="str">
        <f t="shared" si="0"/>
        <v/>
      </c>
      <c r="K48" s="83"/>
      <c r="L48" s="83"/>
      <c r="M48" s="83"/>
      <c r="N48" s="83"/>
      <c r="O48" s="83"/>
      <c r="P48" s="83"/>
      <c r="Q48" s="83"/>
      <c r="R48" s="83"/>
      <c r="S48" s="83"/>
      <c r="T48" s="83"/>
      <c r="U48" s="83"/>
      <c r="V48" s="83"/>
      <c r="W48" s="83"/>
      <c r="X48" s="83"/>
      <c r="Y48" s="49" t="str">
        <f t="shared" si="1"/>
        <v/>
      </c>
      <c r="Z48" s="84" t="str">
        <f t="shared" si="2"/>
        <v/>
      </c>
      <c r="AE48" s="189">
        <f t="shared" si="6"/>
        <v>1</v>
      </c>
      <c r="AF48" s="187">
        <f t="shared" si="7"/>
        <v>0</v>
      </c>
      <c r="AG48" s="187">
        <f t="shared" si="8"/>
        <v>0</v>
      </c>
      <c r="AH48" s="187">
        <f t="shared" si="9"/>
        <v>1</v>
      </c>
    </row>
    <row r="49" spans="2:34" ht="27.75" hidden="1" customHeight="1" x14ac:dyDescent="0.25">
      <c r="B49" s="80" t="str">
        <f t="shared" si="3"/>
        <v/>
      </c>
      <c r="C49" s="421" t="str">
        <f>IF('תנאי סף'!AO49&lt;&gt;1,"",'תנאי סף'!F49)</f>
        <v/>
      </c>
      <c r="D49" s="82" t="str">
        <f>הגנה!AV49</f>
        <v/>
      </c>
      <c r="E49" s="45"/>
      <c r="F49" s="45"/>
      <c r="G49" s="82" t="str">
        <f t="shared" si="4"/>
        <v/>
      </c>
      <c r="H49" s="279" t="str">
        <f t="shared" si="5"/>
        <v/>
      </c>
      <c r="I49" s="49" t="str">
        <f t="shared" si="0"/>
        <v/>
      </c>
      <c r="K49" s="83"/>
      <c r="L49" s="83"/>
      <c r="M49" s="83"/>
      <c r="N49" s="83"/>
      <c r="O49" s="83"/>
      <c r="P49" s="83"/>
      <c r="Q49" s="83"/>
      <c r="R49" s="83"/>
      <c r="S49" s="83"/>
      <c r="T49" s="83"/>
      <c r="U49" s="83"/>
      <c r="V49" s="83"/>
      <c r="W49" s="83"/>
      <c r="X49" s="83"/>
      <c r="Y49" s="49" t="str">
        <f t="shared" si="1"/>
        <v/>
      </c>
      <c r="Z49" s="84" t="str">
        <f t="shared" si="2"/>
        <v/>
      </c>
      <c r="AE49" s="189">
        <f t="shared" si="6"/>
        <v>1</v>
      </c>
      <c r="AF49" s="187">
        <f t="shared" si="7"/>
        <v>0</v>
      </c>
      <c r="AG49" s="187">
        <f t="shared" si="8"/>
        <v>0</v>
      </c>
      <c r="AH49" s="187">
        <f t="shared" si="9"/>
        <v>1</v>
      </c>
    </row>
    <row r="50" spans="2:34" ht="27.75" hidden="1" customHeight="1" x14ac:dyDescent="0.25">
      <c r="B50" s="80" t="str">
        <f t="shared" si="3"/>
        <v/>
      </c>
      <c r="C50" s="421" t="str">
        <f>IF('תנאי סף'!AO50&lt;&gt;1,"",'תנאי סף'!F50)</f>
        <v/>
      </c>
      <c r="D50" s="82" t="str">
        <f>הגנה!AV50</f>
        <v/>
      </c>
      <c r="E50" s="45"/>
      <c r="F50" s="45"/>
      <c r="G50" s="82" t="str">
        <f t="shared" si="4"/>
        <v/>
      </c>
      <c r="H50" s="279" t="str">
        <f t="shared" si="5"/>
        <v/>
      </c>
      <c r="I50" s="49" t="str">
        <f t="shared" si="0"/>
        <v/>
      </c>
      <c r="K50" s="83"/>
      <c r="L50" s="83"/>
      <c r="M50" s="83"/>
      <c r="N50" s="83"/>
      <c r="O50" s="83"/>
      <c r="P50" s="83"/>
      <c r="Q50" s="83"/>
      <c r="R50" s="83"/>
      <c r="S50" s="83"/>
      <c r="T50" s="83"/>
      <c r="U50" s="83"/>
      <c r="V50" s="83"/>
      <c r="W50" s="83"/>
      <c r="X50" s="83"/>
      <c r="Y50" s="49" t="str">
        <f t="shared" si="1"/>
        <v/>
      </c>
      <c r="Z50" s="84" t="str">
        <f t="shared" si="2"/>
        <v/>
      </c>
      <c r="AE50" s="189">
        <f t="shared" si="6"/>
        <v>1</v>
      </c>
      <c r="AF50" s="187">
        <f t="shared" si="7"/>
        <v>0</v>
      </c>
      <c r="AG50" s="187">
        <f t="shared" si="8"/>
        <v>0</v>
      </c>
      <c r="AH50" s="187">
        <f t="shared" si="9"/>
        <v>1</v>
      </c>
    </row>
    <row r="51" spans="2:34" ht="27.75" customHeight="1" x14ac:dyDescent="0.25">
      <c r="B51" s="80">
        <f t="shared" si="3"/>
        <v>21</v>
      </c>
      <c r="C51" s="421" t="str">
        <f>IF('תנאי סף'!AO51&lt;&gt;1,"",'תנאי סף'!F51)</f>
        <v>חמישיית תל אביב לכלי נשיפה</v>
      </c>
      <c r="D51" s="82">
        <f>הגנה!AV51</f>
        <v>3.3279755353558024E-2</v>
      </c>
      <c r="E51" s="45">
        <v>1</v>
      </c>
      <c r="F51" s="45">
        <v>4</v>
      </c>
      <c r="G51" s="82">
        <f t="shared" si="4"/>
        <v>0.25</v>
      </c>
      <c r="H51" s="279">
        <f t="shared" si="5"/>
        <v>0</v>
      </c>
      <c r="I51" s="49">
        <f t="shared" si="0"/>
        <v>3.3279755353558024E-2</v>
      </c>
      <c r="K51" s="83"/>
      <c r="L51" s="83"/>
      <c r="M51" s="83"/>
      <c r="N51" s="83"/>
      <c r="O51" s="83"/>
      <c r="P51" s="83"/>
      <c r="Q51" s="83"/>
      <c r="R51" s="83"/>
      <c r="S51" s="83"/>
      <c r="T51" s="83"/>
      <c r="U51" s="83"/>
      <c r="V51" s="83"/>
      <c r="W51" s="83"/>
      <c r="X51" s="83"/>
      <c r="Y51" s="49">
        <f t="shared" si="1"/>
        <v>3.3062907430663084E-2</v>
      </c>
      <c r="Z51" s="84">
        <f t="shared" si="2"/>
        <v>101713.6373437467</v>
      </c>
      <c r="AE51" s="189">
        <f t="shared" si="6"/>
        <v>1</v>
      </c>
      <c r="AF51" s="187">
        <f t="shared" si="7"/>
        <v>1</v>
      </c>
      <c r="AG51" s="187">
        <f t="shared" si="8"/>
        <v>1</v>
      </c>
      <c r="AH51" s="187">
        <f t="shared" si="9"/>
        <v>1</v>
      </c>
    </row>
    <row r="52" spans="2:34" ht="27.75" customHeight="1" x14ac:dyDescent="0.25">
      <c r="B52" s="80">
        <f t="shared" si="3"/>
        <v>22</v>
      </c>
      <c r="C52" s="421" t="str">
        <f>IF('תנאי סף'!AO52&lt;&gt;1,"",'תנאי סף'!F52)</f>
        <v>הרכב אקוט</v>
      </c>
      <c r="D52" s="82">
        <f>הגנה!AV52</f>
        <v>3.8827740995897669E-2</v>
      </c>
      <c r="E52" s="45">
        <v>1</v>
      </c>
      <c r="F52" s="45">
        <v>4</v>
      </c>
      <c r="G52" s="82">
        <f t="shared" si="4"/>
        <v>0.25</v>
      </c>
      <c r="H52" s="279">
        <f t="shared" si="5"/>
        <v>0</v>
      </c>
      <c r="I52" s="49">
        <f t="shared" si="0"/>
        <v>3.8827740995897669E-2</v>
      </c>
      <c r="K52" s="83"/>
      <c r="L52" s="83"/>
      <c r="M52" s="83"/>
      <c r="N52" s="83"/>
      <c r="O52" s="83"/>
      <c r="P52" s="83"/>
      <c r="Q52" s="83"/>
      <c r="R52" s="83"/>
      <c r="S52" s="83"/>
      <c r="T52" s="83"/>
      <c r="U52" s="83"/>
      <c r="V52" s="83"/>
      <c r="W52" s="83"/>
      <c r="X52" s="83"/>
      <c r="Y52" s="49">
        <f t="shared" si="1"/>
        <v>3.8574742892509777E-2</v>
      </c>
      <c r="Z52" s="84">
        <f t="shared" si="2"/>
        <v>118670.06606800163</v>
      </c>
      <c r="AE52" s="189">
        <f t="shared" si="6"/>
        <v>1</v>
      </c>
      <c r="AF52" s="187">
        <f t="shared" si="7"/>
        <v>1</v>
      </c>
      <c r="AG52" s="187">
        <f t="shared" si="8"/>
        <v>1</v>
      </c>
      <c r="AH52" s="187">
        <f t="shared" si="9"/>
        <v>1</v>
      </c>
    </row>
    <row r="53" spans="2:34" ht="27.75" customHeight="1" x14ac:dyDescent="0.25">
      <c r="B53" s="80">
        <f t="shared" si="3"/>
        <v>23</v>
      </c>
      <c r="C53" s="421" t="str">
        <f>IF('תנאי סף'!AO53&lt;&gt;1,"",'תנאי סף'!F53)</f>
        <v>שלישיית עתר</v>
      </c>
      <c r="D53" s="82">
        <f>הגנה!AV53</f>
        <v>2.6539975338912274E-2</v>
      </c>
      <c r="E53" s="45">
        <v>1</v>
      </c>
      <c r="F53" s="45">
        <v>4</v>
      </c>
      <c r="G53" s="82">
        <f t="shared" si="4"/>
        <v>0.25</v>
      </c>
      <c r="H53" s="279">
        <f t="shared" si="5"/>
        <v>0</v>
      </c>
      <c r="I53" s="49">
        <f t="shared" si="0"/>
        <v>2.6539975338912274E-2</v>
      </c>
      <c r="K53" s="83"/>
      <c r="L53" s="83"/>
      <c r="M53" s="83"/>
      <c r="N53" s="83"/>
      <c r="O53" s="83"/>
      <c r="P53" s="83"/>
      <c r="Q53" s="83"/>
      <c r="R53" s="83"/>
      <c r="S53" s="83"/>
      <c r="T53" s="83"/>
      <c r="U53" s="83"/>
      <c r="V53" s="83"/>
      <c r="W53" s="83"/>
      <c r="X53" s="83"/>
      <c r="Y53" s="49">
        <f t="shared" si="1"/>
        <v>2.6367043222531472E-2</v>
      </c>
      <c r="Z53" s="84">
        <f t="shared" si="2"/>
        <v>81114.701657369471</v>
      </c>
      <c r="AE53" s="189">
        <f t="shared" si="6"/>
        <v>1</v>
      </c>
      <c r="AF53" s="187">
        <f t="shared" si="7"/>
        <v>1</v>
      </c>
      <c r="AG53" s="187">
        <f t="shared" si="8"/>
        <v>1</v>
      </c>
      <c r="AH53" s="187">
        <f t="shared" si="9"/>
        <v>1</v>
      </c>
    </row>
    <row r="54" spans="2:34" ht="27.75" customHeight="1" x14ac:dyDescent="0.25">
      <c r="B54" s="80" t="str">
        <f t="shared" si="3"/>
        <v/>
      </c>
      <c r="C54" s="421" t="str">
        <f>IF('תנאי סף'!AO54&lt;&gt;1,"",'תנאי סף'!F54)</f>
        <v/>
      </c>
      <c r="D54" s="82" t="str">
        <f>הגנה!AV54</f>
        <v/>
      </c>
      <c r="E54" s="45"/>
      <c r="F54" s="45"/>
      <c r="G54" s="82" t="str">
        <f t="shared" si="4"/>
        <v/>
      </c>
      <c r="H54" s="279" t="str">
        <f t="shared" si="5"/>
        <v/>
      </c>
      <c r="I54" s="49" t="str">
        <f t="shared" si="0"/>
        <v/>
      </c>
      <c r="K54" s="83"/>
      <c r="L54" s="83"/>
      <c r="M54" s="83"/>
      <c r="N54" s="83"/>
      <c r="O54" s="83"/>
      <c r="P54" s="83"/>
      <c r="Q54" s="83"/>
      <c r="R54" s="83"/>
      <c r="S54" s="83"/>
      <c r="T54" s="83"/>
      <c r="U54" s="83"/>
      <c r="V54" s="83"/>
      <c r="W54" s="83"/>
      <c r="X54" s="83"/>
      <c r="Y54" s="49" t="str">
        <f t="shared" si="1"/>
        <v/>
      </c>
      <c r="Z54" s="84" t="str">
        <f t="shared" si="2"/>
        <v/>
      </c>
      <c r="AE54" s="189">
        <f t="shared" si="6"/>
        <v>1</v>
      </c>
      <c r="AF54" s="187">
        <f t="shared" si="7"/>
        <v>0</v>
      </c>
      <c r="AG54" s="187">
        <f t="shared" si="8"/>
        <v>0</v>
      </c>
      <c r="AH54" s="187">
        <f t="shared" si="9"/>
        <v>1</v>
      </c>
    </row>
    <row r="55" spans="2:34" ht="27.75" hidden="1" customHeight="1" x14ac:dyDescent="0.25">
      <c r="B55" s="80" t="str">
        <f t="shared" si="3"/>
        <v/>
      </c>
      <c r="C55" s="421" t="str">
        <f>IF('תנאי סף'!AO55&lt;&gt;1,"",'תנאי סף'!F55)</f>
        <v/>
      </c>
      <c r="D55" s="82" t="str">
        <f>הגנה!AV55</f>
        <v/>
      </c>
      <c r="E55" s="45"/>
      <c r="F55" s="45"/>
      <c r="G55" s="82" t="str">
        <f t="shared" si="4"/>
        <v/>
      </c>
      <c r="H55" s="279" t="str">
        <f t="shared" si="5"/>
        <v/>
      </c>
      <c r="I55" s="49" t="str">
        <f t="shared" si="0"/>
        <v/>
      </c>
      <c r="K55" s="83"/>
      <c r="L55" s="83"/>
      <c r="M55" s="83"/>
      <c r="N55" s="83"/>
      <c r="O55" s="83"/>
      <c r="P55" s="83"/>
      <c r="Q55" s="83"/>
      <c r="R55" s="83"/>
      <c r="S55" s="83"/>
      <c r="T55" s="83"/>
      <c r="U55" s="83"/>
      <c r="V55" s="83"/>
      <c r="W55" s="83"/>
      <c r="X55" s="83"/>
      <c r="Y55" s="49" t="str">
        <f t="shared" si="1"/>
        <v/>
      </c>
      <c r="Z55" s="84" t="str">
        <f t="shared" si="2"/>
        <v/>
      </c>
      <c r="AE55" s="189">
        <f t="shared" si="6"/>
        <v>1</v>
      </c>
      <c r="AF55" s="187">
        <f t="shared" si="7"/>
        <v>0</v>
      </c>
      <c r="AG55" s="187">
        <f t="shared" si="8"/>
        <v>0</v>
      </c>
      <c r="AH55" s="187">
        <f t="shared" si="9"/>
        <v>1</v>
      </c>
    </row>
    <row r="56" spans="2:34" ht="27.75" customHeight="1" x14ac:dyDescent="0.25">
      <c r="B56" s="80">
        <f t="shared" si="3"/>
        <v>26</v>
      </c>
      <c r="C56" s="421" t="str">
        <f>IF('תנאי סף'!AO56&lt;&gt;1,"",'תנאי סף'!F56)</f>
        <v>אנסמבל מצו</v>
      </c>
      <c r="D56" s="82">
        <f>הגנה!AV56</f>
        <v>2.9917116413481184E-2</v>
      </c>
      <c r="E56" s="45">
        <v>1</v>
      </c>
      <c r="F56" s="45">
        <v>4</v>
      </c>
      <c r="G56" s="82">
        <f t="shared" si="4"/>
        <v>0.25</v>
      </c>
      <c r="H56" s="279">
        <f t="shared" si="5"/>
        <v>0</v>
      </c>
      <c r="I56" s="49">
        <f t="shared" si="0"/>
        <v>2.9917116413481184E-2</v>
      </c>
      <c r="K56" s="83"/>
      <c r="L56" s="83"/>
      <c r="M56" s="83"/>
      <c r="N56" s="83"/>
      <c r="O56" s="83"/>
      <c r="P56" s="83"/>
      <c r="Q56" s="83"/>
      <c r="R56" s="83"/>
      <c r="S56" s="83"/>
      <c r="T56" s="83"/>
      <c r="U56" s="83"/>
      <c r="V56" s="83"/>
      <c r="W56" s="83"/>
      <c r="X56" s="83"/>
      <c r="Y56" s="49">
        <f t="shared" si="1"/>
        <v>2.972217914653472E-2</v>
      </c>
      <c r="Z56" s="84">
        <f t="shared" si="2"/>
        <v>91436.33109448757</v>
      </c>
      <c r="AE56" s="189">
        <f t="shared" si="6"/>
        <v>1</v>
      </c>
      <c r="AF56" s="187">
        <f t="shared" si="7"/>
        <v>1</v>
      </c>
      <c r="AG56" s="187">
        <f t="shared" si="8"/>
        <v>1</v>
      </c>
      <c r="AH56" s="187">
        <f t="shared" si="9"/>
        <v>1</v>
      </c>
    </row>
    <row r="57" spans="2:34" ht="27.75" customHeight="1" x14ac:dyDescent="0.25">
      <c r="B57" s="80" t="str">
        <f t="shared" si="3"/>
        <v/>
      </c>
      <c r="C57" s="421" t="str">
        <f>IF('תנאי סף'!AO57&lt;&gt;1,"",'תנאי סף'!F57)</f>
        <v/>
      </c>
      <c r="D57" s="82" t="str">
        <f>הגנה!AV57</f>
        <v/>
      </c>
      <c r="E57" s="45"/>
      <c r="F57" s="45"/>
      <c r="G57" s="82" t="str">
        <f t="shared" si="4"/>
        <v/>
      </c>
      <c r="H57" s="279" t="str">
        <f t="shared" si="5"/>
        <v/>
      </c>
      <c r="I57" s="49" t="str">
        <f t="shared" si="0"/>
        <v/>
      </c>
      <c r="K57" s="83"/>
      <c r="L57" s="83"/>
      <c r="M57" s="83"/>
      <c r="N57" s="83"/>
      <c r="O57" s="83"/>
      <c r="P57" s="83"/>
      <c r="Q57" s="83"/>
      <c r="R57" s="83"/>
      <c r="S57" s="83"/>
      <c r="T57" s="83"/>
      <c r="U57" s="83"/>
      <c r="V57" s="83"/>
      <c r="W57" s="83"/>
      <c r="X57" s="83"/>
      <c r="Y57" s="49" t="str">
        <f t="shared" si="1"/>
        <v/>
      </c>
      <c r="Z57" s="84" t="str">
        <f t="shared" si="2"/>
        <v/>
      </c>
      <c r="AE57" s="189">
        <f t="shared" si="6"/>
        <v>1</v>
      </c>
      <c r="AF57" s="187">
        <f t="shared" si="7"/>
        <v>0</v>
      </c>
      <c r="AG57" s="187">
        <f t="shared" si="8"/>
        <v>0</v>
      </c>
      <c r="AH57" s="187">
        <f t="shared" si="9"/>
        <v>1</v>
      </c>
    </row>
    <row r="58" spans="2:34" ht="27.75" customHeight="1" x14ac:dyDescent="0.25">
      <c r="B58" s="80">
        <f t="shared" si="3"/>
        <v>28</v>
      </c>
      <c r="C58" s="421" t="str">
        <f>IF('תנאי סף'!AO58&lt;&gt;1,"",'תנאי סף'!F58)</f>
        <v>תמיכה שותפת- קבוצת מוסיקה נובה</v>
      </c>
      <c r="D58" s="82">
        <f>הגנה!AV58</f>
        <v>2.8433417449644473E-2</v>
      </c>
      <c r="E58" s="45">
        <v>2</v>
      </c>
      <c r="F58" s="45">
        <v>8</v>
      </c>
      <c r="G58" s="82">
        <f t="shared" si="4"/>
        <v>0.25</v>
      </c>
      <c r="H58" s="279">
        <f t="shared" si="5"/>
        <v>0</v>
      </c>
      <c r="I58" s="49">
        <f t="shared" si="0"/>
        <v>2.8433417449644473E-2</v>
      </c>
      <c r="K58" s="83"/>
      <c r="L58" s="83"/>
      <c r="M58" s="83"/>
      <c r="N58" s="83"/>
      <c r="O58" s="83"/>
      <c r="P58" s="83"/>
      <c r="Q58" s="83"/>
      <c r="R58" s="83"/>
      <c r="S58" s="83"/>
      <c r="T58" s="83"/>
      <c r="U58" s="83"/>
      <c r="V58" s="83"/>
      <c r="W58" s="83"/>
      <c r="X58" s="83"/>
      <c r="Y58" s="49">
        <f t="shared" si="1"/>
        <v>2.8248147833048541E-2</v>
      </c>
      <c r="Z58" s="84">
        <f t="shared" si="2"/>
        <v>86901.669804712044</v>
      </c>
      <c r="AE58" s="189">
        <f t="shared" si="6"/>
        <v>1</v>
      </c>
      <c r="AF58" s="187">
        <f t="shared" si="7"/>
        <v>1</v>
      </c>
      <c r="AG58" s="187">
        <f t="shared" si="8"/>
        <v>1</v>
      </c>
      <c r="AH58" s="187">
        <f t="shared" si="9"/>
        <v>1</v>
      </c>
    </row>
    <row r="59" spans="2:34" ht="27.75" hidden="1" customHeight="1" x14ac:dyDescent="0.25">
      <c r="B59" s="80" t="str">
        <f t="shared" si="3"/>
        <v/>
      </c>
      <c r="C59" s="421" t="str">
        <f>IF('תנאי סף'!AO59&lt;&gt;1,"",'תנאי סף'!F59)</f>
        <v/>
      </c>
      <c r="D59" s="82" t="str">
        <f>הגנה!AV59</f>
        <v/>
      </c>
      <c r="E59" s="45"/>
      <c r="F59" s="45"/>
      <c r="G59" s="82" t="str">
        <f t="shared" si="4"/>
        <v/>
      </c>
      <c r="H59" s="279" t="str">
        <f t="shared" si="5"/>
        <v/>
      </c>
      <c r="I59" s="49" t="str">
        <f t="shared" si="0"/>
        <v/>
      </c>
      <c r="K59" s="83"/>
      <c r="L59" s="83"/>
      <c r="M59" s="83"/>
      <c r="N59" s="83"/>
      <c r="O59" s="83"/>
      <c r="P59" s="83"/>
      <c r="Q59" s="83"/>
      <c r="R59" s="83"/>
      <c r="S59" s="83"/>
      <c r="T59" s="83"/>
      <c r="U59" s="83"/>
      <c r="V59" s="83"/>
      <c r="W59" s="83"/>
      <c r="X59" s="83"/>
      <c r="Y59" s="49" t="str">
        <f t="shared" si="1"/>
        <v/>
      </c>
      <c r="Z59" s="84" t="str">
        <f t="shared" si="2"/>
        <v/>
      </c>
      <c r="AE59" s="189">
        <f t="shared" si="6"/>
        <v>1</v>
      </c>
      <c r="AF59" s="187">
        <f t="shared" si="7"/>
        <v>0</v>
      </c>
      <c r="AG59" s="187">
        <f t="shared" si="8"/>
        <v>0</v>
      </c>
      <c r="AH59" s="187">
        <f t="shared" si="9"/>
        <v>1</v>
      </c>
    </row>
    <row r="60" spans="2:34" ht="27.75" hidden="1" customHeight="1" x14ac:dyDescent="0.25">
      <c r="B60" s="80" t="str">
        <f t="shared" si="3"/>
        <v/>
      </c>
      <c r="C60" s="421" t="str">
        <f>IF('תנאי סף'!AO60&lt;&gt;1,"",'תנאי סף'!F60)</f>
        <v/>
      </c>
      <c r="D60" s="82" t="str">
        <f>הגנה!AV60</f>
        <v/>
      </c>
      <c r="E60" s="45"/>
      <c r="F60" s="45"/>
      <c r="G60" s="82" t="str">
        <f t="shared" si="4"/>
        <v/>
      </c>
      <c r="H60" s="279" t="str">
        <f t="shared" si="5"/>
        <v/>
      </c>
      <c r="I60" s="49" t="str">
        <f t="shared" si="0"/>
        <v/>
      </c>
      <c r="K60" s="83"/>
      <c r="L60" s="83"/>
      <c r="M60" s="83"/>
      <c r="N60" s="83"/>
      <c r="O60" s="83"/>
      <c r="P60" s="83"/>
      <c r="Q60" s="83"/>
      <c r="R60" s="83"/>
      <c r="S60" s="83"/>
      <c r="T60" s="83"/>
      <c r="U60" s="83"/>
      <c r="V60" s="83"/>
      <c r="W60" s="83"/>
      <c r="X60" s="83"/>
      <c r="Y60" s="49" t="str">
        <f t="shared" si="1"/>
        <v/>
      </c>
      <c r="Z60" s="84" t="str">
        <f t="shared" si="2"/>
        <v/>
      </c>
      <c r="AE60" s="189">
        <f t="shared" si="6"/>
        <v>1</v>
      </c>
      <c r="AF60" s="187">
        <f t="shared" si="7"/>
        <v>0</v>
      </c>
      <c r="AG60" s="187">
        <f t="shared" si="8"/>
        <v>0</v>
      </c>
      <c r="AH60" s="187">
        <f t="shared" si="9"/>
        <v>1</v>
      </c>
    </row>
    <row r="61" spans="2:34" ht="27.75" hidden="1" customHeight="1" x14ac:dyDescent="0.25">
      <c r="B61" s="80" t="str">
        <f t="shared" si="3"/>
        <v/>
      </c>
      <c r="C61" s="421" t="str">
        <f>IF('תנאי סף'!AO61&lt;&gt;1,"",'תנאי סף'!F61)</f>
        <v/>
      </c>
      <c r="D61" s="82" t="str">
        <f>הגנה!AV61</f>
        <v/>
      </c>
      <c r="E61" s="45"/>
      <c r="F61" s="45"/>
      <c r="G61" s="82" t="str">
        <f t="shared" si="4"/>
        <v/>
      </c>
      <c r="H61" s="279" t="str">
        <f t="shared" si="5"/>
        <v/>
      </c>
      <c r="I61" s="49" t="str">
        <f t="shared" si="0"/>
        <v/>
      </c>
      <c r="K61" s="83"/>
      <c r="L61" s="83"/>
      <c r="M61" s="83"/>
      <c r="N61" s="83"/>
      <c r="O61" s="83"/>
      <c r="P61" s="83"/>
      <c r="Q61" s="83"/>
      <c r="R61" s="83"/>
      <c r="S61" s="83"/>
      <c r="T61" s="83"/>
      <c r="U61" s="83"/>
      <c r="V61" s="83"/>
      <c r="W61" s="83"/>
      <c r="X61" s="83"/>
      <c r="Y61" s="49" t="str">
        <f t="shared" si="1"/>
        <v/>
      </c>
      <c r="Z61" s="84" t="str">
        <f t="shared" si="2"/>
        <v/>
      </c>
      <c r="AE61" s="189">
        <f t="shared" si="6"/>
        <v>1</v>
      </c>
      <c r="AF61" s="187">
        <f t="shared" si="7"/>
        <v>0</v>
      </c>
      <c r="AG61" s="187">
        <f t="shared" si="8"/>
        <v>0</v>
      </c>
      <c r="AH61" s="187">
        <f t="shared" si="9"/>
        <v>1</v>
      </c>
    </row>
    <row r="62" spans="2:34" ht="27.75" hidden="1" customHeight="1" x14ac:dyDescent="0.25">
      <c r="B62" s="80" t="str">
        <f t="shared" si="3"/>
        <v/>
      </c>
      <c r="C62" s="421" t="str">
        <f>IF('תנאי סף'!AO62&lt;&gt;1,"",'תנאי סף'!F62)</f>
        <v/>
      </c>
      <c r="D62" s="82" t="str">
        <f>הגנה!AV62</f>
        <v/>
      </c>
      <c r="E62" s="45"/>
      <c r="F62" s="45"/>
      <c r="G62" s="82" t="str">
        <f t="shared" si="4"/>
        <v/>
      </c>
      <c r="H62" s="279" t="str">
        <f t="shared" si="5"/>
        <v/>
      </c>
      <c r="I62" s="49" t="str">
        <f t="shared" si="0"/>
        <v/>
      </c>
      <c r="K62" s="83"/>
      <c r="L62" s="83"/>
      <c r="M62" s="83"/>
      <c r="N62" s="83"/>
      <c r="O62" s="83"/>
      <c r="P62" s="83"/>
      <c r="Q62" s="83"/>
      <c r="R62" s="83"/>
      <c r="S62" s="83"/>
      <c r="T62" s="83"/>
      <c r="U62" s="83"/>
      <c r="V62" s="83"/>
      <c r="W62" s="83"/>
      <c r="X62" s="83"/>
      <c r="Y62" s="49" t="str">
        <f t="shared" si="1"/>
        <v/>
      </c>
      <c r="Z62" s="84" t="str">
        <f t="shared" si="2"/>
        <v/>
      </c>
      <c r="AE62" s="189">
        <f t="shared" si="6"/>
        <v>1</v>
      </c>
      <c r="AF62" s="187">
        <f t="shared" si="7"/>
        <v>0</v>
      </c>
      <c r="AG62" s="187">
        <f t="shared" si="8"/>
        <v>0</v>
      </c>
      <c r="AH62" s="187">
        <f t="shared" si="9"/>
        <v>1</v>
      </c>
    </row>
    <row r="63" spans="2:34" ht="27.75" hidden="1" customHeight="1" x14ac:dyDescent="0.25">
      <c r="B63" s="80" t="str">
        <f t="shared" si="3"/>
        <v/>
      </c>
      <c r="C63" s="421" t="str">
        <f>IF('תנאי סף'!AO63&lt;&gt;1,"",'תנאי סף'!F63)</f>
        <v/>
      </c>
      <c r="D63" s="82" t="str">
        <f>הגנה!AV63</f>
        <v/>
      </c>
      <c r="E63" s="45"/>
      <c r="F63" s="45"/>
      <c r="G63" s="82" t="str">
        <f t="shared" si="4"/>
        <v/>
      </c>
      <c r="H63" s="279" t="str">
        <f t="shared" si="5"/>
        <v/>
      </c>
      <c r="I63" s="49" t="str">
        <f t="shared" si="0"/>
        <v/>
      </c>
      <c r="K63" s="83"/>
      <c r="L63" s="83"/>
      <c r="M63" s="83"/>
      <c r="N63" s="83"/>
      <c r="O63" s="83"/>
      <c r="P63" s="83"/>
      <c r="Q63" s="83"/>
      <c r="R63" s="83"/>
      <c r="S63" s="83"/>
      <c r="T63" s="83"/>
      <c r="U63" s="83"/>
      <c r="V63" s="83"/>
      <c r="W63" s="83"/>
      <c r="X63" s="83"/>
      <c r="Y63" s="49" t="str">
        <f t="shared" ref="Y63:Y94" si="10">IF(C63="","",IF($AH$27&lt;&gt;1,$AH$1,IFERROR(I63/SUMIF($I$31:$I$130,"&lt;&gt;#DIV/0!"),$AH$1)))</f>
        <v/>
      </c>
      <c r="Z63" s="84" t="str">
        <f t="shared" ref="Z63:Z94" si="11">IF(C63="","",IF($AH$27&lt;&gt;1,$AH$1,IFERROR(Y63*$C$2,$AH$1)))</f>
        <v/>
      </c>
      <c r="AE63" s="189">
        <f t="shared" si="6"/>
        <v>1</v>
      </c>
      <c r="AF63" s="187">
        <f t="shared" si="7"/>
        <v>0</v>
      </c>
      <c r="AG63" s="187">
        <f t="shared" si="8"/>
        <v>0</v>
      </c>
      <c r="AH63" s="187">
        <f t="shared" si="9"/>
        <v>1</v>
      </c>
    </row>
    <row r="64" spans="2:34" ht="27.75" hidden="1" customHeight="1" x14ac:dyDescent="0.25">
      <c r="B64" s="80" t="str">
        <f t="shared" si="3"/>
        <v/>
      </c>
      <c r="C64" s="421" t="str">
        <f>IF('תנאי סף'!AO64&lt;&gt;1,"",'תנאי סף'!F64)</f>
        <v/>
      </c>
      <c r="D64" s="82" t="str">
        <f>הגנה!AV64</f>
        <v/>
      </c>
      <c r="E64" s="45"/>
      <c r="F64" s="45"/>
      <c r="G64" s="82" t="str">
        <f t="shared" si="4"/>
        <v/>
      </c>
      <c r="H64" s="279" t="str">
        <f t="shared" si="5"/>
        <v/>
      </c>
      <c r="I64" s="49" t="str">
        <f t="shared" si="0"/>
        <v/>
      </c>
      <c r="K64" s="83"/>
      <c r="L64" s="83"/>
      <c r="M64" s="83"/>
      <c r="N64" s="83"/>
      <c r="O64" s="83"/>
      <c r="P64" s="83"/>
      <c r="Q64" s="83"/>
      <c r="R64" s="83"/>
      <c r="S64" s="83"/>
      <c r="T64" s="83"/>
      <c r="U64" s="83"/>
      <c r="V64" s="83"/>
      <c r="W64" s="83"/>
      <c r="X64" s="83"/>
      <c r="Y64" s="49" t="str">
        <f t="shared" si="10"/>
        <v/>
      </c>
      <c r="Z64" s="84" t="str">
        <f t="shared" si="11"/>
        <v/>
      </c>
      <c r="AE64" s="189">
        <f t="shared" si="6"/>
        <v>1</v>
      </c>
      <c r="AF64" s="187">
        <f t="shared" si="7"/>
        <v>0</v>
      </c>
      <c r="AG64" s="187">
        <f t="shared" si="8"/>
        <v>0</v>
      </c>
      <c r="AH64" s="187">
        <f t="shared" si="9"/>
        <v>1</v>
      </c>
    </row>
    <row r="65" spans="2:34" ht="27.75" customHeight="1" x14ac:dyDescent="0.25">
      <c r="B65" s="80">
        <f t="shared" si="3"/>
        <v>35</v>
      </c>
      <c r="C65" s="421" t="str">
        <f>IF('תנאי סף'!AO65&lt;&gt;1,"",'תנאי סף'!F65)</f>
        <v>אנסמבל מיתר</v>
      </c>
      <c r="D65" s="82">
        <f>הגנה!AV65</f>
        <v>6.5086405339862041E-2</v>
      </c>
      <c r="E65" s="45">
        <v>1</v>
      </c>
      <c r="F65" s="45">
        <v>3</v>
      </c>
      <c r="G65" s="82">
        <f t="shared" si="4"/>
        <v>0.33333333333333331</v>
      </c>
      <c r="H65" s="279">
        <f t="shared" si="5"/>
        <v>1</v>
      </c>
      <c r="I65" s="49">
        <f t="shared" si="0"/>
        <v>6.6388133446659281E-2</v>
      </c>
      <c r="K65" s="83"/>
      <c r="L65" s="83"/>
      <c r="M65" s="83"/>
      <c r="N65" s="83"/>
      <c r="O65" s="83"/>
      <c r="P65" s="83"/>
      <c r="Q65" s="83"/>
      <c r="R65" s="83"/>
      <c r="S65" s="83"/>
      <c r="T65" s="83"/>
      <c r="U65" s="83"/>
      <c r="V65" s="83"/>
      <c r="W65" s="83"/>
      <c r="X65" s="83"/>
      <c r="Y65" s="49">
        <f t="shared" si="10"/>
        <v>6.5955554279840345E-2</v>
      </c>
      <c r="Z65" s="84">
        <f t="shared" si="11"/>
        <v>202903.49065320959</v>
      </c>
      <c r="AE65" s="189">
        <f t="shared" si="6"/>
        <v>1</v>
      </c>
      <c r="AF65" s="187">
        <f t="shared" si="7"/>
        <v>1</v>
      </c>
      <c r="AG65" s="187">
        <f t="shared" si="8"/>
        <v>1</v>
      </c>
      <c r="AH65" s="187">
        <f t="shared" si="9"/>
        <v>1</v>
      </c>
    </row>
    <row r="66" spans="2:34" ht="27.75" hidden="1" customHeight="1" x14ac:dyDescent="0.25">
      <c r="B66" s="80" t="str">
        <f t="shared" si="3"/>
        <v/>
      </c>
      <c r="C66" s="421" t="str">
        <f>IF('תנאי סף'!AO66&lt;&gt;1,"",'תנאי סף'!F66)</f>
        <v/>
      </c>
      <c r="D66" s="82" t="str">
        <f>הגנה!AV66</f>
        <v/>
      </c>
      <c r="E66" s="45"/>
      <c r="F66" s="45"/>
      <c r="G66" s="82" t="str">
        <f t="shared" si="4"/>
        <v/>
      </c>
      <c r="H66" s="279" t="str">
        <f t="shared" si="5"/>
        <v/>
      </c>
      <c r="I66" s="49" t="str">
        <f t="shared" si="0"/>
        <v/>
      </c>
      <c r="K66" s="83"/>
      <c r="L66" s="83"/>
      <c r="M66" s="83"/>
      <c r="N66" s="83"/>
      <c r="O66" s="83"/>
      <c r="P66" s="83"/>
      <c r="Q66" s="83"/>
      <c r="R66" s="83"/>
      <c r="S66" s="83"/>
      <c r="T66" s="83"/>
      <c r="U66" s="83"/>
      <c r="V66" s="83"/>
      <c r="W66" s="83"/>
      <c r="X66" s="83"/>
      <c r="Y66" s="49" t="str">
        <f t="shared" si="10"/>
        <v/>
      </c>
      <c r="Z66" s="84" t="str">
        <f t="shared" si="11"/>
        <v/>
      </c>
      <c r="AE66" s="189">
        <f t="shared" si="6"/>
        <v>1</v>
      </c>
      <c r="AF66" s="187">
        <f t="shared" si="7"/>
        <v>0</v>
      </c>
      <c r="AG66" s="187">
        <f t="shared" si="8"/>
        <v>0</v>
      </c>
      <c r="AH66" s="187">
        <f t="shared" si="9"/>
        <v>1</v>
      </c>
    </row>
    <row r="67" spans="2:34" ht="27.75" customHeight="1" x14ac:dyDescent="0.25">
      <c r="B67" s="80">
        <f t="shared" si="3"/>
        <v>37</v>
      </c>
      <c r="C67" s="421" t="str">
        <f>IF('תנאי סף'!AO67&lt;&gt;1,"",'תנאי סף'!F67)</f>
        <v>אנסמבל ארז נטף</v>
      </c>
      <c r="D67" s="82">
        <f>הגנה!AV67</f>
        <v>3.040261872123292E-2</v>
      </c>
      <c r="E67" s="45">
        <v>1</v>
      </c>
      <c r="F67" s="45">
        <v>4</v>
      </c>
      <c r="G67" s="82">
        <f t="shared" si="4"/>
        <v>0.25</v>
      </c>
      <c r="H67" s="279">
        <f t="shared" si="5"/>
        <v>0</v>
      </c>
      <c r="I67" s="49">
        <f t="shared" si="0"/>
        <v>3.040261872123292E-2</v>
      </c>
      <c r="K67" s="83"/>
      <c r="L67" s="83"/>
      <c r="M67" s="83"/>
      <c r="N67" s="83"/>
      <c r="O67" s="83"/>
      <c r="P67" s="83"/>
      <c r="Q67" s="83"/>
      <c r="R67" s="83"/>
      <c r="S67" s="83"/>
      <c r="T67" s="83"/>
      <c r="U67" s="83"/>
      <c r="V67" s="83"/>
      <c r="W67" s="83"/>
      <c r="X67" s="83"/>
      <c r="Y67" s="49">
        <f t="shared" si="10"/>
        <v>3.0204517964474761E-2</v>
      </c>
      <c r="Z67" s="84">
        <f t="shared" si="11"/>
        <v>92920.182316817329</v>
      </c>
      <c r="AE67" s="189">
        <f t="shared" si="6"/>
        <v>1</v>
      </c>
      <c r="AF67" s="187">
        <f t="shared" si="7"/>
        <v>1</v>
      </c>
      <c r="AG67" s="187">
        <f t="shared" si="8"/>
        <v>1</v>
      </c>
      <c r="AH67" s="187">
        <f t="shared" si="9"/>
        <v>1</v>
      </c>
    </row>
    <row r="68" spans="2:34" ht="27.75" hidden="1" customHeight="1" x14ac:dyDescent="0.25">
      <c r="B68" s="80" t="str">
        <f t="shared" si="3"/>
        <v/>
      </c>
      <c r="C68" s="421" t="str">
        <f>IF('תנאי סף'!AO68&lt;&gt;1,"",'תנאי סף'!F68)</f>
        <v/>
      </c>
      <c r="D68" s="82" t="str">
        <f>הגנה!AV68</f>
        <v/>
      </c>
      <c r="E68" s="45"/>
      <c r="F68" s="45"/>
      <c r="G68" s="82" t="str">
        <f t="shared" si="4"/>
        <v/>
      </c>
      <c r="H68" s="279" t="str">
        <f t="shared" si="5"/>
        <v/>
      </c>
      <c r="I68" s="49" t="str">
        <f t="shared" si="0"/>
        <v/>
      </c>
      <c r="K68" s="83"/>
      <c r="L68" s="83"/>
      <c r="M68" s="83"/>
      <c r="N68" s="83"/>
      <c r="O68" s="83"/>
      <c r="P68" s="83"/>
      <c r="Q68" s="83"/>
      <c r="R68" s="83"/>
      <c r="S68" s="83"/>
      <c r="T68" s="83"/>
      <c r="U68" s="83"/>
      <c r="V68" s="83"/>
      <c r="W68" s="83"/>
      <c r="X68" s="83"/>
      <c r="Y68" s="49" t="str">
        <f t="shared" si="10"/>
        <v/>
      </c>
      <c r="Z68" s="84" t="str">
        <f t="shared" si="11"/>
        <v/>
      </c>
      <c r="AE68" s="189">
        <f t="shared" si="6"/>
        <v>1</v>
      </c>
      <c r="AF68" s="187">
        <f t="shared" si="7"/>
        <v>0</v>
      </c>
      <c r="AG68" s="187">
        <f t="shared" si="8"/>
        <v>0</v>
      </c>
      <c r="AH68" s="187">
        <f t="shared" si="9"/>
        <v>1</v>
      </c>
    </row>
    <row r="69" spans="2:34" ht="27.75" hidden="1" customHeight="1" x14ac:dyDescent="0.25">
      <c r="B69" s="80" t="str">
        <f t="shared" si="3"/>
        <v/>
      </c>
      <c r="C69" s="421" t="str">
        <f>IF('תנאי סף'!AO69&lt;&gt;1,"",'תנאי סף'!F69)</f>
        <v/>
      </c>
      <c r="D69" s="82" t="str">
        <f>הגנה!AV69</f>
        <v/>
      </c>
      <c r="E69" s="45"/>
      <c r="F69" s="45"/>
      <c r="G69" s="82" t="str">
        <f t="shared" si="4"/>
        <v/>
      </c>
      <c r="H69" s="279" t="str">
        <f t="shared" si="5"/>
        <v/>
      </c>
      <c r="I69" s="49" t="str">
        <f t="shared" si="0"/>
        <v/>
      </c>
      <c r="K69" s="83"/>
      <c r="L69" s="83"/>
      <c r="M69" s="83"/>
      <c r="N69" s="83"/>
      <c r="O69" s="83"/>
      <c r="P69" s="83"/>
      <c r="Q69" s="83"/>
      <c r="R69" s="83"/>
      <c r="S69" s="83"/>
      <c r="T69" s="83"/>
      <c r="U69" s="83"/>
      <c r="V69" s="83"/>
      <c r="W69" s="83"/>
      <c r="X69" s="83"/>
      <c r="Y69" s="49" t="str">
        <f t="shared" si="10"/>
        <v/>
      </c>
      <c r="Z69" s="84" t="str">
        <f t="shared" si="11"/>
        <v/>
      </c>
      <c r="AE69" s="189">
        <f t="shared" si="6"/>
        <v>1</v>
      </c>
      <c r="AF69" s="187">
        <f t="shared" si="7"/>
        <v>0</v>
      </c>
      <c r="AG69" s="187">
        <f t="shared" si="8"/>
        <v>0</v>
      </c>
      <c r="AH69" s="187">
        <f t="shared" si="9"/>
        <v>1</v>
      </c>
    </row>
    <row r="70" spans="2:34" ht="27.75" customHeight="1" x14ac:dyDescent="0.25">
      <c r="B70" s="80">
        <f t="shared" si="3"/>
        <v>40</v>
      </c>
      <c r="C70" s="421" t="str">
        <f>IF('תנאי סף'!AO70&lt;&gt;1,"",'תנאי סף'!F70)</f>
        <v>תו המשווה (ע"ר)</v>
      </c>
      <c r="D70" s="82">
        <f>הגנה!AV70</f>
        <v>3.5322619076414312E-2</v>
      </c>
      <c r="E70" s="45">
        <v>1</v>
      </c>
      <c r="F70" s="45">
        <v>3</v>
      </c>
      <c r="G70" s="82">
        <f t="shared" si="4"/>
        <v>0.33333333333333331</v>
      </c>
      <c r="H70" s="279">
        <f t="shared" si="5"/>
        <v>1</v>
      </c>
      <c r="I70" s="49">
        <f t="shared" si="0"/>
        <v>3.6029071457942596E-2</v>
      </c>
      <c r="K70" s="83"/>
      <c r="L70" s="83"/>
      <c r="M70" s="83"/>
      <c r="N70" s="83"/>
      <c r="O70" s="83"/>
      <c r="P70" s="83"/>
      <c r="Q70" s="83"/>
      <c r="R70" s="83"/>
      <c r="S70" s="83"/>
      <c r="T70" s="83"/>
      <c r="U70" s="83"/>
      <c r="V70" s="83"/>
      <c r="W70" s="83"/>
      <c r="X70" s="83"/>
      <c r="Y70" s="49">
        <f t="shared" si="10"/>
        <v>3.579430923609072E-2</v>
      </c>
      <c r="Z70" s="84">
        <f t="shared" si="11"/>
        <v>110116.43172170471</v>
      </c>
      <c r="AE70" s="189">
        <f t="shared" si="6"/>
        <v>1</v>
      </c>
      <c r="AF70" s="187">
        <f t="shared" si="7"/>
        <v>1</v>
      </c>
      <c r="AG70" s="187">
        <f t="shared" si="8"/>
        <v>1</v>
      </c>
      <c r="AH70" s="187">
        <f t="shared" si="9"/>
        <v>1</v>
      </c>
    </row>
    <row r="71" spans="2:34" ht="27.75" hidden="1" customHeight="1" x14ac:dyDescent="0.25">
      <c r="B71" s="80" t="str">
        <f t="shared" si="3"/>
        <v/>
      </c>
      <c r="C71" s="421" t="str">
        <f>IF('תנאי סף'!AO71&lt;&gt;1,"",'תנאי סף'!F71)</f>
        <v/>
      </c>
      <c r="D71" s="82" t="str">
        <f>הגנה!AV71</f>
        <v/>
      </c>
      <c r="E71" s="45"/>
      <c r="F71" s="45"/>
      <c r="G71" s="82" t="str">
        <f t="shared" si="4"/>
        <v/>
      </c>
      <c r="H71" s="279" t="str">
        <f t="shared" si="5"/>
        <v/>
      </c>
      <c r="I71" s="49" t="str">
        <f t="shared" si="0"/>
        <v/>
      </c>
      <c r="K71" s="83"/>
      <c r="L71" s="83"/>
      <c r="M71" s="83"/>
      <c r="N71" s="83"/>
      <c r="O71" s="83"/>
      <c r="P71" s="83"/>
      <c r="Q71" s="83"/>
      <c r="R71" s="83"/>
      <c r="S71" s="83"/>
      <c r="T71" s="83"/>
      <c r="U71" s="83"/>
      <c r="V71" s="83"/>
      <c r="W71" s="83"/>
      <c r="X71" s="83"/>
      <c r="Y71" s="49" t="str">
        <f t="shared" si="10"/>
        <v/>
      </c>
      <c r="Z71" s="84" t="str">
        <f t="shared" si="11"/>
        <v/>
      </c>
      <c r="AE71" s="189">
        <f t="shared" si="6"/>
        <v>1</v>
      </c>
      <c r="AF71" s="187">
        <f t="shared" si="7"/>
        <v>0</v>
      </c>
      <c r="AG71" s="187">
        <f t="shared" si="8"/>
        <v>0</v>
      </c>
      <c r="AH71" s="187">
        <f t="shared" si="9"/>
        <v>1</v>
      </c>
    </row>
    <row r="72" spans="2:34" ht="27.75" hidden="1" customHeight="1" x14ac:dyDescent="0.25">
      <c r="B72" s="80" t="str">
        <f t="shared" si="3"/>
        <v/>
      </c>
      <c r="C72" s="421" t="str">
        <f>IF('תנאי סף'!AO72&lt;&gt;1,"",'תנאי סף'!F72)</f>
        <v/>
      </c>
      <c r="D72" s="82" t="str">
        <f>הגנה!AV72</f>
        <v/>
      </c>
      <c r="E72" s="45"/>
      <c r="F72" s="45"/>
      <c r="G72" s="82" t="str">
        <f t="shared" si="4"/>
        <v/>
      </c>
      <c r="H72" s="279" t="str">
        <f t="shared" si="5"/>
        <v/>
      </c>
      <c r="I72" s="49" t="str">
        <f t="shared" si="0"/>
        <v/>
      </c>
      <c r="K72" s="83"/>
      <c r="L72" s="83"/>
      <c r="M72" s="83"/>
      <c r="N72" s="83"/>
      <c r="O72" s="83"/>
      <c r="P72" s="83"/>
      <c r="Q72" s="83"/>
      <c r="R72" s="83"/>
      <c r="S72" s="83"/>
      <c r="T72" s="83"/>
      <c r="U72" s="83"/>
      <c r="V72" s="83"/>
      <c r="W72" s="83"/>
      <c r="X72" s="83"/>
      <c r="Y72" s="49" t="str">
        <f t="shared" si="10"/>
        <v/>
      </c>
      <c r="Z72" s="84" t="str">
        <f t="shared" si="11"/>
        <v/>
      </c>
      <c r="AE72" s="189">
        <f t="shared" si="6"/>
        <v>1</v>
      </c>
      <c r="AF72" s="187">
        <f t="shared" si="7"/>
        <v>0</v>
      </c>
      <c r="AG72" s="187">
        <f t="shared" si="8"/>
        <v>0</v>
      </c>
      <c r="AH72" s="187">
        <f t="shared" si="9"/>
        <v>1</v>
      </c>
    </row>
    <row r="73" spans="2:34" ht="27.75" customHeight="1" x14ac:dyDescent="0.25">
      <c r="B73" s="80">
        <f t="shared" si="3"/>
        <v>43</v>
      </c>
      <c r="C73" s="421" t="str">
        <f>IF('תנאי סף'!AO73&lt;&gt;1,"",'תנאי סף'!F73)</f>
        <v>בר קיימא ואקלקוטנטקט</v>
      </c>
      <c r="D73" s="82">
        <f>הגנה!AV73</f>
        <v>4.1397281123009964E-2</v>
      </c>
      <c r="E73" s="45">
        <v>2</v>
      </c>
      <c r="F73" s="45">
        <v>4</v>
      </c>
      <c r="G73" s="82">
        <f t="shared" si="4"/>
        <v>0.5</v>
      </c>
      <c r="H73" s="279">
        <f t="shared" si="5"/>
        <v>1</v>
      </c>
      <c r="I73" s="49">
        <f t="shared" si="0"/>
        <v>4.2225226745470162E-2</v>
      </c>
      <c r="K73" s="83"/>
      <c r="L73" s="83"/>
      <c r="M73" s="83"/>
      <c r="N73" s="83"/>
      <c r="O73" s="83"/>
      <c r="P73" s="83"/>
      <c r="Q73" s="83"/>
      <c r="R73" s="83"/>
      <c r="S73" s="83"/>
      <c r="T73" s="83"/>
      <c r="U73" s="83"/>
      <c r="V73" s="83"/>
      <c r="W73" s="83"/>
      <c r="X73" s="83"/>
      <c r="Y73" s="49">
        <f t="shared" si="10"/>
        <v>4.1950090927425632E-2</v>
      </c>
      <c r="Z73" s="84">
        <f t="shared" si="11"/>
        <v>129053.8753761316</v>
      </c>
      <c r="AE73" s="189">
        <f t="shared" si="6"/>
        <v>1</v>
      </c>
      <c r="AF73" s="187">
        <f t="shared" si="7"/>
        <v>1</v>
      </c>
      <c r="AG73" s="187">
        <f t="shared" si="8"/>
        <v>1</v>
      </c>
      <c r="AH73" s="187">
        <f t="shared" si="9"/>
        <v>1</v>
      </c>
    </row>
    <row r="74" spans="2:34" ht="27.75" hidden="1" customHeight="1" x14ac:dyDescent="0.25">
      <c r="B74" s="80" t="str">
        <f t="shared" si="3"/>
        <v/>
      </c>
      <c r="C74" s="421" t="str">
        <f>IF('תנאי סף'!AO74&lt;&gt;1,"",'תנאי סף'!F74)</f>
        <v/>
      </c>
      <c r="D74" s="82" t="str">
        <f>הגנה!AV74</f>
        <v/>
      </c>
      <c r="E74" s="45"/>
      <c r="F74" s="45"/>
      <c r="G74" s="82" t="str">
        <f t="shared" si="4"/>
        <v/>
      </c>
      <c r="H74" s="279" t="str">
        <f t="shared" si="5"/>
        <v/>
      </c>
      <c r="I74" s="49" t="str">
        <f t="shared" si="0"/>
        <v/>
      </c>
      <c r="K74" s="83"/>
      <c r="L74" s="83"/>
      <c r="M74" s="83"/>
      <c r="N74" s="83"/>
      <c r="O74" s="83"/>
      <c r="P74" s="83"/>
      <c r="Q74" s="83"/>
      <c r="R74" s="83"/>
      <c r="S74" s="83"/>
      <c r="T74" s="83"/>
      <c r="U74" s="83"/>
      <c r="V74" s="83"/>
      <c r="W74" s="83"/>
      <c r="X74" s="83"/>
      <c r="Y74" s="49" t="str">
        <f t="shared" si="10"/>
        <v/>
      </c>
      <c r="Z74" s="84" t="str">
        <f t="shared" si="11"/>
        <v/>
      </c>
      <c r="AE74" s="189">
        <f t="shared" si="6"/>
        <v>1</v>
      </c>
      <c r="AF74" s="187">
        <f t="shared" si="7"/>
        <v>0</v>
      </c>
      <c r="AG74" s="187">
        <f t="shared" si="8"/>
        <v>0</v>
      </c>
      <c r="AH74" s="187">
        <f t="shared" si="9"/>
        <v>1</v>
      </c>
    </row>
    <row r="75" spans="2:34" ht="27.75" customHeight="1" x14ac:dyDescent="0.25">
      <c r="B75" s="80">
        <f t="shared" si="3"/>
        <v>45</v>
      </c>
      <c r="C75" s="421" t="str">
        <f>IF('תנאי סף'!AO75&lt;&gt;1,"",'תנאי סף'!F75)</f>
        <v>אלקאת התזמורת התימנית</v>
      </c>
      <c r="D75" s="82">
        <f>הגנה!AV75</f>
        <v>2.2546678409818856E-2</v>
      </c>
      <c r="E75" s="45">
        <v>2</v>
      </c>
      <c r="F75" s="45">
        <v>10</v>
      </c>
      <c r="G75" s="82">
        <f t="shared" si="4"/>
        <v>0.2</v>
      </c>
      <c r="H75" s="279">
        <f t="shared" si="5"/>
        <v>0</v>
      </c>
      <c r="I75" s="49">
        <f t="shared" si="0"/>
        <v>2.2546678409818856E-2</v>
      </c>
      <c r="K75" s="83"/>
      <c r="L75" s="83"/>
      <c r="M75" s="83"/>
      <c r="N75" s="83"/>
      <c r="O75" s="83"/>
      <c r="P75" s="83"/>
      <c r="Q75" s="83"/>
      <c r="R75" s="83"/>
      <c r="S75" s="83"/>
      <c r="T75" s="83"/>
      <c r="U75" s="83"/>
      <c r="V75" s="83"/>
      <c r="W75" s="83"/>
      <c r="X75" s="83"/>
      <c r="Y75" s="49">
        <f t="shared" si="10"/>
        <v>2.2399766260693735E-2</v>
      </c>
      <c r="Z75" s="84">
        <f t="shared" si="11"/>
        <v>68909.901732111612</v>
      </c>
      <c r="AE75" s="189">
        <f t="shared" si="6"/>
        <v>1</v>
      </c>
      <c r="AF75" s="187">
        <f t="shared" si="7"/>
        <v>1</v>
      </c>
      <c r="AG75" s="187">
        <f t="shared" si="8"/>
        <v>1</v>
      </c>
      <c r="AH75" s="187">
        <f t="shared" si="9"/>
        <v>1</v>
      </c>
    </row>
    <row r="76" spans="2:34" ht="27.75" hidden="1" customHeight="1" x14ac:dyDescent="0.25">
      <c r="B76" s="80" t="str">
        <f t="shared" si="3"/>
        <v/>
      </c>
      <c r="C76" s="421" t="str">
        <f>IF('תנאי סף'!AO76&lt;&gt;1,"",'תנאי סף'!F76)</f>
        <v/>
      </c>
      <c r="D76" s="82" t="str">
        <f>הגנה!AV76</f>
        <v/>
      </c>
      <c r="E76" s="45"/>
      <c r="F76" s="45"/>
      <c r="G76" s="82" t="str">
        <f t="shared" si="4"/>
        <v/>
      </c>
      <c r="H76" s="279" t="str">
        <f t="shared" si="5"/>
        <v/>
      </c>
      <c r="I76" s="49" t="str">
        <f t="shared" si="0"/>
        <v/>
      </c>
      <c r="K76" s="83"/>
      <c r="L76" s="83"/>
      <c r="M76" s="83"/>
      <c r="N76" s="83"/>
      <c r="O76" s="83"/>
      <c r="P76" s="83"/>
      <c r="Q76" s="83"/>
      <c r="R76" s="83"/>
      <c r="S76" s="83"/>
      <c r="T76" s="83"/>
      <c r="U76" s="83"/>
      <c r="V76" s="83"/>
      <c r="W76" s="83"/>
      <c r="X76" s="83"/>
      <c r="Y76" s="49" t="str">
        <f t="shared" si="10"/>
        <v/>
      </c>
      <c r="Z76" s="84" t="str">
        <f t="shared" si="11"/>
        <v/>
      </c>
      <c r="AE76" s="189">
        <f t="shared" si="6"/>
        <v>1</v>
      </c>
      <c r="AF76" s="187">
        <f t="shared" si="7"/>
        <v>0</v>
      </c>
      <c r="AG76" s="187">
        <f t="shared" si="8"/>
        <v>0</v>
      </c>
      <c r="AH76" s="187">
        <f t="shared" si="9"/>
        <v>1</v>
      </c>
    </row>
    <row r="77" spans="2:34" ht="27.75" hidden="1" customHeight="1" x14ac:dyDescent="0.25">
      <c r="B77" s="80" t="str">
        <f t="shared" si="3"/>
        <v/>
      </c>
      <c r="C77" s="421" t="str">
        <f>IF('תנאי סף'!AO77&lt;&gt;1,"",'תנאי סף'!F77)</f>
        <v/>
      </c>
      <c r="D77" s="82" t="str">
        <f>הגנה!AV77</f>
        <v/>
      </c>
      <c r="E77" s="45"/>
      <c r="F77" s="45"/>
      <c r="G77" s="82" t="str">
        <f t="shared" si="4"/>
        <v/>
      </c>
      <c r="H77" s="279" t="str">
        <f t="shared" si="5"/>
        <v/>
      </c>
      <c r="I77" s="49" t="str">
        <f t="shared" si="0"/>
        <v/>
      </c>
      <c r="K77" s="83"/>
      <c r="L77" s="83"/>
      <c r="M77" s="83"/>
      <c r="N77" s="83"/>
      <c r="O77" s="83"/>
      <c r="P77" s="83"/>
      <c r="Q77" s="83"/>
      <c r="R77" s="83"/>
      <c r="S77" s="83"/>
      <c r="T77" s="83"/>
      <c r="U77" s="83"/>
      <c r="V77" s="83"/>
      <c r="W77" s="83"/>
      <c r="X77" s="83"/>
      <c r="Y77" s="49" t="str">
        <f t="shared" si="10"/>
        <v/>
      </c>
      <c r="Z77" s="84" t="str">
        <f t="shared" si="11"/>
        <v/>
      </c>
      <c r="AE77" s="189">
        <f t="shared" si="6"/>
        <v>1</v>
      </c>
      <c r="AF77" s="187">
        <f t="shared" si="7"/>
        <v>0</v>
      </c>
      <c r="AG77" s="187">
        <f t="shared" si="8"/>
        <v>0</v>
      </c>
      <c r="AH77" s="187">
        <f t="shared" si="9"/>
        <v>1</v>
      </c>
    </row>
    <row r="78" spans="2:34" ht="27.75" customHeight="1" x14ac:dyDescent="0.25">
      <c r="B78" s="80">
        <f t="shared" si="3"/>
        <v>48</v>
      </c>
      <c r="C78" s="421" t="str">
        <f>IF('תנאי סף'!AO78&lt;&gt;1,"",'תנאי סף'!F78)</f>
        <v>גיא מינטוס- טריו</v>
      </c>
      <c r="D78" s="82">
        <f>הגנה!AV78</f>
        <v>2.7909445014514526E-2</v>
      </c>
      <c r="E78" s="45">
        <v>1</v>
      </c>
      <c r="F78" s="45">
        <v>4</v>
      </c>
      <c r="G78" s="82">
        <f t="shared" si="4"/>
        <v>0.25</v>
      </c>
      <c r="H78" s="279">
        <f t="shared" si="5"/>
        <v>0</v>
      </c>
      <c r="I78" s="49">
        <f t="shared" si="0"/>
        <v>2.7909445014514526E-2</v>
      </c>
      <c r="K78" s="83"/>
      <c r="L78" s="83"/>
      <c r="M78" s="83"/>
      <c r="N78" s="83"/>
      <c r="O78" s="83"/>
      <c r="P78" s="83"/>
      <c r="Q78" s="83"/>
      <c r="R78" s="83"/>
      <c r="S78" s="83"/>
      <c r="T78" s="83"/>
      <c r="U78" s="83"/>
      <c r="V78" s="83"/>
      <c r="W78" s="83"/>
      <c r="X78" s="83"/>
      <c r="Y78" s="49">
        <f t="shared" si="10"/>
        <v>2.7727589555655182E-2</v>
      </c>
      <c r="Z78" s="84">
        <f t="shared" si="11"/>
        <v>85300.24149856226</v>
      </c>
      <c r="AE78" s="189">
        <f t="shared" si="6"/>
        <v>1</v>
      </c>
      <c r="AF78" s="187">
        <f t="shared" si="7"/>
        <v>1</v>
      </c>
      <c r="AG78" s="187">
        <f t="shared" si="8"/>
        <v>1</v>
      </c>
      <c r="AH78" s="187">
        <f t="shared" si="9"/>
        <v>1</v>
      </c>
    </row>
    <row r="79" spans="2:34" ht="27.75" hidden="1" customHeight="1" x14ac:dyDescent="0.25">
      <c r="B79" s="80" t="str">
        <f t="shared" si="3"/>
        <v/>
      </c>
      <c r="C79" s="421" t="str">
        <f>IF('תנאי סף'!AO79&lt;&gt;1,"",'תנאי סף'!F79)</f>
        <v/>
      </c>
      <c r="D79" s="82" t="str">
        <f>הגנה!AV79</f>
        <v/>
      </c>
      <c r="E79" s="45"/>
      <c r="F79" s="45"/>
      <c r="G79" s="82" t="str">
        <f t="shared" si="4"/>
        <v/>
      </c>
      <c r="H79" s="279" t="str">
        <f t="shared" si="5"/>
        <v/>
      </c>
      <c r="I79" s="49" t="str">
        <f t="shared" si="0"/>
        <v/>
      </c>
      <c r="K79" s="83"/>
      <c r="L79" s="83"/>
      <c r="M79" s="83"/>
      <c r="N79" s="83"/>
      <c r="O79" s="83"/>
      <c r="P79" s="83"/>
      <c r="Q79" s="83"/>
      <c r="R79" s="83"/>
      <c r="S79" s="83"/>
      <c r="T79" s="83"/>
      <c r="U79" s="83"/>
      <c r="V79" s="83"/>
      <c r="W79" s="83"/>
      <c r="X79" s="83"/>
      <c r="Y79" s="49" t="str">
        <f t="shared" si="10"/>
        <v/>
      </c>
      <c r="Z79" s="84" t="str">
        <f t="shared" si="11"/>
        <v/>
      </c>
      <c r="AE79" s="189">
        <f t="shared" si="6"/>
        <v>1</v>
      </c>
      <c r="AF79" s="187">
        <f t="shared" si="7"/>
        <v>0</v>
      </c>
      <c r="AG79" s="187">
        <f t="shared" si="8"/>
        <v>0</v>
      </c>
      <c r="AH79" s="187">
        <f t="shared" si="9"/>
        <v>1</v>
      </c>
    </row>
    <row r="80" spans="2:34" ht="27.75" hidden="1" customHeight="1" x14ac:dyDescent="0.25">
      <c r="B80" s="80" t="str">
        <f t="shared" si="3"/>
        <v/>
      </c>
      <c r="C80" s="421" t="str">
        <f>IF('תנאי סף'!AO80&lt;&gt;1,"",'תנאי סף'!F80)</f>
        <v/>
      </c>
      <c r="D80" s="82" t="str">
        <f>הגנה!AV80</f>
        <v/>
      </c>
      <c r="E80" s="45"/>
      <c r="F80" s="45"/>
      <c r="G80" s="82" t="str">
        <f t="shared" si="4"/>
        <v/>
      </c>
      <c r="H80" s="279" t="str">
        <f t="shared" si="5"/>
        <v/>
      </c>
      <c r="I80" s="49" t="str">
        <f t="shared" si="0"/>
        <v/>
      </c>
      <c r="K80" s="83"/>
      <c r="L80" s="83"/>
      <c r="M80" s="83"/>
      <c r="N80" s="83"/>
      <c r="O80" s="83"/>
      <c r="P80" s="83"/>
      <c r="Q80" s="83"/>
      <c r="R80" s="83"/>
      <c r="S80" s="83"/>
      <c r="T80" s="83"/>
      <c r="U80" s="83"/>
      <c r="V80" s="83"/>
      <c r="W80" s="83"/>
      <c r="X80" s="83"/>
      <c r="Y80" s="49" t="str">
        <f t="shared" si="10"/>
        <v/>
      </c>
      <c r="Z80" s="84" t="str">
        <f t="shared" si="11"/>
        <v/>
      </c>
      <c r="AE80" s="189">
        <f t="shared" si="6"/>
        <v>1</v>
      </c>
      <c r="AF80" s="187">
        <f t="shared" si="7"/>
        <v>0</v>
      </c>
      <c r="AG80" s="187">
        <f t="shared" si="8"/>
        <v>0</v>
      </c>
      <c r="AH80" s="187">
        <f t="shared" si="9"/>
        <v>1</v>
      </c>
    </row>
    <row r="81" spans="2:34" ht="27.75" hidden="1" customHeight="1" x14ac:dyDescent="0.25">
      <c r="B81" s="80" t="str">
        <f t="shared" si="3"/>
        <v/>
      </c>
      <c r="C81" s="421" t="str">
        <f>IF('תנאי סף'!AO81&lt;&gt;1,"",'תנאי סף'!F81)</f>
        <v/>
      </c>
      <c r="D81" s="82" t="str">
        <f>הגנה!AV81</f>
        <v/>
      </c>
      <c r="E81" s="45"/>
      <c r="F81" s="45"/>
      <c r="G81" s="82" t="str">
        <f t="shared" si="4"/>
        <v/>
      </c>
      <c r="H81" s="279" t="str">
        <f t="shared" si="5"/>
        <v/>
      </c>
      <c r="I81" s="49" t="str">
        <f t="shared" si="0"/>
        <v/>
      </c>
      <c r="K81" s="83"/>
      <c r="L81" s="83"/>
      <c r="M81" s="83"/>
      <c r="N81" s="83"/>
      <c r="O81" s="83"/>
      <c r="P81" s="83"/>
      <c r="Q81" s="83"/>
      <c r="R81" s="83"/>
      <c r="S81" s="83"/>
      <c r="T81" s="83"/>
      <c r="U81" s="83"/>
      <c r="V81" s="83"/>
      <c r="W81" s="83"/>
      <c r="X81" s="83"/>
      <c r="Y81" s="49" t="str">
        <f t="shared" si="10"/>
        <v/>
      </c>
      <c r="Z81" s="84" t="str">
        <f t="shared" si="11"/>
        <v/>
      </c>
      <c r="AE81" s="189">
        <f t="shared" si="6"/>
        <v>1</v>
      </c>
      <c r="AF81" s="187">
        <f t="shared" si="7"/>
        <v>0</v>
      </c>
      <c r="AG81" s="187">
        <f t="shared" si="8"/>
        <v>0</v>
      </c>
      <c r="AH81" s="187">
        <f t="shared" si="9"/>
        <v>1</v>
      </c>
    </row>
    <row r="82" spans="2:34" ht="27.75" customHeight="1" x14ac:dyDescent="0.25">
      <c r="B82" s="80">
        <f t="shared" si="3"/>
        <v>52</v>
      </c>
      <c r="C82" s="421" t="str">
        <f>IF('תנאי סף'!AO82&lt;&gt;1,"",'תנאי סף'!F82)</f>
        <v xml:space="preserve">פולקעס - בר-קיימא לתרבות </v>
      </c>
      <c r="D82" s="82">
        <f>הגנה!AV82</f>
        <v>4.2859499491215751E-2</v>
      </c>
      <c r="E82" s="45">
        <v>2</v>
      </c>
      <c r="F82" s="45">
        <v>4</v>
      </c>
      <c r="G82" s="82">
        <f t="shared" si="4"/>
        <v>0.5</v>
      </c>
      <c r="H82" s="279">
        <f t="shared" si="5"/>
        <v>1</v>
      </c>
      <c r="I82" s="49">
        <f t="shared" si="0"/>
        <v>4.3716689481040065E-2</v>
      </c>
      <c r="K82" s="83"/>
      <c r="L82" s="83"/>
      <c r="M82" s="83"/>
      <c r="N82" s="83"/>
      <c r="O82" s="83"/>
      <c r="P82" s="83"/>
      <c r="Q82" s="83"/>
      <c r="R82" s="83"/>
      <c r="S82" s="83"/>
      <c r="T82" s="83"/>
      <c r="U82" s="83"/>
      <c r="V82" s="83"/>
      <c r="W82" s="83"/>
      <c r="X82" s="83"/>
      <c r="Y82" s="49">
        <f t="shared" si="10"/>
        <v>4.3431835424599621E-2</v>
      </c>
      <c r="Z82" s="84">
        <f t="shared" si="11"/>
        <v>133612.26524966926</v>
      </c>
      <c r="AE82" s="189">
        <f t="shared" si="6"/>
        <v>1</v>
      </c>
      <c r="AF82" s="187">
        <f t="shared" si="7"/>
        <v>1</v>
      </c>
      <c r="AG82" s="187">
        <f t="shared" si="8"/>
        <v>1</v>
      </c>
      <c r="AH82" s="187">
        <f t="shared" si="9"/>
        <v>1</v>
      </c>
    </row>
    <row r="83" spans="2:34" ht="27.75" hidden="1" customHeight="1" x14ac:dyDescent="0.25">
      <c r="B83" s="80" t="str">
        <f t="shared" si="3"/>
        <v/>
      </c>
      <c r="C83" s="421" t="str">
        <f>IF('תנאי סף'!AO83&lt;&gt;1,"",'תנאי סף'!F83)</f>
        <v/>
      </c>
      <c r="D83" s="82" t="str">
        <f>הגנה!AV83</f>
        <v/>
      </c>
      <c r="E83" s="45"/>
      <c r="F83" s="45"/>
      <c r="G83" s="82" t="str">
        <f t="shared" si="4"/>
        <v/>
      </c>
      <c r="H83" s="279" t="str">
        <f t="shared" si="5"/>
        <v/>
      </c>
      <c r="I83" s="49" t="str">
        <f t="shared" si="0"/>
        <v/>
      </c>
      <c r="K83" s="83"/>
      <c r="L83" s="83"/>
      <c r="M83" s="83"/>
      <c r="N83" s="83"/>
      <c r="O83" s="83"/>
      <c r="P83" s="83"/>
      <c r="Q83" s="83"/>
      <c r="R83" s="83"/>
      <c r="S83" s="83"/>
      <c r="T83" s="83"/>
      <c r="U83" s="83"/>
      <c r="V83" s="83"/>
      <c r="W83" s="83"/>
      <c r="X83" s="83"/>
      <c r="Y83" s="49" t="str">
        <f t="shared" si="10"/>
        <v/>
      </c>
      <c r="Z83" s="84" t="str">
        <f t="shared" si="11"/>
        <v/>
      </c>
      <c r="AE83" s="189">
        <f t="shared" si="6"/>
        <v>1</v>
      </c>
      <c r="AF83" s="187">
        <f t="shared" si="7"/>
        <v>0</v>
      </c>
      <c r="AG83" s="187">
        <f t="shared" si="8"/>
        <v>0</v>
      </c>
      <c r="AH83" s="187">
        <f t="shared" si="9"/>
        <v>1</v>
      </c>
    </row>
    <row r="84" spans="2:34" ht="27.75" hidden="1" customHeight="1" x14ac:dyDescent="0.25">
      <c r="B84" s="80" t="str">
        <f t="shared" si="3"/>
        <v/>
      </c>
      <c r="C84" s="421" t="str">
        <f>IF('תנאי סף'!AO84&lt;&gt;1,"",'תנאי סף'!F84)</f>
        <v/>
      </c>
      <c r="D84" s="82" t="str">
        <f>הגנה!AV84</f>
        <v/>
      </c>
      <c r="E84" s="45"/>
      <c r="F84" s="45"/>
      <c r="G84" s="82" t="str">
        <f t="shared" si="4"/>
        <v/>
      </c>
      <c r="H84" s="279" t="str">
        <f t="shared" si="5"/>
        <v/>
      </c>
      <c r="I84" s="49" t="str">
        <f t="shared" si="0"/>
        <v/>
      </c>
      <c r="K84" s="83"/>
      <c r="L84" s="83"/>
      <c r="M84" s="83"/>
      <c r="N84" s="83"/>
      <c r="O84" s="83"/>
      <c r="P84" s="83"/>
      <c r="Q84" s="83"/>
      <c r="R84" s="83"/>
      <c r="S84" s="83"/>
      <c r="T84" s="83"/>
      <c r="U84" s="83"/>
      <c r="V84" s="83"/>
      <c r="W84" s="83"/>
      <c r="X84" s="83"/>
      <c r="Y84" s="49" t="str">
        <f t="shared" si="10"/>
        <v/>
      </c>
      <c r="Z84" s="84" t="str">
        <f t="shared" si="11"/>
        <v/>
      </c>
      <c r="AE84" s="189">
        <f t="shared" si="6"/>
        <v>1</v>
      </c>
      <c r="AF84" s="187">
        <f t="shared" si="7"/>
        <v>0</v>
      </c>
      <c r="AG84" s="187">
        <f t="shared" si="8"/>
        <v>0</v>
      </c>
      <c r="AH84" s="187">
        <f t="shared" si="9"/>
        <v>1</v>
      </c>
    </row>
    <row r="85" spans="2:34" ht="27.75" customHeight="1" x14ac:dyDescent="0.25">
      <c r="B85" s="80">
        <f t="shared" si="3"/>
        <v>55</v>
      </c>
      <c r="C85" s="421" t="str">
        <f>IF('תנאי סף'!AO85&lt;&gt;1,"",'תנאי סף'!F85)</f>
        <v>מכון רננות</v>
      </c>
      <c r="D85" s="82">
        <f>הגנה!AV85</f>
        <v>2.2823901512857948E-2</v>
      </c>
      <c r="E85" s="45">
        <v>1</v>
      </c>
      <c r="F85" s="45">
        <v>4</v>
      </c>
      <c r="G85" s="82">
        <f t="shared" si="4"/>
        <v>0.25</v>
      </c>
      <c r="H85" s="279">
        <f t="shared" si="5"/>
        <v>0</v>
      </c>
      <c r="I85" s="49">
        <f t="shared" si="0"/>
        <v>2.2823901512857948E-2</v>
      </c>
      <c r="K85" s="83"/>
      <c r="L85" s="83"/>
      <c r="M85" s="83"/>
      <c r="N85" s="83"/>
      <c r="O85" s="83"/>
      <c r="P85" s="83"/>
      <c r="Q85" s="83"/>
      <c r="R85" s="83"/>
      <c r="S85" s="83"/>
      <c r="T85" s="83"/>
      <c r="U85" s="83"/>
      <c r="V85" s="83"/>
      <c r="W85" s="83"/>
      <c r="X85" s="83"/>
      <c r="Y85" s="49">
        <f t="shared" si="10"/>
        <v>2.2675183002675365E-2</v>
      </c>
      <c r="Z85" s="84">
        <f t="shared" si="11"/>
        <v>69757.184708391404</v>
      </c>
      <c r="AE85" s="189">
        <f t="shared" si="6"/>
        <v>1</v>
      </c>
      <c r="AF85" s="187">
        <f t="shared" si="7"/>
        <v>1</v>
      </c>
      <c r="AG85" s="187">
        <f t="shared" si="8"/>
        <v>1</v>
      </c>
      <c r="AH85" s="187">
        <f t="shared" si="9"/>
        <v>1</v>
      </c>
    </row>
    <row r="86" spans="2:34" ht="27.75" hidden="1" customHeight="1" x14ac:dyDescent="0.25">
      <c r="B86" s="80" t="str">
        <f t="shared" si="3"/>
        <v/>
      </c>
      <c r="C86" s="421" t="str">
        <f>IF('תנאי סף'!AO86&lt;&gt;1,"",'תנאי סף'!F86)</f>
        <v/>
      </c>
      <c r="D86" s="82" t="str">
        <f>הגנה!AV86</f>
        <v/>
      </c>
      <c r="E86" s="45"/>
      <c r="F86" s="45"/>
      <c r="G86" s="82" t="str">
        <f t="shared" si="4"/>
        <v/>
      </c>
      <c r="H86" s="279" t="str">
        <f t="shared" si="5"/>
        <v/>
      </c>
      <c r="I86" s="49" t="str">
        <f t="shared" si="0"/>
        <v/>
      </c>
      <c r="K86" s="83"/>
      <c r="L86" s="83"/>
      <c r="M86" s="83"/>
      <c r="N86" s="83"/>
      <c r="O86" s="83"/>
      <c r="P86" s="83"/>
      <c r="Q86" s="83"/>
      <c r="R86" s="83"/>
      <c r="S86" s="83"/>
      <c r="T86" s="83"/>
      <c r="U86" s="83"/>
      <c r="V86" s="83"/>
      <c r="W86" s="83"/>
      <c r="X86" s="83"/>
      <c r="Y86" s="49" t="str">
        <f t="shared" si="10"/>
        <v/>
      </c>
      <c r="Z86" s="84" t="str">
        <f t="shared" si="11"/>
        <v/>
      </c>
      <c r="AE86" s="189">
        <f t="shared" si="6"/>
        <v>1</v>
      </c>
      <c r="AF86" s="187">
        <f t="shared" si="7"/>
        <v>0</v>
      </c>
      <c r="AG86" s="187">
        <f t="shared" si="8"/>
        <v>0</v>
      </c>
      <c r="AH86" s="187">
        <f t="shared" si="9"/>
        <v>1</v>
      </c>
    </row>
    <row r="87" spans="2:34" ht="27.75" customHeight="1" x14ac:dyDescent="0.25">
      <c r="B87" s="80">
        <f t="shared" si="3"/>
        <v>57</v>
      </c>
      <c r="C87" s="421" t="str">
        <f>IF('תנאי סף'!AO87&lt;&gt;1,"",'תנאי סף'!F87)</f>
        <v>עמותת מפעל המוזיקה צימבליסטה</v>
      </c>
      <c r="D87" s="82">
        <f>הגנה!AV87</f>
        <v>2.7067721828823901E-2</v>
      </c>
      <c r="E87" s="45">
        <v>1</v>
      </c>
      <c r="F87" s="45">
        <v>6</v>
      </c>
      <c r="G87" s="82">
        <f t="shared" si="4"/>
        <v>0.16666666666666666</v>
      </c>
      <c r="H87" s="279">
        <f t="shared" si="5"/>
        <v>0</v>
      </c>
      <c r="I87" s="49">
        <f t="shared" si="0"/>
        <v>2.7067721828823901E-2</v>
      </c>
      <c r="K87" s="83"/>
      <c r="L87" s="83"/>
      <c r="M87" s="83"/>
      <c r="N87" s="83"/>
      <c r="O87" s="83"/>
      <c r="P87" s="83"/>
      <c r="Q87" s="83"/>
      <c r="R87" s="83"/>
      <c r="S87" s="83"/>
      <c r="T87" s="83"/>
      <c r="U87" s="83"/>
      <c r="V87" s="83"/>
      <c r="W87" s="83"/>
      <c r="X87" s="83"/>
      <c r="Y87" s="49">
        <f t="shared" si="10"/>
        <v>2.6891350963301568E-2</v>
      </c>
      <c r="Z87" s="84">
        <f t="shared" si="11"/>
        <v>82727.664688919162</v>
      </c>
      <c r="AE87" s="189">
        <f t="shared" si="6"/>
        <v>1</v>
      </c>
      <c r="AF87" s="187">
        <f t="shared" si="7"/>
        <v>1</v>
      </c>
      <c r="AG87" s="187">
        <f t="shared" si="8"/>
        <v>1</v>
      </c>
      <c r="AH87" s="187">
        <f t="shared" si="9"/>
        <v>1</v>
      </c>
    </row>
    <row r="88" spans="2:34" ht="27.75" hidden="1" customHeight="1" x14ac:dyDescent="0.25">
      <c r="B88" s="80" t="str">
        <f t="shared" si="3"/>
        <v/>
      </c>
      <c r="C88" s="421" t="str">
        <f>IF('תנאי סף'!AO88&lt;&gt;1,"",'תנאי סף'!F88)</f>
        <v/>
      </c>
      <c r="D88" s="82" t="str">
        <f>הגנה!AV88</f>
        <v/>
      </c>
      <c r="E88" s="45"/>
      <c r="F88" s="45"/>
      <c r="G88" s="82" t="str">
        <f t="shared" si="4"/>
        <v/>
      </c>
      <c r="H88" s="279" t="str">
        <f t="shared" si="5"/>
        <v/>
      </c>
      <c r="I88" s="49" t="str">
        <f t="shared" si="0"/>
        <v/>
      </c>
      <c r="K88" s="83"/>
      <c r="L88" s="83"/>
      <c r="M88" s="83"/>
      <c r="N88" s="83"/>
      <c r="O88" s="83"/>
      <c r="P88" s="83"/>
      <c r="Q88" s="83"/>
      <c r="R88" s="83"/>
      <c r="S88" s="83"/>
      <c r="T88" s="83"/>
      <c r="U88" s="83"/>
      <c r="V88" s="83"/>
      <c r="W88" s="83"/>
      <c r="X88" s="83"/>
      <c r="Y88" s="49" t="str">
        <f t="shared" si="10"/>
        <v/>
      </c>
      <c r="Z88" s="84" t="str">
        <f t="shared" si="11"/>
        <v/>
      </c>
      <c r="AE88" s="189">
        <f t="shared" si="6"/>
        <v>1</v>
      </c>
      <c r="AF88" s="187">
        <f t="shared" si="7"/>
        <v>0</v>
      </c>
      <c r="AG88" s="187">
        <f t="shared" si="8"/>
        <v>0</v>
      </c>
      <c r="AH88" s="187">
        <f t="shared" si="9"/>
        <v>1</v>
      </c>
    </row>
    <row r="89" spans="2:34" ht="27.75" customHeight="1" x14ac:dyDescent="0.25">
      <c r="B89" s="80">
        <f t="shared" si="3"/>
        <v>59</v>
      </c>
      <c r="C89" s="421" t="str">
        <f>IF('תנאי סף'!AO89&lt;&gt;1,"",'תנאי סף'!F89)</f>
        <v>העמותה לקידום המוסיקה הערבית</v>
      </c>
      <c r="D89" s="82">
        <f>הגנה!AV89</f>
        <v>6.9068748925787904E-2</v>
      </c>
      <c r="E89" s="45">
        <v>3</v>
      </c>
      <c r="F89" s="45">
        <v>4</v>
      </c>
      <c r="G89" s="82">
        <f t="shared" si="4"/>
        <v>0.75</v>
      </c>
      <c r="H89" s="279">
        <f t="shared" si="5"/>
        <v>1</v>
      </c>
      <c r="I89" s="49">
        <f t="shared" si="0"/>
        <v>7.0450123904303663E-2</v>
      </c>
      <c r="K89" s="83"/>
      <c r="L89" s="83"/>
      <c r="M89" s="83"/>
      <c r="N89" s="83"/>
      <c r="O89" s="83"/>
      <c r="P89" s="83"/>
      <c r="Q89" s="83"/>
      <c r="R89" s="83"/>
      <c r="S89" s="83"/>
      <c r="T89" s="83"/>
      <c r="U89" s="83"/>
      <c r="V89" s="83"/>
      <c r="W89" s="83"/>
      <c r="X89" s="83"/>
      <c r="Y89" s="49">
        <f t="shared" si="10"/>
        <v>6.9991077169312979E-2</v>
      </c>
      <c r="Z89" s="84">
        <f t="shared" si="11"/>
        <v>215318.24009812786</v>
      </c>
      <c r="AE89" s="189">
        <f t="shared" si="6"/>
        <v>1</v>
      </c>
      <c r="AF89" s="187">
        <f t="shared" si="7"/>
        <v>1</v>
      </c>
      <c r="AG89" s="187">
        <f t="shared" si="8"/>
        <v>1</v>
      </c>
      <c r="AH89" s="187">
        <f t="shared" si="9"/>
        <v>1</v>
      </c>
    </row>
    <row r="90" spans="2:34" ht="27.75" customHeight="1" x14ac:dyDescent="0.25">
      <c r="B90" s="80">
        <f t="shared" si="3"/>
        <v>60</v>
      </c>
      <c r="C90" s="421" t="str">
        <f>IF('תנאי סף'!AO90&lt;&gt;1,"",'תנאי סף'!F90)</f>
        <v>תמיכה בתזמורת TLV (הערבית יהודית)</v>
      </c>
      <c r="D90" s="82">
        <f>הגנה!AV90</f>
        <v>3.0070879644423964E-2</v>
      </c>
      <c r="E90" s="45">
        <v>3</v>
      </c>
      <c r="F90" s="45">
        <v>12</v>
      </c>
      <c r="G90" s="82">
        <f t="shared" si="4"/>
        <v>0.25</v>
      </c>
      <c r="H90" s="279">
        <f t="shared" si="5"/>
        <v>0</v>
      </c>
      <c r="I90" s="49">
        <f t="shared" si="0"/>
        <v>3.0070879644423964E-2</v>
      </c>
      <c r="K90" s="83"/>
      <c r="L90" s="83"/>
      <c r="M90" s="83"/>
      <c r="N90" s="83"/>
      <c r="O90" s="83"/>
      <c r="P90" s="83"/>
      <c r="Q90" s="83"/>
      <c r="R90" s="83"/>
      <c r="S90" s="83"/>
      <c r="T90" s="83"/>
      <c r="U90" s="83"/>
      <c r="V90" s="83"/>
      <c r="W90" s="83"/>
      <c r="X90" s="83"/>
      <c r="Y90" s="49">
        <f t="shared" si="10"/>
        <v>2.9874940469954644E-2</v>
      </c>
      <c r="Z90" s="84">
        <f t="shared" si="11"/>
        <v>91906.280988732964</v>
      </c>
      <c r="AE90" s="189">
        <f t="shared" si="6"/>
        <v>1</v>
      </c>
      <c r="AF90" s="187">
        <f t="shared" si="7"/>
        <v>1</v>
      </c>
      <c r="AG90" s="187">
        <f t="shared" si="8"/>
        <v>1</v>
      </c>
      <c r="AH90" s="187">
        <f t="shared" si="9"/>
        <v>1</v>
      </c>
    </row>
    <row r="91" spans="2:34" ht="27.75" customHeight="1" x14ac:dyDescent="0.25">
      <c r="B91" s="80">
        <f t="shared" si="3"/>
        <v>61</v>
      </c>
      <c r="C91" s="421" t="str">
        <f>IF('תנאי סף'!AO91&lt;&gt;1,"",'תנאי סף'!F91)</f>
        <v>אנסמבל גליל</v>
      </c>
      <c r="D91" s="82">
        <f>הגנה!AV91</f>
        <v>1.8779806056226003E-2</v>
      </c>
      <c r="E91" s="45">
        <v>1</v>
      </c>
      <c r="F91" s="45">
        <v>2</v>
      </c>
      <c r="G91" s="82">
        <f t="shared" si="4"/>
        <v>0.5</v>
      </c>
      <c r="H91" s="279">
        <f t="shared" si="5"/>
        <v>1</v>
      </c>
      <c r="I91" s="49">
        <f t="shared" si="0"/>
        <v>1.9155402177350522E-2</v>
      </c>
      <c r="K91" s="83"/>
      <c r="L91" s="83"/>
      <c r="M91" s="83"/>
      <c r="N91" s="83"/>
      <c r="O91" s="83"/>
      <c r="P91" s="83"/>
      <c r="Q91" s="83"/>
      <c r="R91" s="83"/>
      <c r="S91" s="83"/>
      <c r="T91" s="83"/>
      <c r="U91" s="83"/>
      <c r="V91" s="83"/>
      <c r="W91" s="83"/>
      <c r="X91" s="83"/>
      <c r="Y91" s="49">
        <f t="shared" si="10"/>
        <v>1.9030587282221446E-2</v>
      </c>
      <c r="Z91" s="84">
        <f t="shared" si="11"/>
        <v>58545.07070564574</v>
      </c>
      <c r="AE91" s="189">
        <f t="shared" si="6"/>
        <v>1</v>
      </c>
      <c r="AF91" s="187">
        <f t="shared" si="7"/>
        <v>1</v>
      </c>
      <c r="AG91" s="187">
        <f t="shared" si="8"/>
        <v>1</v>
      </c>
      <c r="AH91" s="187">
        <f t="shared" si="9"/>
        <v>1</v>
      </c>
    </row>
    <row r="92" spans="2:34" ht="27.75" customHeight="1" x14ac:dyDescent="0.25">
      <c r="B92" s="80">
        <f t="shared" si="3"/>
        <v>62</v>
      </c>
      <c r="C92" s="421" t="str">
        <f>IF('תנאי סף'!AO92&lt;&gt;1,"",'תנאי סף'!F92)</f>
        <v>דריה- הרכב אינסטרומנטלי</v>
      </c>
      <c r="D92" s="82">
        <f>הגנה!AV92</f>
        <v>1.3758238070466047E-2</v>
      </c>
      <c r="E92" s="45">
        <v>1</v>
      </c>
      <c r="F92" s="45">
        <v>4</v>
      </c>
      <c r="G92" s="82">
        <f t="shared" si="4"/>
        <v>0.25</v>
      </c>
      <c r="H92" s="279">
        <f t="shared" si="5"/>
        <v>0</v>
      </c>
      <c r="I92" s="49">
        <f t="shared" si="0"/>
        <v>1.3758238070466047E-2</v>
      </c>
      <c r="K92" s="83"/>
      <c r="L92" s="83"/>
      <c r="M92" s="83"/>
      <c r="N92" s="83"/>
      <c r="O92" s="83"/>
      <c r="P92" s="83"/>
      <c r="Q92" s="83"/>
      <c r="R92" s="83"/>
      <c r="S92" s="83"/>
      <c r="T92" s="83"/>
      <c r="U92" s="83"/>
      <c r="V92" s="83"/>
      <c r="W92" s="83"/>
      <c r="X92" s="83"/>
      <c r="Y92" s="49">
        <f t="shared" si="10"/>
        <v>1.3668590616132952E-2</v>
      </c>
      <c r="Z92" s="84">
        <f t="shared" si="11"/>
        <v>42049.601107981078</v>
      </c>
      <c r="AE92" s="189">
        <f t="shared" si="6"/>
        <v>1</v>
      </c>
      <c r="AF92" s="187">
        <f t="shared" si="7"/>
        <v>1</v>
      </c>
      <c r="AG92" s="187">
        <f t="shared" si="8"/>
        <v>1</v>
      </c>
      <c r="AH92" s="187">
        <f t="shared" si="9"/>
        <v>1</v>
      </c>
    </row>
    <row r="93" spans="2:34" ht="27.75" customHeight="1" x14ac:dyDescent="0.25">
      <c r="B93" s="80">
        <f t="shared" si="3"/>
        <v>63</v>
      </c>
      <c r="C93" s="421" t="str">
        <f>IF('תנאי סף'!AO93&lt;&gt;1,"",'תנאי סף'!F93)</f>
        <v>להקת שלוש</v>
      </c>
      <c r="D93" s="82">
        <f>הגנה!AV93</f>
        <v>1.604508659764757E-2</v>
      </c>
      <c r="E93" s="45">
        <v>1</v>
      </c>
      <c r="F93" s="45">
        <v>4</v>
      </c>
      <c r="G93" s="82">
        <f t="shared" si="4"/>
        <v>0.25</v>
      </c>
      <c r="H93" s="279">
        <f t="shared" si="5"/>
        <v>0</v>
      </c>
      <c r="I93" s="49">
        <f t="shared" si="0"/>
        <v>1.604508659764757E-2</v>
      </c>
      <c r="K93" s="83"/>
      <c r="L93" s="83"/>
      <c r="M93" s="83"/>
      <c r="N93" s="83"/>
      <c r="O93" s="83"/>
      <c r="P93" s="83"/>
      <c r="Q93" s="83"/>
      <c r="R93" s="83"/>
      <c r="S93" s="83"/>
      <c r="T93" s="83"/>
      <c r="U93" s="83"/>
      <c r="V93" s="83"/>
      <c r="W93" s="83"/>
      <c r="X93" s="83"/>
      <c r="Y93" s="49">
        <f t="shared" si="10"/>
        <v>1.5940538241915821E-2</v>
      </c>
      <c r="Z93" s="84">
        <f t="shared" si="11"/>
        <v>49038.94580966785</v>
      </c>
      <c r="AE93" s="189">
        <f t="shared" si="6"/>
        <v>1</v>
      </c>
      <c r="AF93" s="187">
        <f t="shared" si="7"/>
        <v>1</v>
      </c>
      <c r="AG93" s="187">
        <f t="shared" si="8"/>
        <v>1</v>
      </c>
      <c r="AH93" s="187">
        <f t="shared" si="9"/>
        <v>1</v>
      </c>
    </row>
    <row r="94" spans="2:34" ht="27.75" customHeight="1" x14ac:dyDescent="0.25">
      <c r="B94" s="80">
        <f t="shared" si="3"/>
        <v>64</v>
      </c>
      <c r="C94" s="421" t="str">
        <f>IF('תנאי סף'!AO94&lt;&gt;1,"",'תנאי סף'!F94)</f>
        <v>רביעיית טוסקאניני</v>
      </c>
      <c r="D94" s="82">
        <f>הגנה!AV94</f>
        <v>1.2081304352664695E-2</v>
      </c>
      <c r="E94" s="45">
        <v>1</v>
      </c>
      <c r="F94" s="45">
        <v>4</v>
      </c>
      <c r="G94" s="82">
        <f t="shared" si="4"/>
        <v>0.25</v>
      </c>
      <c r="H94" s="279">
        <f t="shared" si="5"/>
        <v>0</v>
      </c>
      <c r="I94" s="49">
        <f t="shared" si="0"/>
        <v>1.2081304352664695E-2</v>
      </c>
      <c r="K94" s="83"/>
      <c r="L94" s="83"/>
      <c r="M94" s="83"/>
      <c r="N94" s="83"/>
      <c r="O94" s="83"/>
      <c r="P94" s="83"/>
      <c r="Q94" s="83"/>
      <c r="R94" s="83"/>
      <c r="S94" s="83"/>
      <c r="T94" s="83"/>
      <c r="U94" s="83"/>
      <c r="V94" s="83"/>
      <c r="W94" s="83"/>
      <c r="X94" s="83"/>
      <c r="Y94" s="49">
        <f t="shared" si="10"/>
        <v>1.2002583649134738E-2</v>
      </c>
      <c r="Z94" s="84">
        <f t="shared" si="11"/>
        <v>36924.352252937686</v>
      </c>
      <c r="AE94" s="189">
        <f t="shared" si="6"/>
        <v>1</v>
      </c>
      <c r="AF94" s="187">
        <f t="shared" si="7"/>
        <v>1</v>
      </c>
      <c r="AG94" s="187">
        <f t="shared" si="8"/>
        <v>1</v>
      </c>
      <c r="AH94" s="187">
        <f t="shared" si="9"/>
        <v>1</v>
      </c>
    </row>
    <row r="95" spans="2:34" ht="27.75" customHeight="1" x14ac:dyDescent="0.25">
      <c r="B95" s="80">
        <f t="shared" si="3"/>
        <v>65</v>
      </c>
      <c r="C95" s="421" t="str">
        <f>IF('תנאי סף'!AO95&lt;&gt;1,"",'תנאי סף'!F95)</f>
        <v>תקוע-קבוצה מוזיקלית - 'דאפה' 2024</v>
      </c>
      <c r="D95" s="82">
        <f>הגנה!AV95</f>
        <v>3.2369984841381018E-2</v>
      </c>
      <c r="E95" s="45">
        <v>1</v>
      </c>
      <c r="F95" s="45">
        <v>2</v>
      </c>
      <c r="G95" s="82">
        <f t="shared" si="4"/>
        <v>0.5</v>
      </c>
      <c r="H95" s="279">
        <f t="shared" si="5"/>
        <v>1</v>
      </c>
      <c r="I95" s="49">
        <f t="shared" si="0"/>
        <v>3.3017384538208641E-2</v>
      </c>
      <c r="K95" s="83"/>
      <c r="L95" s="83"/>
      <c r="M95" s="83"/>
      <c r="N95" s="83"/>
      <c r="O95" s="83"/>
      <c r="P95" s="83"/>
      <c r="Q95" s="83"/>
      <c r="R95" s="83"/>
      <c r="S95" s="83"/>
      <c r="T95" s="83"/>
      <c r="U95" s="83"/>
      <c r="V95" s="83"/>
      <c r="W95" s="83"/>
      <c r="X95" s="83"/>
      <c r="Y95" s="49">
        <f t="shared" ref="Y95:Y130" si="12">IF(C95="","",IF($AH$27&lt;&gt;1,$AH$1,IFERROR(I95/SUMIF($I$31:$I$130,"&lt;&gt;#DIV/0!"),$AH$1)))</f>
        <v>3.2802246200186916E-2</v>
      </c>
      <c r="Z95" s="84">
        <f t="shared" ref="Z95:Z126" si="13">IF(C95="","",IF($AH$27&lt;&gt;1,$AH$1,IFERROR(Y95*$C$2,$AH$1)))</f>
        <v>100911.74773613042</v>
      </c>
      <c r="AE95" s="189">
        <f t="shared" si="6"/>
        <v>1</v>
      </c>
      <c r="AF95" s="187">
        <f t="shared" si="7"/>
        <v>1</v>
      </c>
      <c r="AG95" s="187">
        <f t="shared" si="8"/>
        <v>1</v>
      </c>
      <c r="AH95" s="187">
        <f t="shared" si="9"/>
        <v>1</v>
      </c>
    </row>
    <row r="96" spans="2:34" ht="27.75" customHeight="1" x14ac:dyDescent="0.25">
      <c r="B96" s="80">
        <f t="shared" ref="B96:B130" si="14">IF(C96="","",ROW()-30)</f>
        <v>66</v>
      </c>
      <c r="C96" s="421" t="str">
        <f>IF('תנאי סף'!AO96&lt;&gt;1,"",'תנאי סף'!F96)</f>
        <v>טריו בן חיים</v>
      </c>
      <c r="D96" s="82">
        <f>הגנה!AV96</f>
        <v>1.3980935142239026E-2</v>
      </c>
      <c r="E96" s="45">
        <v>1</v>
      </c>
      <c r="F96" s="45">
        <v>4</v>
      </c>
      <c r="G96" s="82">
        <f t="shared" ref="G96:G130" si="15">IF($C96="","",IFERROR(E96/F96,0))</f>
        <v>0.25</v>
      </c>
      <c r="H96" s="279">
        <f t="shared" ref="H96:H130" si="16">IF($C96="","",IFERROR(IF(G96&gt;=$D$5,1,0),$AH$1))</f>
        <v>0</v>
      </c>
      <c r="I96" s="49">
        <f t="shared" ref="I96:I130" si="17">IF(C96="","",IF(AH96&lt;&gt;1,$AH$1,IFERROR(IF(H96=1,D96*(1+$D$6),D96),"")))</f>
        <v>1.3980935142239026E-2</v>
      </c>
      <c r="K96" s="83"/>
      <c r="L96" s="83"/>
      <c r="M96" s="83"/>
      <c r="N96" s="83"/>
      <c r="O96" s="83"/>
      <c r="P96" s="83"/>
      <c r="Q96" s="83"/>
      <c r="R96" s="83"/>
      <c r="S96" s="83"/>
      <c r="T96" s="83"/>
      <c r="U96" s="83"/>
      <c r="V96" s="83"/>
      <c r="W96" s="83"/>
      <c r="X96" s="83"/>
      <c r="Y96" s="49">
        <f t="shared" si="12"/>
        <v>1.3889836613613597E-2</v>
      </c>
      <c r="Z96" s="84">
        <f t="shared" si="13"/>
        <v>42730.234993512619</v>
      </c>
      <c r="AE96" s="189">
        <f t="shared" ref="AE96:AE130" si="18">IF(D96=$AH$1,0,1)</f>
        <v>1</v>
      </c>
      <c r="AF96" s="187">
        <f t="shared" ref="AF96:AF130" si="19">IF(E96="",0,IFERROR(IF(E96*1&gt;=0,1,0),0))</f>
        <v>1</v>
      </c>
      <c r="AG96" s="187">
        <f t="shared" ref="AG96:AG130" si="20">IF(F96="",0,IFERROR(IF(OR(F96*1&lt;0,F96*1&lt;E96),0,1),0))</f>
        <v>1</v>
      </c>
      <c r="AH96" s="187">
        <f t="shared" ref="AH96:AH130" si="21">IF($C96="",1,IFERROR(IF(SUM(AE96:AG96)=COUNT(AE96:AG96),1,0),0))</f>
        <v>1</v>
      </c>
    </row>
    <row r="97" spans="2:34" ht="27.75" hidden="1" customHeight="1" x14ac:dyDescent="0.25">
      <c r="B97" s="80" t="str">
        <f t="shared" si="14"/>
        <v/>
      </c>
      <c r="C97" s="421" t="str">
        <f>IF('תנאי סף'!AO97&lt;&gt;1,"",'תנאי סף'!F97)</f>
        <v/>
      </c>
      <c r="D97" s="82" t="str">
        <f>הגנה!AV97</f>
        <v/>
      </c>
      <c r="E97" s="45"/>
      <c r="F97" s="45"/>
      <c r="G97" s="82" t="str">
        <f t="shared" si="15"/>
        <v/>
      </c>
      <c r="H97" s="279" t="str">
        <f t="shared" si="16"/>
        <v/>
      </c>
      <c r="I97" s="49" t="str">
        <f t="shared" si="17"/>
        <v/>
      </c>
      <c r="K97" s="83"/>
      <c r="L97" s="83"/>
      <c r="M97" s="83"/>
      <c r="N97" s="83"/>
      <c r="O97" s="83"/>
      <c r="P97" s="83"/>
      <c r="Q97" s="83"/>
      <c r="R97" s="83"/>
      <c r="S97" s="83"/>
      <c r="T97" s="83"/>
      <c r="U97" s="83"/>
      <c r="V97" s="83"/>
      <c r="W97" s="83"/>
      <c r="X97" s="83"/>
      <c r="Y97" s="49" t="str">
        <f t="shared" si="12"/>
        <v/>
      </c>
      <c r="Z97" s="84" t="str">
        <f t="shared" si="13"/>
        <v/>
      </c>
      <c r="AE97" s="189">
        <f t="shared" si="18"/>
        <v>1</v>
      </c>
      <c r="AF97" s="187">
        <f t="shared" si="19"/>
        <v>0</v>
      </c>
      <c r="AG97" s="187">
        <f t="shared" si="20"/>
        <v>0</v>
      </c>
      <c r="AH97" s="187">
        <f t="shared" si="21"/>
        <v>1</v>
      </c>
    </row>
    <row r="98" spans="2:34" ht="27.75" customHeight="1" x14ac:dyDescent="0.25">
      <c r="B98" s="80">
        <f t="shared" si="14"/>
        <v>68</v>
      </c>
      <c r="C98" s="421" t="str">
        <f>IF('תנאי סף'!AO98&lt;&gt;1,"",'תנאי סף'!F98)</f>
        <v>אמיתי אריכא והפרויקט D1</v>
      </c>
      <c r="D98" s="82">
        <f>הגנה!AV98</f>
        <v>1.8086195506961861E-2</v>
      </c>
      <c r="E98" s="45">
        <v>1</v>
      </c>
      <c r="F98" s="45">
        <v>4</v>
      </c>
      <c r="G98" s="82">
        <f t="shared" si="15"/>
        <v>0.25</v>
      </c>
      <c r="H98" s="279">
        <f t="shared" si="16"/>
        <v>0</v>
      </c>
      <c r="I98" s="49">
        <f t="shared" si="17"/>
        <v>1.8086195506961861E-2</v>
      </c>
      <c r="K98" s="83"/>
      <c r="L98" s="83"/>
      <c r="M98" s="83"/>
      <c r="N98" s="83"/>
      <c r="O98" s="83"/>
      <c r="P98" s="83"/>
      <c r="Q98" s="83"/>
      <c r="R98" s="83"/>
      <c r="S98" s="83"/>
      <c r="T98" s="83"/>
      <c r="U98" s="83"/>
      <c r="V98" s="83"/>
      <c r="W98" s="83"/>
      <c r="X98" s="83"/>
      <c r="Y98" s="49">
        <f t="shared" si="12"/>
        <v>1.7968347467302602E-2</v>
      </c>
      <c r="Z98" s="84">
        <f t="shared" si="13"/>
        <v>55277.231192943305</v>
      </c>
      <c r="AE98" s="189">
        <f t="shared" si="18"/>
        <v>1</v>
      </c>
      <c r="AF98" s="187">
        <f t="shared" si="19"/>
        <v>1</v>
      </c>
      <c r="AG98" s="187">
        <f t="shared" si="20"/>
        <v>1</v>
      </c>
      <c r="AH98" s="187">
        <f t="shared" si="21"/>
        <v>1</v>
      </c>
    </row>
    <row r="99" spans="2:34" x14ac:dyDescent="0.25">
      <c r="B99" s="80" t="str">
        <f t="shared" si="14"/>
        <v/>
      </c>
      <c r="C99" s="421" t="str">
        <f>IF('תנאי סף'!AO99&lt;&gt;1,"",'תנאי סף'!F99)</f>
        <v/>
      </c>
      <c r="D99" s="82" t="str">
        <f>הגנה!AV99</f>
        <v/>
      </c>
      <c r="E99" s="45"/>
      <c r="F99" s="45"/>
      <c r="G99" s="82" t="str">
        <f t="shared" si="15"/>
        <v/>
      </c>
      <c r="H99" s="279" t="str">
        <f t="shared" si="16"/>
        <v/>
      </c>
      <c r="I99" s="49" t="str">
        <f t="shared" si="17"/>
        <v/>
      </c>
      <c r="K99" s="83"/>
      <c r="L99" s="83"/>
      <c r="M99" s="83"/>
      <c r="N99" s="83"/>
      <c r="O99" s="83"/>
      <c r="P99" s="83"/>
      <c r="Q99" s="83"/>
      <c r="R99" s="83"/>
      <c r="S99" s="83"/>
      <c r="T99" s="83"/>
      <c r="U99" s="83"/>
      <c r="V99" s="83"/>
      <c r="W99" s="83"/>
      <c r="X99" s="83"/>
      <c r="Y99" s="49" t="str">
        <f t="shared" si="12"/>
        <v/>
      </c>
      <c r="Z99" s="84" t="str">
        <f t="shared" si="13"/>
        <v/>
      </c>
      <c r="AE99" s="189">
        <f t="shared" si="18"/>
        <v>1</v>
      </c>
      <c r="AF99" s="187">
        <f t="shared" si="19"/>
        <v>0</v>
      </c>
      <c r="AG99" s="187">
        <f t="shared" si="20"/>
        <v>0</v>
      </c>
      <c r="AH99" s="187">
        <f t="shared" si="21"/>
        <v>1</v>
      </c>
    </row>
    <row r="100" spans="2:34" x14ac:dyDescent="0.25">
      <c r="B100" s="80" t="str">
        <f t="shared" si="14"/>
        <v/>
      </c>
      <c r="C100" s="421" t="str">
        <f>IF('תנאי סף'!AO100&lt;&gt;1,"",'תנאי סף'!F100)</f>
        <v/>
      </c>
      <c r="D100" s="82" t="str">
        <f>הגנה!AV100</f>
        <v/>
      </c>
      <c r="E100" s="45"/>
      <c r="F100" s="45"/>
      <c r="G100" s="82" t="str">
        <f t="shared" si="15"/>
        <v/>
      </c>
      <c r="H100" s="279" t="str">
        <f t="shared" si="16"/>
        <v/>
      </c>
      <c r="I100" s="49" t="str">
        <f t="shared" si="17"/>
        <v/>
      </c>
      <c r="K100" s="83"/>
      <c r="L100" s="83"/>
      <c r="M100" s="83"/>
      <c r="N100" s="83"/>
      <c r="O100" s="83"/>
      <c r="P100" s="83"/>
      <c r="Q100" s="83"/>
      <c r="R100" s="83"/>
      <c r="S100" s="83"/>
      <c r="T100" s="83"/>
      <c r="U100" s="83"/>
      <c r="V100" s="83"/>
      <c r="W100" s="83"/>
      <c r="X100" s="83"/>
      <c r="Y100" s="49" t="str">
        <f t="shared" si="12"/>
        <v/>
      </c>
      <c r="Z100" s="84" t="str">
        <f t="shared" si="13"/>
        <v/>
      </c>
      <c r="AE100" s="189">
        <f t="shared" si="18"/>
        <v>1</v>
      </c>
      <c r="AF100" s="187">
        <f t="shared" si="19"/>
        <v>0</v>
      </c>
      <c r="AG100" s="187">
        <f t="shared" si="20"/>
        <v>0</v>
      </c>
      <c r="AH100" s="187">
        <f t="shared" si="21"/>
        <v>1</v>
      </c>
    </row>
    <row r="101" spans="2:34" x14ac:dyDescent="0.25">
      <c r="B101" s="80" t="str">
        <f t="shared" si="14"/>
        <v/>
      </c>
      <c r="C101" s="421" t="str">
        <f>IF('תנאי סף'!AO101&lt;&gt;1,"",'תנאי סף'!F101)</f>
        <v/>
      </c>
      <c r="D101" s="82" t="str">
        <f>הגנה!AV101</f>
        <v/>
      </c>
      <c r="E101" s="45"/>
      <c r="F101" s="45"/>
      <c r="G101" s="82" t="str">
        <f t="shared" si="15"/>
        <v/>
      </c>
      <c r="H101" s="279" t="str">
        <f t="shared" si="16"/>
        <v/>
      </c>
      <c r="I101" s="49" t="str">
        <f t="shared" si="17"/>
        <v/>
      </c>
      <c r="K101" s="83"/>
      <c r="L101" s="83"/>
      <c r="M101" s="83"/>
      <c r="N101" s="83"/>
      <c r="O101" s="83"/>
      <c r="P101" s="83"/>
      <c r="Q101" s="83"/>
      <c r="R101" s="83"/>
      <c r="S101" s="83"/>
      <c r="T101" s="83"/>
      <c r="U101" s="83"/>
      <c r="V101" s="83"/>
      <c r="W101" s="83"/>
      <c r="X101" s="83"/>
      <c r="Y101" s="49" t="str">
        <f t="shared" si="12"/>
        <v/>
      </c>
      <c r="Z101" s="84" t="str">
        <f t="shared" si="13"/>
        <v/>
      </c>
      <c r="AE101" s="189">
        <f t="shared" si="18"/>
        <v>1</v>
      </c>
      <c r="AF101" s="187">
        <f t="shared" si="19"/>
        <v>0</v>
      </c>
      <c r="AG101" s="187">
        <f t="shared" si="20"/>
        <v>0</v>
      </c>
      <c r="AH101" s="187">
        <f t="shared" si="21"/>
        <v>1</v>
      </c>
    </row>
    <row r="102" spans="2:34" x14ac:dyDescent="0.25">
      <c r="B102" s="80" t="str">
        <f t="shared" si="14"/>
        <v/>
      </c>
      <c r="C102" s="421" t="str">
        <f>IF('תנאי סף'!AO102&lt;&gt;1,"",'תנאי סף'!F102)</f>
        <v/>
      </c>
      <c r="D102" s="82" t="str">
        <f>הגנה!AV102</f>
        <v/>
      </c>
      <c r="E102" s="45"/>
      <c r="F102" s="45"/>
      <c r="G102" s="82" t="str">
        <f t="shared" si="15"/>
        <v/>
      </c>
      <c r="H102" s="279" t="str">
        <f t="shared" si="16"/>
        <v/>
      </c>
      <c r="I102" s="49" t="str">
        <f t="shared" si="17"/>
        <v/>
      </c>
      <c r="K102" s="83"/>
      <c r="L102" s="83"/>
      <c r="M102" s="83"/>
      <c r="N102" s="83"/>
      <c r="O102" s="83"/>
      <c r="P102" s="83"/>
      <c r="Q102" s="83"/>
      <c r="R102" s="83"/>
      <c r="S102" s="83"/>
      <c r="T102" s="83"/>
      <c r="U102" s="83"/>
      <c r="V102" s="83"/>
      <c r="W102" s="83"/>
      <c r="X102" s="83"/>
      <c r="Y102" s="49" t="str">
        <f t="shared" si="12"/>
        <v/>
      </c>
      <c r="Z102" s="84" t="str">
        <f t="shared" si="13"/>
        <v/>
      </c>
      <c r="AE102" s="189">
        <f t="shared" si="18"/>
        <v>1</v>
      </c>
      <c r="AF102" s="187">
        <f t="shared" si="19"/>
        <v>0</v>
      </c>
      <c r="AG102" s="187">
        <f t="shared" si="20"/>
        <v>0</v>
      </c>
      <c r="AH102" s="187">
        <f t="shared" si="21"/>
        <v>1</v>
      </c>
    </row>
    <row r="103" spans="2:34" x14ac:dyDescent="0.25">
      <c r="B103" s="80" t="str">
        <f t="shared" si="14"/>
        <v/>
      </c>
      <c r="C103" s="421" t="str">
        <f>IF('תנאי סף'!AO103&lt;&gt;1,"",'תנאי סף'!F103)</f>
        <v/>
      </c>
      <c r="D103" s="82" t="str">
        <f>הגנה!AV103</f>
        <v/>
      </c>
      <c r="E103" s="45"/>
      <c r="F103" s="45"/>
      <c r="G103" s="82" t="str">
        <f t="shared" si="15"/>
        <v/>
      </c>
      <c r="H103" s="279" t="str">
        <f t="shared" si="16"/>
        <v/>
      </c>
      <c r="I103" s="49" t="str">
        <f t="shared" si="17"/>
        <v/>
      </c>
      <c r="K103" s="83"/>
      <c r="L103" s="83"/>
      <c r="M103" s="83"/>
      <c r="N103" s="83"/>
      <c r="O103" s="83"/>
      <c r="P103" s="83"/>
      <c r="Q103" s="83"/>
      <c r="R103" s="83"/>
      <c r="S103" s="83"/>
      <c r="T103" s="83"/>
      <c r="U103" s="83"/>
      <c r="V103" s="83"/>
      <c r="W103" s="83"/>
      <c r="X103" s="83"/>
      <c r="Y103" s="49" t="str">
        <f t="shared" si="12"/>
        <v/>
      </c>
      <c r="Z103" s="84" t="str">
        <f t="shared" si="13"/>
        <v/>
      </c>
      <c r="AE103" s="189">
        <f t="shared" si="18"/>
        <v>1</v>
      </c>
      <c r="AF103" s="187">
        <f t="shared" si="19"/>
        <v>0</v>
      </c>
      <c r="AG103" s="187">
        <f t="shared" si="20"/>
        <v>0</v>
      </c>
      <c r="AH103" s="187">
        <f t="shared" si="21"/>
        <v>1</v>
      </c>
    </row>
    <row r="104" spans="2:34" x14ac:dyDescent="0.25">
      <c r="B104" s="80" t="str">
        <f t="shared" si="14"/>
        <v/>
      </c>
      <c r="C104" s="421" t="str">
        <f>IF('תנאי סף'!AO104&lt;&gt;1,"",'תנאי סף'!F104)</f>
        <v/>
      </c>
      <c r="D104" s="82" t="str">
        <f>הגנה!AV104</f>
        <v/>
      </c>
      <c r="E104" s="45"/>
      <c r="F104" s="45"/>
      <c r="G104" s="82" t="str">
        <f t="shared" si="15"/>
        <v/>
      </c>
      <c r="H104" s="279" t="str">
        <f t="shared" si="16"/>
        <v/>
      </c>
      <c r="I104" s="49" t="str">
        <f t="shared" si="17"/>
        <v/>
      </c>
      <c r="K104" s="83"/>
      <c r="L104" s="83"/>
      <c r="M104" s="83"/>
      <c r="N104" s="83"/>
      <c r="O104" s="83"/>
      <c r="P104" s="83"/>
      <c r="Q104" s="83"/>
      <c r="R104" s="83"/>
      <c r="S104" s="83"/>
      <c r="T104" s="83"/>
      <c r="U104" s="83"/>
      <c r="V104" s="83"/>
      <c r="W104" s="83"/>
      <c r="X104" s="83"/>
      <c r="Y104" s="49" t="str">
        <f t="shared" si="12"/>
        <v/>
      </c>
      <c r="Z104" s="84" t="str">
        <f t="shared" si="13"/>
        <v/>
      </c>
      <c r="AE104" s="189">
        <f t="shared" si="18"/>
        <v>1</v>
      </c>
      <c r="AF104" s="187">
        <f t="shared" si="19"/>
        <v>0</v>
      </c>
      <c r="AG104" s="187">
        <f t="shared" si="20"/>
        <v>0</v>
      </c>
      <c r="AH104" s="187">
        <f t="shared" si="21"/>
        <v>1</v>
      </c>
    </row>
    <row r="105" spans="2:34" x14ac:dyDescent="0.25">
      <c r="B105" s="80">
        <f t="shared" si="14"/>
        <v>75</v>
      </c>
      <c r="C105" s="421" t="str">
        <f>IF('תנאי סף'!AO105&lt;&gt;1,"",'תנאי סף'!F105)</f>
        <v>לבונטין 7</v>
      </c>
      <c r="D105" s="82">
        <f>הגנה!AV105</f>
        <v>2.3595763826654518E-2</v>
      </c>
      <c r="E105" s="45">
        <v>0</v>
      </c>
      <c r="F105" s="45">
        <v>2</v>
      </c>
      <c r="G105" s="82">
        <f t="shared" si="15"/>
        <v>0</v>
      </c>
      <c r="H105" s="279">
        <f t="shared" si="16"/>
        <v>0</v>
      </c>
      <c r="I105" s="49">
        <f t="shared" si="17"/>
        <v>2.3595763826654518E-2</v>
      </c>
      <c r="K105" s="83"/>
      <c r="L105" s="83"/>
      <c r="M105" s="83"/>
      <c r="N105" s="83"/>
      <c r="O105" s="83"/>
      <c r="P105" s="83"/>
      <c r="Q105" s="83"/>
      <c r="R105" s="83"/>
      <c r="S105" s="83"/>
      <c r="T105" s="83"/>
      <c r="U105" s="83"/>
      <c r="V105" s="83"/>
      <c r="W105" s="83"/>
      <c r="X105" s="83"/>
      <c r="Y105" s="49">
        <f t="shared" si="12"/>
        <v>2.3442015930356278E-2</v>
      </c>
      <c r="Z105" s="84">
        <f t="shared" si="13"/>
        <v>72116.244221622357</v>
      </c>
      <c r="AE105" s="189">
        <f t="shared" si="18"/>
        <v>1</v>
      </c>
      <c r="AF105" s="187">
        <f t="shared" si="19"/>
        <v>1</v>
      </c>
      <c r="AG105" s="187">
        <f t="shared" si="20"/>
        <v>1</v>
      </c>
      <c r="AH105" s="187">
        <f t="shared" si="21"/>
        <v>1</v>
      </c>
    </row>
    <row r="106" spans="2:34" x14ac:dyDescent="0.25">
      <c r="B106" s="80">
        <f t="shared" si="14"/>
        <v>76</v>
      </c>
      <c r="C106" s="421" t="str">
        <f>IF('תנאי סף'!AO106&lt;&gt;1,"",'תנאי סף'!F106)</f>
        <v>מולטי פיאנו- פליציה בלומנטל</v>
      </c>
      <c r="D106" s="82">
        <f>הגנה!AV106</f>
        <v>1.7146521879135911E-2</v>
      </c>
      <c r="E106" s="45">
        <v>1</v>
      </c>
      <c r="F106" s="45">
        <v>4</v>
      </c>
      <c r="G106" s="82">
        <f t="shared" si="15"/>
        <v>0.25</v>
      </c>
      <c r="H106" s="279">
        <f t="shared" si="16"/>
        <v>0</v>
      </c>
      <c r="I106" s="49">
        <f t="shared" si="17"/>
        <v>1.7146521879135911E-2</v>
      </c>
      <c r="K106" s="83"/>
      <c r="L106" s="83"/>
      <c r="M106" s="83"/>
      <c r="N106" s="83"/>
      <c r="O106" s="83"/>
      <c r="P106" s="83"/>
      <c r="Q106" s="83"/>
      <c r="R106" s="83"/>
      <c r="S106" s="83"/>
      <c r="T106" s="83"/>
      <c r="U106" s="83"/>
      <c r="V106" s="83"/>
      <c r="W106" s="83"/>
      <c r="X106" s="83"/>
      <c r="Y106" s="49">
        <f t="shared" si="12"/>
        <v>1.7034796669173822E-2</v>
      </c>
      <c r="Z106" s="84">
        <f t="shared" si="13"/>
        <v>52405.286324756264</v>
      </c>
      <c r="AE106" s="189">
        <f t="shared" si="18"/>
        <v>1</v>
      </c>
      <c r="AF106" s="187">
        <f t="shared" si="19"/>
        <v>1</v>
      </c>
      <c r="AG106" s="187">
        <f t="shared" si="20"/>
        <v>1</v>
      </c>
      <c r="AH106" s="187">
        <f t="shared" si="21"/>
        <v>1</v>
      </c>
    </row>
    <row r="107" spans="2:34" ht="19.5" customHeight="1" x14ac:dyDescent="0.25">
      <c r="B107" s="80">
        <f t="shared" si="14"/>
        <v>77</v>
      </c>
      <c r="C107" s="421" t="str">
        <f>IF('תנאי סף'!AO107&lt;&gt;1,"",'תנאי סף'!F107)</f>
        <v>ארמון בזמן - העמותה לתרבות רב תחומית</v>
      </c>
      <c r="D107" s="82">
        <f>הגנה!AV107</f>
        <v>2.3047981348353414E-2</v>
      </c>
      <c r="E107" s="45">
        <v>1</v>
      </c>
      <c r="F107" s="45">
        <v>2</v>
      </c>
      <c r="G107" s="82">
        <f t="shared" si="15"/>
        <v>0.5</v>
      </c>
      <c r="H107" s="279">
        <f t="shared" si="16"/>
        <v>1</v>
      </c>
      <c r="I107" s="49">
        <f t="shared" si="17"/>
        <v>2.3508940975320483E-2</v>
      </c>
      <c r="K107" s="83"/>
      <c r="L107" s="83"/>
      <c r="M107" s="83"/>
      <c r="N107" s="83"/>
      <c r="O107" s="83"/>
      <c r="P107" s="83"/>
      <c r="Q107" s="83"/>
      <c r="R107" s="83"/>
      <c r="S107" s="83"/>
      <c r="T107" s="83"/>
      <c r="U107" s="83"/>
      <c r="V107" s="83"/>
      <c r="W107" s="83"/>
      <c r="X107" s="83"/>
      <c r="Y107" s="49">
        <f t="shared" si="12"/>
        <v>2.3355758808991458E-2</v>
      </c>
      <c r="Z107" s="84">
        <f t="shared" si="13"/>
        <v>71850.885659940628</v>
      </c>
      <c r="AE107" s="189">
        <f t="shared" si="18"/>
        <v>1</v>
      </c>
      <c r="AF107" s="187">
        <f t="shared" si="19"/>
        <v>1</v>
      </c>
      <c r="AG107" s="187">
        <f t="shared" si="20"/>
        <v>1</v>
      </c>
      <c r="AH107" s="187">
        <f t="shared" si="21"/>
        <v>1</v>
      </c>
    </row>
    <row r="108" spans="2:34" x14ac:dyDescent="0.25">
      <c r="B108" s="80" t="str">
        <f t="shared" si="14"/>
        <v/>
      </c>
      <c r="C108" s="421" t="str">
        <f>IF('תנאי סף'!AO108&lt;&gt;1,"",'תנאי סף'!F108)</f>
        <v/>
      </c>
      <c r="D108" s="82" t="str">
        <f>הגנה!AV108</f>
        <v/>
      </c>
      <c r="E108" s="45"/>
      <c r="F108" s="45"/>
      <c r="G108" s="82" t="str">
        <f t="shared" si="15"/>
        <v/>
      </c>
      <c r="H108" s="279" t="str">
        <f t="shared" si="16"/>
        <v/>
      </c>
      <c r="I108" s="49" t="str">
        <f t="shared" si="17"/>
        <v/>
      </c>
      <c r="K108" s="83"/>
      <c r="L108" s="83"/>
      <c r="M108" s="83"/>
      <c r="N108" s="83"/>
      <c r="O108" s="83"/>
      <c r="P108" s="83"/>
      <c r="Q108" s="83"/>
      <c r="R108" s="83"/>
      <c r="S108" s="83"/>
      <c r="T108" s="83"/>
      <c r="U108" s="83"/>
      <c r="V108" s="83"/>
      <c r="W108" s="83"/>
      <c r="X108" s="83"/>
      <c r="Y108" s="49" t="str">
        <f t="shared" si="12"/>
        <v/>
      </c>
      <c r="Z108" s="84" t="str">
        <f t="shared" si="13"/>
        <v/>
      </c>
      <c r="AE108" s="189">
        <f t="shared" si="18"/>
        <v>1</v>
      </c>
      <c r="AF108" s="187">
        <f t="shared" si="19"/>
        <v>0</v>
      </c>
      <c r="AG108" s="187">
        <f t="shared" si="20"/>
        <v>0</v>
      </c>
      <c r="AH108" s="187">
        <f t="shared" si="21"/>
        <v>1</v>
      </c>
    </row>
    <row r="109" spans="2:34" x14ac:dyDescent="0.25">
      <c r="B109" s="80" t="str">
        <f t="shared" si="14"/>
        <v/>
      </c>
      <c r="C109" s="421" t="str">
        <f>IF('תנאי סף'!AO109&lt;&gt;1,"",'תנאי סף'!F109)</f>
        <v/>
      </c>
      <c r="D109" s="82" t="str">
        <f>הגנה!AV109</f>
        <v/>
      </c>
      <c r="E109" s="45"/>
      <c r="F109" s="45"/>
      <c r="G109" s="82" t="str">
        <f t="shared" si="15"/>
        <v/>
      </c>
      <c r="H109" s="279" t="str">
        <f t="shared" si="16"/>
        <v/>
      </c>
      <c r="I109" s="49" t="str">
        <f t="shared" si="17"/>
        <v/>
      </c>
      <c r="K109" s="83"/>
      <c r="L109" s="83"/>
      <c r="M109" s="83"/>
      <c r="N109" s="83"/>
      <c r="O109" s="83"/>
      <c r="P109" s="83"/>
      <c r="Q109" s="83"/>
      <c r="R109" s="83"/>
      <c r="S109" s="83"/>
      <c r="T109" s="83"/>
      <c r="U109" s="83"/>
      <c r="V109" s="83"/>
      <c r="W109" s="83"/>
      <c r="X109" s="83"/>
      <c r="Y109" s="49" t="str">
        <f t="shared" si="12"/>
        <v/>
      </c>
      <c r="Z109" s="84" t="str">
        <f t="shared" si="13"/>
        <v/>
      </c>
      <c r="AE109" s="189">
        <f t="shared" si="18"/>
        <v>1</v>
      </c>
      <c r="AF109" s="187">
        <f t="shared" si="19"/>
        <v>0</v>
      </c>
      <c r="AG109" s="187">
        <f t="shared" si="20"/>
        <v>0</v>
      </c>
      <c r="AH109" s="187">
        <f t="shared" si="21"/>
        <v>1</v>
      </c>
    </row>
    <row r="110" spans="2:34" x14ac:dyDescent="0.25">
      <c r="B110" s="80" t="str">
        <f t="shared" si="14"/>
        <v/>
      </c>
      <c r="C110" s="421" t="str">
        <f>IF('תנאי סף'!AO110&lt;&gt;1,"",'תנאי סף'!F110)</f>
        <v/>
      </c>
      <c r="D110" s="82" t="str">
        <f>הגנה!AV110</f>
        <v/>
      </c>
      <c r="E110" s="45"/>
      <c r="F110" s="45"/>
      <c r="G110" s="82" t="str">
        <f t="shared" si="15"/>
        <v/>
      </c>
      <c r="H110" s="279" t="str">
        <f t="shared" si="16"/>
        <v/>
      </c>
      <c r="I110" s="49" t="str">
        <f t="shared" si="17"/>
        <v/>
      </c>
      <c r="K110" s="83"/>
      <c r="L110" s="83"/>
      <c r="M110" s="83"/>
      <c r="N110" s="83"/>
      <c r="O110" s="83"/>
      <c r="P110" s="83"/>
      <c r="Q110" s="83"/>
      <c r="R110" s="83"/>
      <c r="S110" s="83"/>
      <c r="T110" s="83"/>
      <c r="U110" s="83"/>
      <c r="V110" s="83"/>
      <c r="W110" s="83"/>
      <c r="X110" s="83"/>
      <c r="Y110" s="49" t="str">
        <f t="shared" si="12"/>
        <v/>
      </c>
      <c r="Z110" s="84" t="str">
        <f t="shared" si="13"/>
        <v/>
      </c>
      <c r="AE110" s="189">
        <f t="shared" si="18"/>
        <v>1</v>
      </c>
      <c r="AF110" s="187">
        <f t="shared" si="19"/>
        <v>0</v>
      </c>
      <c r="AG110" s="187">
        <f t="shared" si="20"/>
        <v>0</v>
      </c>
      <c r="AH110" s="187">
        <f t="shared" si="21"/>
        <v>1</v>
      </c>
    </row>
    <row r="111" spans="2:34" x14ac:dyDescent="0.25">
      <c r="B111" s="80" t="str">
        <f t="shared" si="14"/>
        <v/>
      </c>
      <c r="C111" s="421" t="str">
        <f>IF('תנאי סף'!AO111&lt;&gt;1,"",'תנאי סף'!F111)</f>
        <v/>
      </c>
      <c r="D111" s="82" t="str">
        <f>הגנה!AV111</f>
        <v/>
      </c>
      <c r="E111" s="45"/>
      <c r="F111" s="45"/>
      <c r="G111" s="82" t="str">
        <f t="shared" si="15"/>
        <v/>
      </c>
      <c r="H111" s="279" t="str">
        <f t="shared" si="16"/>
        <v/>
      </c>
      <c r="I111" s="49" t="str">
        <f t="shared" si="17"/>
        <v/>
      </c>
      <c r="K111" s="83"/>
      <c r="L111" s="83"/>
      <c r="M111" s="83"/>
      <c r="N111" s="83"/>
      <c r="O111" s="83"/>
      <c r="P111" s="83"/>
      <c r="Q111" s="83"/>
      <c r="R111" s="83"/>
      <c r="S111" s="83"/>
      <c r="T111" s="83"/>
      <c r="U111" s="83"/>
      <c r="V111" s="83"/>
      <c r="W111" s="83"/>
      <c r="X111" s="83"/>
      <c r="Y111" s="49" t="str">
        <f t="shared" si="12"/>
        <v/>
      </c>
      <c r="Z111" s="84" t="str">
        <f t="shared" si="13"/>
        <v/>
      </c>
      <c r="AE111" s="189">
        <f t="shared" si="18"/>
        <v>1</v>
      </c>
      <c r="AF111" s="187">
        <f t="shared" si="19"/>
        <v>0</v>
      </c>
      <c r="AG111" s="187">
        <f t="shared" si="20"/>
        <v>0</v>
      </c>
      <c r="AH111" s="187">
        <f t="shared" si="21"/>
        <v>1</v>
      </c>
    </row>
    <row r="112" spans="2:34" x14ac:dyDescent="0.25">
      <c r="B112" s="80" t="str">
        <f t="shared" si="14"/>
        <v/>
      </c>
      <c r="C112" s="421" t="str">
        <f>IF('תנאי סף'!AO112&lt;&gt;1,"",'תנאי סף'!F112)</f>
        <v/>
      </c>
      <c r="D112" s="82" t="str">
        <f>הגנה!AV112</f>
        <v/>
      </c>
      <c r="E112" s="45"/>
      <c r="F112" s="45"/>
      <c r="G112" s="82" t="str">
        <f t="shared" si="15"/>
        <v/>
      </c>
      <c r="H112" s="279" t="str">
        <f t="shared" si="16"/>
        <v/>
      </c>
      <c r="I112" s="49" t="str">
        <f t="shared" si="17"/>
        <v/>
      </c>
      <c r="K112" s="83"/>
      <c r="L112" s="83"/>
      <c r="M112" s="83"/>
      <c r="N112" s="83"/>
      <c r="O112" s="83"/>
      <c r="P112" s="83"/>
      <c r="Q112" s="83"/>
      <c r="R112" s="83"/>
      <c r="S112" s="83"/>
      <c r="T112" s="83"/>
      <c r="U112" s="83"/>
      <c r="V112" s="83"/>
      <c r="W112" s="83"/>
      <c r="X112" s="83"/>
      <c r="Y112" s="49" t="str">
        <f t="shared" si="12"/>
        <v/>
      </c>
      <c r="Z112" s="84" t="str">
        <f t="shared" si="13"/>
        <v/>
      </c>
      <c r="AE112" s="189">
        <f t="shared" si="18"/>
        <v>1</v>
      </c>
      <c r="AF112" s="187">
        <f t="shared" si="19"/>
        <v>0</v>
      </c>
      <c r="AG112" s="187">
        <f t="shared" si="20"/>
        <v>0</v>
      </c>
      <c r="AH112" s="187">
        <f t="shared" si="21"/>
        <v>1</v>
      </c>
    </row>
    <row r="113" spans="2:34" x14ac:dyDescent="0.25">
      <c r="B113" s="80" t="str">
        <f t="shared" si="14"/>
        <v/>
      </c>
      <c r="C113" s="421" t="str">
        <f>IF('תנאי סף'!AO113&lt;&gt;1,"",'תנאי סף'!F113)</f>
        <v/>
      </c>
      <c r="D113" s="82" t="str">
        <f>הגנה!AV113</f>
        <v/>
      </c>
      <c r="E113" s="45"/>
      <c r="F113" s="45"/>
      <c r="G113" s="82" t="str">
        <f t="shared" si="15"/>
        <v/>
      </c>
      <c r="H113" s="279" t="str">
        <f t="shared" si="16"/>
        <v/>
      </c>
      <c r="I113" s="49" t="str">
        <f t="shared" si="17"/>
        <v/>
      </c>
      <c r="K113" s="83"/>
      <c r="L113" s="83"/>
      <c r="M113" s="83"/>
      <c r="N113" s="83"/>
      <c r="O113" s="83"/>
      <c r="P113" s="83"/>
      <c r="Q113" s="83"/>
      <c r="R113" s="83"/>
      <c r="S113" s="83"/>
      <c r="T113" s="83"/>
      <c r="U113" s="83"/>
      <c r="V113" s="83"/>
      <c r="W113" s="83"/>
      <c r="X113" s="83"/>
      <c r="Y113" s="49" t="str">
        <f t="shared" si="12"/>
        <v/>
      </c>
      <c r="Z113" s="84" t="str">
        <f t="shared" si="13"/>
        <v/>
      </c>
      <c r="AE113" s="189">
        <f t="shared" si="18"/>
        <v>1</v>
      </c>
      <c r="AF113" s="187">
        <f t="shared" si="19"/>
        <v>0</v>
      </c>
      <c r="AG113" s="187">
        <f t="shared" si="20"/>
        <v>0</v>
      </c>
      <c r="AH113" s="187">
        <f t="shared" si="21"/>
        <v>1</v>
      </c>
    </row>
    <row r="114" spans="2:34" x14ac:dyDescent="0.25">
      <c r="B114" s="80" t="str">
        <f t="shared" si="14"/>
        <v/>
      </c>
      <c r="C114" s="421" t="str">
        <f>IF('תנאי סף'!AO114&lt;&gt;1,"",'תנאי סף'!F114)</f>
        <v/>
      </c>
      <c r="D114" s="82" t="str">
        <f>הגנה!AV114</f>
        <v/>
      </c>
      <c r="E114" s="45"/>
      <c r="F114" s="45"/>
      <c r="G114" s="82" t="str">
        <f t="shared" si="15"/>
        <v/>
      </c>
      <c r="H114" s="279" t="str">
        <f t="shared" si="16"/>
        <v/>
      </c>
      <c r="I114" s="49" t="str">
        <f t="shared" si="17"/>
        <v/>
      </c>
      <c r="K114" s="83"/>
      <c r="L114" s="83"/>
      <c r="M114" s="83"/>
      <c r="N114" s="83"/>
      <c r="O114" s="83"/>
      <c r="P114" s="83"/>
      <c r="Q114" s="83"/>
      <c r="R114" s="83"/>
      <c r="S114" s="83"/>
      <c r="T114" s="83"/>
      <c r="U114" s="83"/>
      <c r="V114" s="83"/>
      <c r="W114" s="83"/>
      <c r="X114" s="83"/>
      <c r="Y114" s="49" t="str">
        <f t="shared" si="12"/>
        <v/>
      </c>
      <c r="Z114" s="84" t="str">
        <f t="shared" si="13"/>
        <v/>
      </c>
      <c r="AE114" s="189">
        <f t="shared" si="18"/>
        <v>1</v>
      </c>
      <c r="AF114" s="187">
        <f t="shared" si="19"/>
        <v>0</v>
      </c>
      <c r="AG114" s="187">
        <f t="shared" si="20"/>
        <v>0</v>
      </c>
      <c r="AH114" s="187">
        <f t="shared" si="21"/>
        <v>1</v>
      </c>
    </row>
    <row r="115" spans="2:34" x14ac:dyDescent="0.25">
      <c r="B115" s="80" t="str">
        <f t="shared" si="14"/>
        <v/>
      </c>
      <c r="C115" s="421" t="str">
        <f>IF('תנאי סף'!AO115&lt;&gt;1,"",'תנאי סף'!F115)</f>
        <v/>
      </c>
      <c r="D115" s="82" t="str">
        <f>הגנה!AV115</f>
        <v/>
      </c>
      <c r="E115" s="45"/>
      <c r="F115" s="45"/>
      <c r="G115" s="82" t="str">
        <f t="shared" si="15"/>
        <v/>
      </c>
      <c r="H115" s="279" t="str">
        <f t="shared" si="16"/>
        <v/>
      </c>
      <c r="I115" s="49" t="str">
        <f t="shared" si="17"/>
        <v/>
      </c>
      <c r="K115" s="83"/>
      <c r="L115" s="83"/>
      <c r="M115" s="83"/>
      <c r="N115" s="83"/>
      <c r="O115" s="83"/>
      <c r="P115" s="83"/>
      <c r="Q115" s="83"/>
      <c r="R115" s="83"/>
      <c r="S115" s="83"/>
      <c r="T115" s="83"/>
      <c r="U115" s="83"/>
      <c r="V115" s="83"/>
      <c r="W115" s="83"/>
      <c r="X115" s="83"/>
      <c r="Y115" s="49" t="str">
        <f t="shared" si="12"/>
        <v/>
      </c>
      <c r="Z115" s="84" t="str">
        <f t="shared" si="13"/>
        <v/>
      </c>
      <c r="AE115" s="189">
        <f t="shared" si="18"/>
        <v>1</v>
      </c>
      <c r="AF115" s="187">
        <f t="shared" si="19"/>
        <v>0</v>
      </c>
      <c r="AG115" s="187">
        <f t="shared" si="20"/>
        <v>0</v>
      </c>
      <c r="AH115" s="187">
        <f t="shared" si="21"/>
        <v>1</v>
      </c>
    </row>
    <row r="116" spans="2:34" x14ac:dyDescent="0.25">
      <c r="B116" s="80" t="str">
        <f t="shared" si="14"/>
        <v/>
      </c>
      <c r="C116" s="421" t="str">
        <f>IF('תנאי סף'!AO116&lt;&gt;1,"",'תנאי סף'!F116)</f>
        <v/>
      </c>
      <c r="D116" s="82" t="str">
        <f>הגנה!AV116</f>
        <v/>
      </c>
      <c r="E116" s="45"/>
      <c r="F116" s="45"/>
      <c r="G116" s="82" t="str">
        <f t="shared" si="15"/>
        <v/>
      </c>
      <c r="H116" s="279" t="str">
        <f t="shared" si="16"/>
        <v/>
      </c>
      <c r="I116" s="49" t="str">
        <f t="shared" si="17"/>
        <v/>
      </c>
      <c r="K116" s="83"/>
      <c r="L116" s="83"/>
      <c r="M116" s="83"/>
      <c r="N116" s="83"/>
      <c r="O116" s="83"/>
      <c r="P116" s="83"/>
      <c r="Q116" s="83"/>
      <c r="R116" s="83"/>
      <c r="S116" s="83"/>
      <c r="T116" s="83"/>
      <c r="U116" s="83"/>
      <c r="V116" s="83"/>
      <c r="W116" s="83"/>
      <c r="X116" s="83"/>
      <c r="Y116" s="49" t="str">
        <f t="shared" si="12"/>
        <v/>
      </c>
      <c r="Z116" s="84" t="str">
        <f t="shared" si="13"/>
        <v/>
      </c>
      <c r="AE116" s="189">
        <f t="shared" si="18"/>
        <v>1</v>
      </c>
      <c r="AF116" s="187">
        <f t="shared" si="19"/>
        <v>0</v>
      </c>
      <c r="AG116" s="187">
        <f t="shared" si="20"/>
        <v>0</v>
      </c>
      <c r="AH116" s="187">
        <f t="shared" si="21"/>
        <v>1</v>
      </c>
    </row>
    <row r="117" spans="2:34" x14ac:dyDescent="0.25">
      <c r="B117" s="80" t="str">
        <f t="shared" si="14"/>
        <v/>
      </c>
      <c r="C117" s="421" t="str">
        <f>IF('תנאי סף'!AO117&lt;&gt;1,"",'תנאי סף'!F117)</f>
        <v/>
      </c>
      <c r="D117" s="82" t="str">
        <f>הגנה!AV117</f>
        <v/>
      </c>
      <c r="E117" s="45"/>
      <c r="F117" s="45"/>
      <c r="G117" s="82" t="str">
        <f t="shared" si="15"/>
        <v/>
      </c>
      <c r="H117" s="279" t="str">
        <f t="shared" si="16"/>
        <v/>
      </c>
      <c r="I117" s="49" t="str">
        <f t="shared" si="17"/>
        <v/>
      </c>
      <c r="K117" s="83"/>
      <c r="L117" s="83"/>
      <c r="M117" s="83"/>
      <c r="N117" s="83"/>
      <c r="O117" s="83"/>
      <c r="P117" s="83"/>
      <c r="Q117" s="83"/>
      <c r="R117" s="83"/>
      <c r="S117" s="83"/>
      <c r="T117" s="83"/>
      <c r="U117" s="83"/>
      <c r="V117" s="83"/>
      <c r="W117" s="83"/>
      <c r="X117" s="83"/>
      <c r="Y117" s="49" t="str">
        <f t="shared" si="12"/>
        <v/>
      </c>
      <c r="Z117" s="84" t="str">
        <f t="shared" si="13"/>
        <v/>
      </c>
      <c r="AE117" s="189">
        <f t="shared" si="18"/>
        <v>1</v>
      </c>
      <c r="AF117" s="187">
        <f t="shared" si="19"/>
        <v>0</v>
      </c>
      <c r="AG117" s="187">
        <f t="shared" si="20"/>
        <v>0</v>
      </c>
      <c r="AH117" s="187">
        <f t="shared" si="21"/>
        <v>1</v>
      </c>
    </row>
    <row r="118" spans="2:34" x14ac:dyDescent="0.25">
      <c r="B118" s="80" t="str">
        <f t="shared" si="14"/>
        <v/>
      </c>
      <c r="C118" s="421" t="str">
        <f>IF('תנאי סף'!AO118&lt;&gt;1,"",'תנאי סף'!F118)</f>
        <v/>
      </c>
      <c r="D118" s="82" t="str">
        <f>הגנה!AV118</f>
        <v/>
      </c>
      <c r="E118" s="45"/>
      <c r="F118" s="45"/>
      <c r="G118" s="82" t="str">
        <f t="shared" si="15"/>
        <v/>
      </c>
      <c r="H118" s="279" t="str">
        <f t="shared" si="16"/>
        <v/>
      </c>
      <c r="I118" s="49" t="str">
        <f t="shared" si="17"/>
        <v/>
      </c>
      <c r="K118" s="83"/>
      <c r="L118" s="83"/>
      <c r="M118" s="83"/>
      <c r="N118" s="83"/>
      <c r="O118" s="83"/>
      <c r="P118" s="83"/>
      <c r="Q118" s="83"/>
      <c r="R118" s="83"/>
      <c r="S118" s="83"/>
      <c r="T118" s="83"/>
      <c r="U118" s="83"/>
      <c r="V118" s="83"/>
      <c r="W118" s="83"/>
      <c r="X118" s="83"/>
      <c r="Y118" s="49" t="str">
        <f t="shared" si="12"/>
        <v/>
      </c>
      <c r="Z118" s="84" t="str">
        <f t="shared" si="13"/>
        <v/>
      </c>
      <c r="AE118" s="189">
        <f t="shared" si="18"/>
        <v>1</v>
      </c>
      <c r="AF118" s="187">
        <f t="shared" si="19"/>
        <v>0</v>
      </c>
      <c r="AG118" s="187">
        <f t="shared" si="20"/>
        <v>0</v>
      </c>
      <c r="AH118" s="187">
        <f t="shared" si="21"/>
        <v>1</v>
      </c>
    </row>
    <row r="119" spans="2:34" x14ac:dyDescent="0.25">
      <c r="B119" s="80" t="str">
        <f t="shared" si="14"/>
        <v/>
      </c>
      <c r="C119" s="421" t="str">
        <f>IF('תנאי סף'!AO119&lt;&gt;1,"",'תנאי סף'!F119)</f>
        <v/>
      </c>
      <c r="D119" s="82" t="str">
        <f>הגנה!AV119</f>
        <v/>
      </c>
      <c r="E119" s="45"/>
      <c r="F119" s="45"/>
      <c r="G119" s="82" t="str">
        <f t="shared" si="15"/>
        <v/>
      </c>
      <c r="H119" s="279" t="str">
        <f t="shared" si="16"/>
        <v/>
      </c>
      <c r="I119" s="49" t="str">
        <f t="shared" si="17"/>
        <v/>
      </c>
      <c r="K119" s="83"/>
      <c r="L119" s="83"/>
      <c r="M119" s="83"/>
      <c r="N119" s="83"/>
      <c r="O119" s="83"/>
      <c r="P119" s="83"/>
      <c r="Q119" s="83"/>
      <c r="R119" s="83"/>
      <c r="S119" s="83"/>
      <c r="T119" s="83"/>
      <c r="U119" s="83"/>
      <c r="V119" s="83"/>
      <c r="W119" s="83"/>
      <c r="X119" s="83"/>
      <c r="Y119" s="49" t="str">
        <f t="shared" si="12"/>
        <v/>
      </c>
      <c r="Z119" s="84" t="str">
        <f t="shared" si="13"/>
        <v/>
      </c>
      <c r="AE119" s="189">
        <f t="shared" si="18"/>
        <v>1</v>
      </c>
      <c r="AF119" s="187">
        <f t="shared" si="19"/>
        <v>0</v>
      </c>
      <c r="AG119" s="187">
        <f t="shared" si="20"/>
        <v>0</v>
      </c>
      <c r="AH119" s="187">
        <f t="shared" si="21"/>
        <v>1</v>
      </c>
    </row>
    <row r="120" spans="2:34" x14ac:dyDescent="0.25">
      <c r="B120" s="80" t="str">
        <f t="shared" si="14"/>
        <v/>
      </c>
      <c r="C120" s="421" t="str">
        <f>IF('תנאי סף'!AO120&lt;&gt;1,"",'תנאי סף'!F120)</f>
        <v/>
      </c>
      <c r="D120" s="82" t="str">
        <f>הגנה!AV120</f>
        <v/>
      </c>
      <c r="E120" s="45"/>
      <c r="F120" s="45"/>
      <c r="G120" s="82" t="str">
        <f t="shared" si="15"/>
        <v/>
      </c>
      <c r="H120" s="279" t="str">
        <f t="shared" si="16"/>
        <v/>
      </c>
      <c r="I120" s="49" t="str">
        <f t="shared" si="17"/>
        <v/>
      </c>
      <c r="K120" s="83"/>
      <c r="L120" s="83"/>
      <c r="M120" s="83"/>
      <c r="N120" s="83"/>
      <c r="O120" s="83"/>
      <c r="P120" s="83"/>
      <c r="Q120" s="83"/>
      <c r="R120" s="83"/>
      <c r="S120" s="83"/>
      <c r="T120" s="83"/>
      <c r="U120" s="83"/>
      <c r="V120" s="83"/>
      <c r="W120" s="83"/>
      <c r="X120" s="83"/>
      <c r="Y120" s="49" t="str">
        <f t="shared" si="12"/>
        <v/>
      </c>
      <c r="Z120" s="84" t="str">
        <f t="shared" si="13"/>
        <v/>
      </c>
      <c r="AE120" s="189">
        <f t="shared" si="18"/>
        <v>1</v>
      </c>
      <c r="AF120" s="187">
        <f t="shared" si="19"/>
        <v>0</v>
      </c>
      <c r="AG120" s="187">
        <f t="shared" si="20"/>
        <v>0</v>
      </c>
      <c r="AH120" s="187">
        <f t="shared" si="21"/>
        <v>1</v>
      </c>
    </row>
    <row r="121" spans="2:34" x14ac:dyDescent="0.25">
      <c r="B121" s="80" t="str">
        <f t="shared" si="14"/>
        <v/>
      </c>
      <c r="C121" s="421" t="str">
        <f>IF('תנאי סף'!AO121&lt;&gt;1,"",'תנאי סף'!F121)</f>
        <v/>
      </c>
      <c r="D121" s="82" t="str">
        <f>הגנה!AV121</f>
        <v/>
      </c>
      <c r="E121" s="45"/>
      <c r="F121" s="45"/>
      <c r="G121" s="82" t="str">
        <f t="shared" si="15"/>
        <v/>
      </c>
      <c r="H121" s="279" t="str">
        <f t="shared" si="16"/>
        <v/>
      </c>
      <c r="I121" s="49" t="str">
        <f t="shared" si="17"/>
        <v/>
      </c>
      <c r="K121" s="83"/>
      <c r="L121" s="83"/>
      <c r="M121" s="83"/>
      <c r="N121" s="83"/>
      <c r="O121" s="83"/>
      <c r="P121" s="83"/>
      <c r="Q121" s="83"/>
      <c r="R121" s="83"/>
      <c r="S121" s="83"/>
      <c r="T121" s="83"/>
      <c r="U121" s="83"/>
      <c r="V121" s="83"/>
      <c r="W121" s="83"/>
      <c r="X121" s="83"/>
      <c r="Y121" s="49" t="str">
        <f t="shared" si="12"/>
        <v/>
      </c>
      <c r="Z121" s="84" t="str">
        <f t="shared" si="13"/>
        <v/>
      </c>
      <c r="AE121" s="189">
        <f t="shared" si="18"/>
        <v>1</v>
      </c>
      <c r="AF121" s="187">
        <f t="shared" si="19"/>
        <v>0</v>
      </c>
      <c r="AG121" s="187">
        <f t="shared" si="20"/>
        <v>0</v>
      </c>
      <c r="AH121" s="187">
        <f t="shared" si="21"/>
        <v>1</v>
      </c>
    </row>
    <row r="122" spans="2:34" x14ac:dyDescent="0.25">
      <c r="B122" s="80" t="str">
        <f t="shared" si="14"/>
        <v/>
      </c>
      <c r="C122" s="421" t="str">
        <f>IF('תנאי סף'!AO122&lt;&gt;1,"",'תנאי סף'!F122)</f>
        <v/>
      </c>
      <c r="D122" s="82" t="str">
        <f>הגנה!AV122</f>
        <v/>
      </c>
      <c r="E122" s="45"/>
      <c r="F122" s="45"/>
      <c r="G122" s="82" t="str">
        <f t="shared" si="15"/>
        <v/>
      </c>
      <c r="H122" s="279" t="str">
        <f t="shared" si="16"/>
        <v/>
      </c>
      <c r="I122" s="49" t="str">
        <f t="shared" si="17"/>
        <v/>
      </c>
      <c r="K122" s="83"/>
      <c r="L122" s="83"/>
      <c r="M122" s="83"/>
      <c r="N122" s="83"/>
      <c r="O122" s="83"/>
      <c r="P122" s="83"/>
      <c r="Q122" s="83"/>
      <c r="R122" s="83"/>
      <c r="S122" s="83"/>
      <c r="T122" s="83"/>
      <c r="U122" s="83"/>
      <c r="V122" s="83"/>
      <c r="W122" s="83"/>
      <c r="X122" s="83"/>
      <c r="Y122" s="49" t="str">
        <f t="shared" si="12"/>
        <v/>
      </c>
      <c r="Z122" s="84" t="str">
        <f t="shared" si="13"/>
        <v/>
      </c>
      <c r="AE122" s="189">
        <f t="shared" si="18"/>
        <v>1</v>
      </c>
      <c r="AF122" s="187">
        <f t="shared" si="19"/>
        <v>0</v>
      </c>
      <c r="AG122" s="187">
        <f t="shared" si="20"/>
        <v>0</v>
      </c>
      <c r="AH122" s="187">
        <f t="shared" si="21"/>
        <v>1</v>
      </c>
    </row>
    <row r="123" spans="2:34" x14ac:dyDescent="0.25">
      <c r="B123" s="80" t="str">
        <f t="shared" si="14"/>
        <v/>
      </c>
      <c r="C123" s="421" t="str">
        <f>IF('תנאי סף'!AO123&lt;&gt;1,"",'תנאי סף'!F123)</f>
        <v/>
      </c>
      <c r="D123" s="82" t="str">
        <f>הגנה!AV123</f>
        <v/>
      </c>
      <c r="E123" s="45"/>
      <c r="F123" s="45"/>
      <c r="G123" s="82" t="str">
        <f t="shared" si="15"/>
        <v/>
      </c>
      <c r="H123" s="279" t="str">
        <f t="shared" si="16"/>
        <v/>
      </c>
      <c r="I123" s="49" t="str">
        <f t="shared" si="17"/>
        <v/>
      </c>
      <c r="K123" s="83"/>
      <c r="L123" s="83"/>
      <c r="M123" s="83"/>
      <c r="N123" s="83"/>
      <c r="O123" s="83"/>
      <c r="P123" s="83"/>
      <c r="Q123" s="83"/>
      <c r="R123" s="83"/>
      <c r="S123" s="83"/>
      <c r="T123" s="83"/>
      <c r="U123" s="83"/>
      <c r="V123" s="83"/>
      <c r="W123" s="83"/>
      <c r="X123" s="83"/>
      <c r="Y123" s="49" t="str">
        <f t="shared" si="12"/>
        <v/>
      </c>
      <c r="Z123" s="84" t="str">
        <f t="shared" si="13"/>
        <v/>
      </c>
      <c r="AE123" s="189">
        <f t="shared" si="18"/>
        <v>1</v>
      </c>
      <c r="AF123" s="187">
        <f t="shared" si="19"/>
        <v>0</v>
      </c>
      <c r="AG123" s="187">
        <f t="shared" si="20"/>
        <v>0</v>
      </c>
      <c r="AH123" s="187">
        <f t="shared" si="21"/>
        <v>1</v>
      </c>
    </row>
    <row r="124" spans="2:34" x14ac:dyDescent="0.25">
      <c r="B124" s="80" t="str">
        <f t="shared" si="14"/>
        <v/>
      </c>
      <c r="C124" s="421" t="str">
        <f>IF('תנאי סף'!AO124&lt;&gt;1,"",'תנאי סף'!F124)</f>
        <v/>
      </c>
      <c r="D124" s="82" t="str">
        <f>הגנה!AV124</f>
        <v/>
      </c>
      <c r="E124" s="45"/>
      <c r="F124" s="45"/>
      <c r="G124" s="82" t="str">
        <f t="shared" si="15"/>
        <v/>
      </c>
      <c r="H124" s="279" t="str">
        <f t="shared" si="16"/>
        <v/>
      </c>
      <c r="I124" s="49" t="str">
        <f t="shared" si="17"/>
        <v/>
      </c>
      <c r="K124" s="83"/>
      <c r="L124" s="83"/>
      <c r="M124" s="83"/>
      <c r="N124" s="83"/>
      <c r="O124" s="83"/>
      <c r="P124" s="83"/>
      <c r="Q124" s="83"/>
      <c r="R124" s="83"/>
      <c r="S124" s="83"/>
      <c r="T124" s="83"/>
      <c r="U124" s="83"/>
      <c r="V124" s="83"/>
      <c r="W124" s="83"/>
      <c r="X124" s="83"/>
      <c r="Y124" s="49" t="str">
        <f t="shared" si="12"/>
        <v/>
      </c>
      <c r="Z124" s="84" t="str">
        <f t="shared" si="13"/>
        <v/>
      </c>
      <c r="AE124" s="189">
        <f t="shared" si="18"/>
        <v>1</v>
      </c>
      <c r="AF124" s="187">
        <f t="shared" si="19"/>
        <v>0</v>
      </c>
      <c r="AG124" s="187">
        <f t="shared" si="20"/>
        <v>0</v>
      </c>
      <c r="AH124" s="187">
        <f t="shared" si="21"/>
        <v>1</v>
      </c>
    </row>
    <row r="125" spans="2:34" x14ac:dyDescent="0.25">
      <c r="B125" s="80" t="str">
        <f t="shared" si="14"/>
        <v/>
      </c>
      <c r="C125" s="421" t="str">
        <f>IF('תנאי סף'!AO125&lt;&gt;1,"",'תנאי סף'!F125)</f>
        <v/>
      </c>
      <c r="D125" s="82" t="str">
        <f>הגנה!AV125</f>
        <v/>
      </c>
      <c r="E125" s="45"/>
      <c r="F125" s="45"/>
      <c r="G125" s="82" t="str">
        <f t="shared" si="15"/>
        <v/>
      </c>
      <c r="H125" s="279" t="str">
        <f t="shared" si="16"/>
        <v/>
      </c>
      <c r="I125" s="49" t="str">
        <f t="shared" si="17"/>
        <v/>
      </c>
      <c r="K125" s="83"/>
      <c r="L125" s="83"/>
      <c r="M125" s="83"/>
      <c r="N125" s="83"/>
      <c r="O125" s="83"/>
      <c r="P125" s="83"/>
      <c r="Q125" s="83"/>
      <c r="R125" s="83"/>
      <c r="S125" s="83"/>
      <c r="T125" s="83"/>
      <c r="U125" s="83"/>
      <c r="V125" s="83"/>
      <c r="W125" s="83"/>
      <c r="X125" s="83"/>
      <c r="Y125" s="49" t="str">
        <f t="shared" si="12"/>
        <v/>
      </c>
      <c r="Z125" s="84" t="str">
        <f t="shared" si="13"/>
        <v/>
      </c>
      <c r="AE125" s="189">
        <f t="shared" si="18"/>
        <v>1</v>
      </c>
      <c r="AF125" s="187">
        <f t="shared" si="19"/>
        <v>0</v>
      </c>
      <c r="AG125" s="187">
        <f t="shared" si="20"/>
        <v>0</v>
      </c>
      <c r="AH125" s="187">
        <f t="shared" si="21"/>
        <v>1</v>
      </c>
    </row>
    <row r="126" spans="2:34" x14ac:dyDescent="0.25">
      <c r="B126" s="80" t="str">
        <f t="shared" si="14"/>
        <v/>
      </c>
      <c r="C126" s="421" t="str">
        <f>IF('תנאי סף'!AO126&lt;&gt;1,"",'תנאי סף'!F126)</f>
        <v/>
      </c>
      <c r="D126" s="82" t="str">
        <f>הגנה!AV126</f>
        <v/>
      </c>
      <c r="E126" s="45"/>
      <c r="F126" s="45"/>
      <c r="G126" s="82" t="str">
        <f t="shared" si="15"/>
        <v/>
      </c>
      <c r="H126" s="279" t="str">
        <f t="shared" si="16"/>
        <v/>
      </c>
      <c r="I126" s="49" t="str">
        <f t="shared" si="17"/>
        <v/>
      </c>
      <c r="K126" s="83"/>
      <c r="L126" s="83"/>
      <c r="M126" s="83"/>
      <c r="N126" s="83"/>
      <c r="O126" s="83"/>
      <c r="P126" s="83"/>
      <c r="Q126" s="83"/>
      <c r="R126" s="83"/>
      <c r="S126" s="83"/>
      <c r="T126" s="83"/>
      <c r="U126" s="83"/>
      <c r="V126" s="83"/>
      <c r="W126" s="83"/>
      <c r="X126" s="83"/>
      <c r="Y126" s="49" t="str">
        <f t="shared" si="12"/>
        <v/>
      </c>
      <c r="Z126" s="84" t="str">
        <f t="shared" si="13"/>
        <v/>
      </c>
      <c r="AE126" s="189">
        <f t="shared" si="18"/>
        <v>1</v>
      </c>
      <c r="AF126" s="187">
        <f t="shared" si="19"/>
        <v>0</v>
      </c>
      <c r="AG126" s="187">
        <f t="shared" si="20"/>
        <v>0</v>
      </c>
      <c r="AH126" s="187">
        <f t="shared" si="21"/>
        <v>1</v>
      </c>
    </row>
    <row r="127" spans="2:34" x14ac:dyDescent="0.25">
      <c r="B127" s="80" t="str">
        <f t="shared" si="14"/>
        <v/>
      </c>
      <c r="C127" s="421" t="str">
        <f>IF('תנאי סף'!AO127&lt;&gt;1,"",'תנאי סף'!F127)</f>
        <v/>
      </c>
      <c r="D127" s="82" t="str">
        <f>הגנה!AV127</f>
        <v/>
      </c>
      <c r="E127" s="45"/>
      <c r="F127" s="45"/>
      <c r="G127" s="82" t="str">
        <f t="shared" si="15"/>
        <v/>
      </c>
      <c r="H127" s="279" t="str">
        <f t="shared" si="16"/>
        <v/>
      </c>
      <c r="I127" s="49" t="str">
        <f t="shared" si="17"/>
        <v/>
      </c>
      <c r="K127" s="83"/>
      <c r="L127" s="83"/>
      <c r="M127" s="83"/>
      <c r="N127" s="83"/>
      <c r="O127" s="83"/>
      <c r="P127" s="83"/>
      <c r="Q127" s="83"/>
      <c r="R127" s="83"/>
      <c r="S127" s="83"/>
      <c r="T127" s="83"/>
      <c r="U127" s="83"/>
      <c r="V127" s="83"/>
      <c r="W127" s="83"/>
      <c r="X127" s="83"/>
      <c r="Y127" s="49" t="str">
        <f t="shared" si="12"/>
        <v/>
      </c>
      <c r="Z127" s="84" t="str">
        <f>IF(C127="","",IF($AH$27&lt;&gt;1,$AH$1,IFERROR(Y127*$C$2,$AH$1)))</f>
        <v/>
      </c>
      <c r="AE127" s="189">
        <f t="shared" si="18"/>
        <v>1</v>
      </c>
      <c r="AF127" s="187">
        <f t="shared" si="19"/>
        <v>0</v>
      </c>
      <c r="AG127" s="187">
        <f t="shared" si="20"/>
        <v>0</v>
      </c>
      <c r="AH127" s="187">
        <f t="shared" si="21"/>
        <v>1</v>
      </c>
    </row>
    <row r="128" spans="2:34" x14ac:dyDescent="0.25">
      <c r="B128" s="80" t="str">
        <f t="shared" si="14"/>
        <v/>
      </c>
      <c r="C128" s="421" t="str">
        <f>IF('תנאי סף'!AO128&lt;&gt;1,"",'תנאי סף'!F128)</f>
        <v/>
      </c>
      <c r="D128" s="82" t="str">
        <f>הגנה!AV128</f>
        <v/>
      </c>
      <c r="E128" s="45"/>
      <c r="F128" s="45"/>
      <c r="G128" s="82" t="str">
        <f t="shared" si="15"/>
        <v/>
      </c>
      <c r="H128" s="279" t="str">
        <f t="shared" si="16"/>
        <v/>
      </c>
      <c r="I128" s="49" t="str">
        <f t="shared" si="17"/>
        <v/>
      </c>
      <c r="K128" s="83"/>
      <c r="L128" s="83"/>
      <c r="M128" s="83"/>
      <c r="N128" s="83"/>
      <c r="O128" s="83"/>
      <c r="P128" s="83"/>
      <c r="Q128" s="83"/>
      <c r="R128" s="83"/>
      <c r="S128" s="83"/>
      <c r="T128" s="83"/>
      <c r="U128" s="83"/>
      <c r="V128" s="83"/>
      <c r="W128" s="83"/>
      <c r="X128" s="83"/>
      <c r="Y128" s="49" t="str">
        <f t="shared" si="12"/>
        <v/>
      </c>
      <c r="Z128" s="84" t="str">
        <f>IF(C128="","",IF($AH$27&lt;&gt;1,$AH$1,IFERROR(Y128*$C$2,$AH$1)))</f>
        <v/>
      </c>
      <c r="AE128" s="189">
        <f t="shared" si="18"/>
        <v>1</v>
      </c>
      <c r="AF128" s="187">
        <f t="shared" si="19"/>
        <v>0</v>
      </c>
      <c r="AG128" s="187">
        <f t="shared" si="20"/>
        <v>0</v>
      </c>
      <c r="AH128" s="187">
        <f t="shared" si="21"/>
        <v>1</v>
      </c>
    </row>
    <row r="129" spans="2:34" x14ac:dyDescent="0.25">
      <c r="B129" s="80" t="str">
        <f t="shared" si="14"/>
        <v/>
      </c>
      <c r="C129" s="421" t="str">
        <f>IF('תנאי סף'!AO129&lt;&gt;1,"",'תנאי סף'!F129)</f>
        <v/>
      </c>
      <c r="D129" s="82" t="str">
        <f>הגנה!AV129</f>
        <v/>
      </c>
      <c r="E129" s="45"/>
      <c r="F129" s="45"/>
      <c r="G129" s="82" t="str">
        <f t="shared" si="15"/>
        <v/>
      </c>
      <c r="H129" s="279" t="str">
        <f t="shared" si="16"/>
        <v/>
      </c>
      <c r="I129" s="49" t="str">
        <f t="shared" si="17"/>
        <v/>
      </c>
      <c r="K129" s="83"/>
      <c r="L129" s="83"/>
      <c r="M129" s="83"/>
      <c r="N129" s="83"/>
      <c r="O129" s="83"/>
      <c r="P129" s="83"/>
      <c r="Q129" s="83"/>
      <c r="R129" s="83"/>
      <c r="S129" s="83"/>
      <c r="T129" s="83"/>
      <c r="U129" s="83"/>
      <c r="V129" s="83"/>
      <c r="W129" s="83"/>
      <c r="X129" s="83"/>
      <c r="Y129" s="49" t="str">
        <f t="shared" si="12"/>
        <v/>
      </c>
      <c r="Z129" s="84" t="str">
        <f>IF(C129="","",IF($AH$27&lt;&gt;1,$AH$1,IFERROR(Y129*$C$2,$AH$1)))</f>
        <v/>
      </c>
      <c r="AE129" s="189">
        <f t="shared" si="18"/>
        <v>1</v>
      </c>
      <c r="AF129" s="187">
        <f t="shared" si="19"/>
        <v>0</v>
      </c>
      <c r="AG129" s="187">
        <f t="shared" si="20"/>
        <v>0</v>
      </c>
      <c r="AH129" s="187">
        <f t="shared" si="21"/>
        <v>1</v>
      </c>
    </row>
    <row r="130" spans="2:34" ht="16.5" thickBot="1" x14ac:dyDescent="0.3">
      <c r="B130" s="80" t="str">
        <f t="shared" si="14"/>
        <v/>
      </c>
      <c r="C130" s="421" t="str">
        <f>IF('תנאי סף'!AO130&lt;&gt;1,"",'תנאי סף'!F130)</f>
        <v/>
      </c>
      <c r="D130" s="82" t="str">
        <f>הגנה!AV130</f>
        <v/>
      </c>
      <c r="E130" s="45"/>
      <c r="F130" s="45"/>
      <c r="G130" s="82" t="str">
        <f t="shared" si="15"/>
        <v/>
      </c>
      <c r="H130" s="279" t="str">
        <f t="shared" si="16"/>
        <v/>
      </c>
      <c r="I130" s="49" t="str">
        <f t="shared" si="17"/>
        <v/>
      </c>
      <c r="K130" s="83"/>
      <c r="L130" s="83"/>
      <c r="M130" s="83"/>
      <c r="N130" s="83"/>
      <c r="O130" s="83"/>
      <c r="P130" s="83"/>
      <c r="Q130" s="83"/>
      <c r="R130" s="83"/>
      <c r="S130" s="83"/>
      <c r="T130" s="83"/>
      <c r="U130" s="83"/>
      <c r="V130" s="83"/>
      <c r="W130" s="83"/>
      <c r="X130" s="83"/>
      <c r="Y130" s="49" t="str">
        <f t="shared" si="12"/>
        <v/>
      </c>
      <c r="Z130" s="84" t="str">
        <f>IF(C130="","",IF($AH$27&lt;&gt;1,$AH$1,IFERROR(Y130*$C$2,$AH$1)))</f>
        <v/>
      </c>
      <c r="AE130" s="189">
        <f t="shared" si="18"/>
        <v>1</v>
      </c>
      <c r="AF130" s="187">
        <f t="shared" si="19"/>
        <v>0</v>
      </c>
      <c r="AG130" s="187">
        <f t="shared" si="20"/>
        <v>0</v>
      </c>
      <c r="AH130" s="187">
        <f t="shared" si="21"/>
        <v>1</v>
      </c>
    </row>
    <row r="131" spans="2:34" ht="16.5" thickBot="1" x14ac:dyDescent="0.3">
      <c r="B131" s="587" t="s">
        <v>77</v>
      </c>
      <c r="C131" s="604"/>
      <c r="D131" s="85">
        <f t="shared" ref="D131:I131" si="22">SUM(D31:D130)</f>
        <v>0.99999999999999978</v>
      </c>
      <c r="E131" s="9">
        <f t="shared" si="22"/>
        <v>42</v>
      </c>
      <c r="F131" s="9">
        <f t="shared" si="22"/>
        <v>150</v>
      </c>
      <c r="G131" s="86">
        <f t="shared" si="22"/>
        <v>10.283333333333335</v>
      </c>
      <c r="H131" s="9">
        <f t="shared" si="22"/>
        <v>8</v>
      </c>
      <c r="I131" s="86">
        <f t="shared" si="22"/>
        <v>1.006558646524045</v>
      </c>
      <c r="J131" s="86"/>
      <c r="K131" s="86"/>
      <c r="L131" s="86"/>
      <c r="M131" s="86"/>
      <c r="N131" s="86"/>
      <c r="O131" s="86"/>
      <c r="P131" s="86"/>
      <c r="Q131" s="86"/>
      <c r="R131" s="86"/>
      <c r="S131" s="86"/>
      <c r="T131" s="86"/>
      <c r="U131" s="86"/>
      <c r="V131" s="86"/>
      <c r="W131" s="86"/>
      <c r="X131" s="86"/>
      <c r="Y131" s="86">
        <f>SUM(Y31:Y130)</f>
        <v>0.99999999999999956</v>
      </c>
      <c r="Z131" s="9">
        <f>SUM(Z31:Z130)</f>
        <v>3076367</v>
      </c>
    </row>
  </sheetData>
  <sheetProtection algorithmName="SHA-512" hashValue="DmpT2rtVECeRxv1d9bU3nAJj/qZv5ZRgtN5we91jF4P4jsWCDKLZQ/2iDGd5bWYWsixBR4XPYim5cplSM2TIdw==" saltValue="6DP9vu4FTGbZJXR0Xp9U3w==" spinCount="100000" sheet="1" scenarios="1" formatCells="0" formatColumns="0" formatRows="0" autoFilter="0"/>
  <mergeCells count="12">
    <mergeCell ref="AF29:AF30"/>
    <mergeCell ref="B131:C131"/>
    <mergeCell ref="C4:D4"/>
    <mergeCell ref="B28:Z28"/>
    <mergeCell ref="B29:B30"/>
    <mergeCell ref="C29:C30"/>
    <mergeCell ref="D29:D30"/>
    <mergeCell ref="G29:G30"/>
    <mergeCell ref="H29:H30"/>
    <mergeCell ref="I29:I30"/>
    <mergeCell ref="Y29:Y30"/>
    <mergeCell ref="Z29:Z30"/>
  </mergeCells>
  <conditionalFormatting sqref="B31:Z130">
    <cfRule type="expression" dxfId="74" priority="1" stopIfTrue="1">
      <formula>AND($C31="",B31&lt;&gt;"")</formula>
    </cfRule>
    <cfRule type="expression" dxfId="73" priority="2">
      <formula>$C31=""</formula>
    </cfRule>
    <cfRule type="expression" dxfId="72" priority="3">
      <formula>B$30&lt;&gt;""</formula>
    </cfRule>
  </conditionalFormatting>
  <conditionalFormatting sqref="C1:G2">
    <cfRule type="containsBlanks" dxfId="71" priority="24">
      <formula>LEN(TRIM(C1))=0</formula>
    </cfRule>
  </conditionalFormatting>
  <conditionalFormatting sqref="E3:F6">
    <cfRule type="containsBlanks" dxfId="70" priority="26">
      <formula>LEN(TRIM(E3))=0</formula>
    </cfRule>
  </conditionalFormatting>
  <dataValidations count="1">
    <dataValidation type="decimal" operator="greaterThanOrEqual" allowBlank="1" showInputMessage="1" showErrorMessage="1" errorTitle="טעות בהזנה" error="יש להזין מספר שאינו שלילי" sqref="E31:F130" xr:uid="{00000000-0002-0000-1300-000000000000}">
      <formula1>0</formula1>
    </dataValidation>
  </dataValidations>
  <printOptions horizontalCentered="1"/>
  <pageMargins left="0.51181102362204722" right="0.51181102362204722" top="0.74803149606299213" bottom="0.74803149606299213" header="0.31496062992125984" footer="0.31496062992125984"/>
  <pageSetup paperSize="9" scale="80"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37B7F84E-5F1E-45AC-8E4E-B37B47FD6257}">
            <xm:f>NOT(ISERROR(SEARCH($AH$1,B31)))</xm:f>
            <xm:f>$AH$1</xm:f>
            <x14:dxf>
              <fill>
                <patternFill>
                  <bgColor rgb="FFFF0000"/>
                </patternFill>
              </fill>
            </x14:dxf>
          </x14:cfRule>
          <xm:sqref>B31:Z130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9">
    <tabColor theme="4" tint="-0.249977111117893"/>
    <pageSetUpPr fitToPage="1"/>
  </sheetPr>
  <dimension ref="A1:AJ131"/>
  <sheetViews>
    <sheetView rightToLeft="1" view="pageBreakPreview" topLeftCell="B1" zoomScaleNormal="100" zoomScaleSheetLayoutView="100" workbookViewId="0">
      <pane ySplit="30" topLeftCell="A31" activePane="bottomLeft" state="frozen"/>
      <selection activeCell="G58" sqref="G58"/>
      <selection pane="bottomLeft" activeCell="B31" sqref="B31"/>
    </sheetView>
  </sheetViews>
  <sheetFormatPr defaultColWidth="9" defaultRowHeight="15.75" x14ac:dyDescent="0.25"/>
  <cols>
    <col min="1" max="1" width="2" style="69" hidden="1" customWidth="1"/>
    <col min="2" max="2" width="10" style="69" customWidth="1"/>
    <col min="3" max="3" width="28.5703125" style="69" customWidth="1"/>
    <col min="4" max="4" width="19.5703125" style="69" customWidth="1"/>
    <col min="5" max="5" width="15.42578125" style="69" hidden="1" customWidth="1"/>
    <col min="6" max="6" width="14.28515625" style="69" hidden="1" customWidth="1"/>
    <col min="7" max="7" width="13.42578125" style="69" customWidth="1"/>
    <col min="8" max="9" width="14.28515625" style="69" hidden="1" customWidth="1"/>
    <col min="10" max="10" width="19.140625" style="69" customWidth="1"/>
    <col min="11" max="12" width="20.140625" style="69" customWidth="1"/>
    <col min="13" max="13" width="6.85546875" style="69" hidden="1" customWidth="1"/>
    <col min="14" max="24" width="4.7109375" style="69" hidden="1" customWidth="1"/>
    <col min="25" max="25" width="13.42578125" style="69" customWidth="1"/>
    <col min="26" max="26" width="19.85546875" style="69" bestFit="1" customWidth="1"/>
    <col min="27" max="27" width="9" style="69" hidden="1" customWidth="1"/>
    <col min="28" max="28" width="8" style="69" hidden="1" customWidth="1"/>
    <col min="29" max="29" width="10.85546875" style="69" hidden="1" customWidth="1"/>
    <col min="30" max="30" width="8" style="69" hidden="1" customWidth="1"/>
    <col min="31" max="36" width="9" style="69" hidden="1" customWidth="1"/>
    <col min="37" max="200" width="0" style="69" hidden="1" customWidth="1"/>
    <col min="201" max="16384" width="9" style="69"/>
  </cols>
  <sheetData>
    <row r="1" spans="2:34" ht="15.75" customHeight="1" x14ac:dyDescent="0.25">
      <c r="B1" s="249" t="str">
        <f>'פרמטרים לעקרונות חישוב התמיכה'!$B$1</f>
        <v>שנה</v>
      </c>
      <c r="C1" s="1">
        <f>'פרמטרים לעקרונות חישוב התמיכה'!$C$1</f>
        <v>2025</v>
      </c>
      <c r="AC1" s="68"/>
      <c r="AH1" s="69" t="s">
        <v>115</v>
      </c>
    </row>
    <row r="2" spans="2:34" ht="16.5" customHeight="1" thickBot="1" x14ac:dyDescent="0.3">
      <c r="B2" s="256" t="str">
        <f>'פרמטרים לעקרונות חישוב התמיכה'!$B$2</f>
        <v>תקציב</v>
      </c>
      <c r="C2" s="2">
        <f>'פרמטרים לעקרונות חישוב התמיכה'!$C$2</f>
        <v>3076367</v>
      </c>
    </row>
    <row r="3" spans="2:34" ht="16.5" thickBot="1" x14ac:dyDescent="0.3"/>
    <row r="4" spans="2:34" ht="16.5" hidden="1" thickBot="1" x14ac:dyDescent="0.3">
      <c r="J4" s="269"/>
      <c r="K4" s="270"/>
    </row>
    <row r="5" spans="2:34" s="188" customFormat="1" ht="31.5" hidden="1" customHeight="1" x14ac:dyDescent="0.25">
      <c r="J5" s="271"/>
      <c r="K5" s="272"/>
    </row>
    <row r="6" spans="2:34" s="188" customFormat="1" ht="16.5" thickBot="1" x14ac:dyDescent="0.3">
      <c r="C6" s="624" t="str">
        <f>'פרמטרים לעקרונות חישוב התמיכה'!B55</f>
        <v>לא ניתנן תמיכה למוסד בעד בקשה שהניקוד בעדה מזכה בסכום הנמוך מ:</v>
      </c>
      <c r="D6" s="625"/>
      <c r="E6" s="70">
        <f>'פרמטרים לעקרונות חישוב התמיכה'!$C$55</f>
        <v>25000</v>
      </c>
      <c r="G6" s="70">
        <f>E6</f>
        <v>25000</v>
      </c>
      <c r="H6" s="71"/>
      <c r="J6" s="273" t="s">
        <v>321</v>
      </c>
      <c r="K6" s="72">
        <f>J131</f>
        <v>0</v>
      </c>
      <c r="L6" s="73"/>
    </row>
    <row r="7" spans="2:34" s="188" customFormat="1" ht="16.5" thickBot="1" x14ac:dyDescent="0.3">
      <c r="J7" s="69"/>
      <c r="K7" s="69"/>
      <c r="L7" s="73"/>
    </row>
    <row r="8" spans="2:34" s="188" customFormat="1" ht="16.5" hidden="1" thickBot="1" x14ac:dyDescent="0.3"/>
    <row r="9" spans="2:34" s="188" customFormat="1" ht="16.5" hidden="1" thickBot="1" x14ac:dyDescent="0.3"/>
    <row r="10" spans="2:34" s="188" customFormat="1" ht="16.5" hidden="1" thickBot="1" x14ac:dyDescent="0.3"/>
    <row r="11" spans="2:34" s="188" customFormat="1" ht="16.5" hidden="1" thickBot="1" x14ac:dyDescent="0.3"/>
    <row r="12" spans="2:34" s="188" customFormat="1" ht="16.5" hidden="1" thickBot="1" x14ac:dyDescent="0.3"/>
    <row r="13" spans="2:34" s="188" customFormat="1" ht="16.5" hidden="1" thickBot="1" x14ac:dyDescent="0.3"/>
    <row r="14" spans="2:34" s="188" customFormat="1" ht="16.5" hidden="1" thickBot="1" x14ac:dyDescent="0.3"/>
    <row r="15" spans="2:34" s="188" customFormat="1" ht="16.5" hidden="1" thickBot="1" x14ac:dyDescent="0.3"/>
    <row r="16" spans="2:34" s="188" customFormat="1" ht="16.5" hidden="1" thickBot="1" x14ac:dyDescent="0.3"/>
    <row r="17" spans="2:34" s="188" customFormat="1" ht="16.5" hidden="1" thickBot="1" x14ac:dyDescent="0.3"/>
    <row r="18" spans="2:34" s="188" customFormat="1" ht="16.5" hidden="1" thickBot="1" x14ac:dyDescent="0.3"/>
    <row r="19" spans="2:34" s="188" customFormat="1" ht="16.5" hidden="1" thickBot="1" x14ac:dyDescent="0.3"/>
    <row r="20" spans="2:34" s="188" customFormat="1" ht="16.5" hidden="1" thickBot="1" x14ac:dyDescent="0.3"/>
    <row r="21" spans="2:34" s="188" customFormat="1" ht="16.5" hidden="1" thickBot="1" x14ac:dyDescent="0.3"/>
    <row r="22" spans="2:34" s="188" customFormat="1" ht="16.5" hidden="1" thickBot="1" x14ac:dyDescent="0.3"/>
    <row r="23" spans="2:34" s="188" customFormat="1" ht="16.5" hidden="1" thickBot="1" x14ac:dyDescent="0.3"/>
    <row r="24" spans="2:34" s="188" customFormat="1" ht="16.5" hidden="1" thickBot="1" x14ac:dyDescent="0.3"/>
    <row r="25" spans="2:34" s="188" customFormat="1" ht="16.5" hidden="1" thickBot="1" x14ac:dyDescent="0.3"/>
    <row r="26" spans="2:34" s="188" customFormat="1" ht="16.5" hidden="1" thickBot="1" x14ac:dyDescent="0.3"/>
    <row r="27" spans="2:34" s="188" customFormat="1" ht="16.5" hidden="1" thickBot="1" x14ac:dyDescent="0.3">
      <c r="AH27" s="188" t="s">
        <v>310</v>
      </c>
    </row>
    <row r="28" spans="2:34" s="188" customFormat="1" ht="18.75" customHeight="1" thickBot="1" x14ac:dyDescent="0.3">
      <c r="B28" s="626" t="str">
        <f ca="1">MID(CELL("filename",B27),FIND("]",CELL("filename",C27),1)+1,99)</f>
        <v>תמיכה מינימלית</v>
      </c>
      <c r="C28" s="627"/>
      <c r="D28" s="627"/>
      <c r="E28" s="627"/>
      <c r="F28" s="627"/>
      <c r="G28" s="627"/>
      <c r="H28" s="627"/>
      <c r="I28" s="627"/>
      <c r="J28" s="627"/>
      <c r="K28" s="627"/>
      <c r="L28" s="627"/>
      <c r="M28" s="627"/>
      <c r="N28" s="627"/>
      <c r="O28" s="627"/>
      <c r="P28" s="627"/>
      <c r="Q28" s="627"/>
      <c r="R28" s="627"/>
      <c r="S28" s="627"/>
      <c r="T28" s="627"/>
      <c r="U28" s="627"/>
      <c r="V28" s="627"/>
      <c r="W28" s="627"/>
      <c r="X28" s="627"/>
      <c r="Y28" s="627"/>
      <c r="Z28" s="628"/>
      <c r="AH28" s="188">
        <f>IF(SUM(AH31:AH130)=COUNT(AH31:AH130),1,0)</f>
        <v>0</v>
      </c>
    </row>
    <row r="29" spans="2:34" s="188" customFormat="1" ht="32.25" customHeight="1" thickBot="1" x14ac:dyDescent="0.3">
      <c r="B29" s="609" t="s">
        <v>219</v>
      </c>
      <c r="C29" s="594" t="s">
        <v>133</v>
      </c>
      <c r="D29" s="600" t="s">
        <v>322</v>
      </c>
      <c r="E29" s="280"/>
      <c r="F29" s="280"/>
      <c r="G29" s="600" t="s">
        <v>323</v>
      </c>
      <c r="H29" s="598"/>
      <c r="I29" s="622" t="s">
        <v>324</v>
      </c>
      <c r="J29" s="622" t="s">
        <v>325</v>
      </c>
      <c r="K29" s="622" t="s">
        <v>326</v>
      </c>
      <c r="L29" s="622" t="s">
        <v>327</v>
      </c>
      <c r="M29" s="281"/>
      <c r="N29" s="281"/>
      <c r="O29" s="281"/>
      <c r="P29" s="281"/>
      <c r="Q29" s="281"/>
      <c r="R29" s="281"/>
      <c r="S29" s="281"/>
      <c r="T29" s="281"/>
      <c r="U29" s="281"/>
      <c r="V29" s="281"/>
      <c r="W29" s="281"/>
      <c r="X29" s="281"/>
      <c r="Y29" s="600" t="s">
        <v>328</v>
      </c>
      <c r="Z29" s="602" t="s">
        <v>329</v>
      </c>
    </row>
    <row r="30" spans="2:34" s="188" customFormat="1" ht="16.5" thickBot="1" x14ac:dyDescent="0.3">
      <c r="B30" s="610"/>
      <c r="C30" s="595"/>
      <c r="D30" s="601"/>
      <c r="E30" s="282"/>
      <c r="F30" s="283"/>
      <c r="G30" s="601"/>
      <c r="H30" s="599"/>
      <c r="I30" s="623"/>
      <c r="J30" s="623"/>
      <c r="K30" s="623"/>
      <c r="L30" s="623"/>
      <c r="M30" s="284"/>
      <c r="N30" s="284"/>
      <c r="O30" s="284"/>
      <c r="P30" s="284"/>
      <c r="Q30" s="284"/>
      <c r="R30" s="284"/>
      <c r="S30" s="284"/>
      <c r="T30" s="284"/>
      <c r="U30" s="284"/>
      <c r="V30" s="284"/>
      <c r="W30" s="284"/>
      <c r="X30" s="284"/>
      <c r="Y30" s="601"/>
      <c r="Z30" s="603"/>
      <c r="AE30" s="186">
        <v>0</v>
      </c>
      <c r="AF30" s="186">
        <v>1</v>
      </c>
      <c r="AH30" s="188" t="s">
        <v>262</v>
      </c>
    </row>
    <row r="31" spans="2:34" s="188" customFormat="1" ht="28.5" customHeight="1" x14ac:dyDescent="0.25">
      <c r="B31" s="51">
        <f>IF(C31="","",ROW()-30)</f>
        <v>1</v>
      </c>
      <c r="C31" s="349" t="str">
        <f>IF('תנאי סף'!AO31&lt;&gt;1,"",'תנאי סף'!F31)</f>
        <v>אנסמבל פרץ אליהו</v>
      </c>
      <c r="D31" s="321">
        <f>'הרכב חברי הוועדה'!Z31</f>
        <v>104794.2194357554</v>
      </c>
      <c r="E31" s="322"/>
      <c r="F31" s="266"/>
      <c r="G31" s="267">
        <f t="shared" ref="G31:G62" si="0">IF($C31="","",IF(D31="",$AH$1,IF($D31&gt;=$E$6,1,0)))</f>
        <v>1</v>
      </c>
      <c r="H31" s="426"/>
      <c r="I31" s="426">
        <f>IF(C31="","",IF(G31=1,D31,0))</f>
        <v>104794.2194357554</v>
      </c>
      <c r="J31" s="426">
        <f>IF(C31="","",IF(G31=0,D31,0))</f>
        <v>0</v>
      </c>
      <c r="K31" s="426">
        <f>IF(C31="","",IF(G31=1,$K$6*I31/$I$131,0))</f>
        <v>0</v>
      </c>
      <c r="L31" s="426">
        <f>IF(C31="","",IF(G31=1,K31+I31,0))</f>
        <v>104794.2194357554</v>
      </c>
      <c r="M31" s="383"/>
      <c r="N31" s="383"/>
      <c r="O31" s="383"/>
      <c r="P31" s="383"/>
      <c r="Q31" s="383"/>
      <c r="R31" s="383"/>
      <c r="S31" s="383"/>
      <c r="T31" s="383"/>
      <c r="U31" s="383"/>
      <c r="V31" s="383"/>
      <c r="W31" s="383"/>
      <c r="X31" s="383"/>
      <c r="Y31" s="419">
        <f t="shared" ref="Y31:Y62" si="1">IF(C31="","",IFERROR(L31/$L$131,$AH$1))</f>
        <v>3.4064277583186725E-2</v>
      </c>
      <c r="Z31" s="74">
        <f t="shared" ref="Z31:Z62" si="2">IF(C31="","",IFERROR(Y31*$C$2,$AH$1))</f>
        <v>104794.2194357554</v>
      </c>
      <c r="AE31" s="186">
        <f>IF($C31="","",AE$30)</f>
        <v>0</v>
      </c>
      <c r="AF31" s="186">
        <f>IF($C31="","",AF$30)</f>
        <v>1</v>
      </c>
      <c r="AH31" s="188">
        <f>IF(F31="",0,IF(ISERROR(MATCH(F31,$AE$30:$AF$30,0)),0,1))</f>
        <v>0</v>
      </c>
    </row>
    <row r="32" spans="2:34" s="188" customFormat="1" ht="28.5" customHeight="1" x14ac:dyDescent="0.25">
      <c r="B32" s="51" t="str">
        <f t="shared" ref="B32:B95" si="3">IF(C32="","",ROW()-30)</f>
        <v/>
      </c>
      <c r="C32" s="349" t="str">
        <f>IF('תנאי סף'!AO32&lt;&gt;1,"",'תנאי סף'!F32)</f>
        <v/>
      </c>
      <c r="D32" s="325" t="str">
        <f>'הרכב חברי הוועדה'!Z32</f>
        <v/>
      </c>
      <c r="E32" s="322"/>
      <c r="F32" s="266"/>
      <c r="G32" s="267" t="str">
        <f t="shared" si="0"/>
        <v/>
      </c>
      <c r="H32" s="426"/>
      <c r="I32" s="426" t="str">
        <f t="shared" ref="I32:I95" si="4">IF(C32="","",IF(G32=1,D32,0))</f>
        <v/>
      </c>
      <c r="J32" s="426" t="str">
        <f t="shared" ref="J32:J95" si="5">IF(C32="","",IF(G32=0,D32,0))</f>
        <v/>
      </c>
      <c r="K32" s="426" t="str">
        <f t="shared" ref="K32:K95" si="6">IF(C32="","",IF(G32=1,$K$6*I32/$I$131,0))</f>
        <v/>
      </c>
      <c r="L32" s="426" t="str">
        <f t="shared" ref="L32:L95" si="7">IF(C32="","",IF(G32=1,K32+I32,0))</f>
        <v/>
      </c>
      <c r="M32" s="383"/>
      <c r="N32" s="383"/>
      <c r="O32" s="383"/>
      <c r="P32" s="383"/>
      <c r="Q32" s="383"/>
      <c r="R32" s="383"/>
      <c r="S32" s="383"/>
      <c r="T32" s="383"/>
      <c r="U32" s="383"/>
      <c r="V32" s="383"/>
      <c r="W32" s="383"/>
      <c r="X32" s="383"/>
      <c r="Y32" s="419" t="str">
        <f t="shared" si="1"/>
        <v/>
      </c>
      <c r="Z32" s="74" t="str">
        <f t="shared" si="2"/>
        <v/>
      </c>
      <c r="AE32" s="186" t="str">
        <f t="shared" ref="AE32:AF63" si="8">IF($C32="","",AE$30)</f>
        <v/>
      </c>
      <c r="AF32" s="186" t="str">
        <f t="shared" si="8"/>
        <v/>
      </c>
      <c r="AH32" s="188">
        <f t="shared" ref="AH32:AH95" si="9">IF(F32="",0,IF(ISERROR(MATCH(F32,$AE$30:$AF$30,0)),0,1))</f>
        <v>0</v>
      </c>
    </row>
    <row r="33" spans="2:34" s="188" customFormat="1" ht="28.5" customHeight="1" x14ac:dyDescent="0.25">
      <c r="B33" s="51" t="str">
        <f t="shared" si="3"/>
        <v/>
      </c>
      <c r="C33" s="349" t="str">
        <f>IF('תנאי סף'!AO33&lt;&gt;1,"",'תנאי סף'!F33)</f>
        <v/>
      </c>
      <c r="D33" s="325" t="str">
        <f>'הרכב חברי הוועדה'!Z33</f>
        <v/>
      </c>
      <c r="E33" s="322"/>
      <c r="F33" s="266"/>
      <c r="G33" s="267" t="str">
        <f t="shared" si="0"/>
        <v/>
      </c>
      <c r="H33" s="426"/>
      <c r="I33" s="426" t="str">
        <f t="shared" si="4"/>
        <v/>
      </c>
      <c r="J33" s="426" t="str">
        <f t="shared" si="5"/>
        <v/>
      </c>
      <c r="K33" s="426" t="str">
        <f t="shared" si="6"/>
        <v/>
      </c>
      <c r="L33" s="426" t="str">
        <f t="shared" si="7"/>
        <v/>
      </c>
      <c r="M33" s="383"/>
      <c r="N33" s="383"/>
      <c r="O33" s="383"/>
      <c r="P33" s="383"/>
      <c r="Q33" s="383"/>
      <c r="R33" s="383"/>
      <c r="S33" s="383"/>
      <c r="T33" s="383"/>
      <c r="U33" s="383"/>
      <c r="V33" s="383"/>
      <c r="W33" s="383"/>
      <c r="X33" s="383"/>
      <c r="Y33" s="419" t="str">
        <f t="shared" si="1"/>
        <v/>
      </c>
      <c r="Z33" s="74" t="str">
        <f t="shared" si="2"/>
        <v/>
      </c>
      <c r="AE33" s="186" t="str">
        <f t="shared" si="8"/>
        <v/>
      </c>
      <c r="AF33" s="186" t="str">
        <f t="shared" si="8"/>
        <v/>
      </c>
      <c r="AH33" s="188">
        <f t="shared" si="9"/>
        <v>0</v>
      </c>
    </row>
    <row r="34" spans="2:34" s="188" customFormat="1" ht="28.5" customHeight="1" x14ac:dyDescent="0.25">
      <c r="B34" s="51">
        <f t="shared" si="3"/>
        <v>4</v>
      </c>
      <c r="C34" s="349" t="str">
        <f>IF('תנאי סף'!AO34&lt;&gt;1,"",'תנאי סף'!F34)</f>
        <v>יניב ד'אור - אנסמבל נאיה</v>
      </c>
      <c r="D34" s="325">
        <f>'הרכב חברי הוועדה'!Z34</f>
        <v>68940.502777501941</v>
      </c>
      <c r="E34" s="322"/>
      <c r="F34" s="266"/>
      <c r="G34" s="267">
        <f t="shared" si="0"/>
        <v>1</v>
      </c>
      <c r="H34" s="426"/>
      <c r="I34" s="426">
        <f t="shared" si="4"/>
        <v>68940.502777501941</v>
      </c>
      <c r="J34" s="426">
        <f t="shared" si="5"/>
        <v>0</v>
      </c>
      <c r="K34" s="426">
        <f t="shared" si="6"/>
        <v>0</v>
      </c>
      <c r="L34" s="426">
        <f t="shared" si="7"/>
        <v>68940.502777501941</v>
      </c>
      <c r="M34" s="383"/>
      <c r="N34" s="383"/>
      <c r="O34" s="383"/>
      <c r="P34" s="383"/>
      <c r="Q34" s="383"/>
      <c r="R34" s="383"/>
      <c r="S34" s="383"/>
      <c r="T34" s="383"/>
      <c r="U34" s="383"/>
      <c r="V34" s="383"/>
      <c r="W34" s="383"/>
      <c r="X34" s="383"/>
      <c r="Y34" s="419">
        <f t="shared" si="1"/>
        <v>2.240971339814201E-2</v>
      </c>
      <c r="Z34" s="74">
        <f t="shared" si="2"/>
        <v>68940.502777501941</v>
      </c>
      <c r="AE34" s="186">
        <f t="shared" si="8"/>
        <v>0</v>
      </c>
      <c r="AF34" s="186">
        <f t="shared" si="8"/>
        <v>1</v>
      </c>
      <c r="AH34" s="188">
        <f t="shared" si="9"/>
        <v>0</v>
      </c>
    </row>
    <row r="35" spans="2:34" s="188" customFormat="1" ht="28.5" hidden="1" customHeight="1" x14ac:dyDescent="0.25">
      <c r="B35" s="51" t="str">
        <f t="shared" si="3"/>
        <v/>
      </c>
      <c r="C35" s="349" t="str">
        <f>IF('תנאי סף'!AO35&lt;&gt;1,"",'תנאי סף'!F35)</f>
        <v/>
      </c>
      <c r="D35" s="325" t="str">
        <f>'הרכב חברי הוועדה'!Z35</f>
        <v/>
      </c>
      <c r="E35" s="322"/>
      <c r="F35" s="266"/>
      <c r="G35" s="267" t="str">
        <f t="shared" si="0"/>
        <v/>
      </c>
      <c r="H35" s="426"/>
      <c r="I35" s="426" t="str">
        <f t="shared" si="4"/>
        <v/>
      </c>
      <c r="J35" s="426" t="str">
        <f t="shared" si="5"/>
        <v/>
      </c>
      <c r="K35" s="426" t="str">
        <f t="shared" si="6"/>
        <v/>
      </c>
      <c r="L35" s="426" t="str">
        <f t="shared" si="7"/>
        <v/>
      </c>
      <c r="M35" s="383"/>
      <c r="N35" s="383"/>
      <c r="O35" s="383"/>
      <c r="P35" s="383"/>
      <c r="Q35" s="383"/>
      <c r="R35" s="383"/>
      <c r="S35" s="383"/>
      <c r="T35" s="383"/>
      <c r="U35" s="383"/>
      <c r="V35" s="383"/>
      <c r="W35" s="383"/>
      <c r="X35" s="383"/>
      <c r="Y35" s="419" t="str">
        <f t="shared" si="1"/>
        <v/>
      </c>
      <c r="Z35" s="74" t="str">
        <f t="shared" si="2"/>
        <v/>
      </c>
      <c r="AE35" s="186" t="str">
        <f t="shared" si="8"/>
        <v/>
      </c>
      <c r="AF35" s="186" t="str">
        <f t="shared" si="8"/>
        <v/>
      </c>
      <c r="AH35" s="188">
        <f t="shared" si="9"/>
        <v>0</v>
      </c>
    </row>
    <row r="36" spans="2:34" s="188" customFormat="1" ht="28.5" customHeight="1" x14ac:dyDescent="0.25">
      <c r="B36" s="51">
        <f t="shared" si="3"/>
        <v>6</v>
      </c>
      <c r="C36" s="349" t="str">
        <f>IF('תנאי סף'!AO36&lt;&gt;1,"",'תנאי סף'!F36)</f>
        <v>הפרויקט הקאמרי הישראלי</v>
      </c>
      <c r="D36" s="325">
        <f>'הרכב חברי הוועדה'!Z36</f>
        <v>82117.363106032819</v>
      </c>
      <c r="E36" s="322"/>
      <c r="F36" s="266"/>
      <c r="G36" s="267">
        <f t="shared" si="0"/>
        <v>1</v>
      </c>
      <c r="H36" s="426"/>
      <c r="I36" s="426">
        <f t="shared" si="4"/>
        <v>82117.363106032819</v>
      </c>
      <c r="J36" s="426">
        <f t="shared" si="5"/>
        <v>0</v>
      </c>
      <c r="K36" s="426">
        <f t="shared" si="6"/>
        <v>0</v>
      </c>
      <c r="L36" s="426">
        <f t="shared" si="7"/>
        <v>82117.363106032819</v>
      </c>
      <c r="M36" s="383"/>
      <c r="N36" s="383"/>
      <c r="O36" s="383"/>
      <c r="P36" s="383"/>
      <c r="Q36" s="383"/>
      <c r="R36" s="383"/>
      <c r="S36" s="383"/>
      <c r="T36" s="383"/>
      <c r="U36" s="383"/>
      <c r="V36" s="383"/>
      <c r="W36" s="383"/>
      <c r="X36" s="383"/>
      <c r="Y36" s="419">
        <f t="shared" si="1"/>
        <v>2.6692967095939081E-2</v>
      </c>
      <c r="Z36" s="74">
        <f t="shared" si="2"/>
        <v>82117.363106032819</v>
      </c>
      <c r="AE36" s="186">
        <f t="shared" si="8"/>
        <v>0</v>
      </c>
      <c r="AF36" s="186">
        <f t="shared" si="8"/>
        <v>1</v>
      </c>
      <c r="AH36" s="188">
        <f t="shared" si="9"/>
        <v>0</v>
      </c>
    </row>
    <row r="37" spans="2:34" s="188" customFormat="1" ht="28.5" customHeight="1" x14ac:dyDescent="0.25">
      <c r="B37" s="51">
        <f t="shared" si="3"/>
        <v>7</v>
      </c>
      <c r="C37" s="349" t="str">
        <f>IF('תנאי סף'!AO37&lt;&gt;1,"",'תנאי סף'!F37)</f>
        <v>מארש דונדורמה</v>
      </c>
      <c r="D37" s="325">
        <f>'הרכב חברי הוועדה'!Z37</f>
        <v>136897.15125699615</v>
      </c>
      <c r="E37" s="322"/>
      <c r="F37" s="266"/>
      <c r="G37" s="267">
        <f t="shared" si="0"/>
        <v>1</v>
      </c>
      <c r="H37" s="426"/>
      <c r="I37" s="426">
        <f t="shared" si="4"/>
        <v>136897.15125699615</v>
      </c>
      <c r="J37" s="426">
        <f t="shared" si="5"/>
        <v>0</v>
      </c>
      <c r="K37" s="426">
        <f t="shared" si="6"/>
        <v>0</v>
      </c>
      <c r="L37" s="426">
        <f t="shared" si="7"/>
        <v>136897.15125699615</v>
      </c>
      <c r="M37" s="383"/>
      <c r="N37" s="383"/>
      <c r="O37" s="383"/>
      <c r="P37" s="383"/>
      <c r="Q37" s="383"/>
      <c r="R37" s="383"/>
      <c r="S37" s="383"/>
      <c r="T37" s="383"/>
      <c r="U37" s="383"/>
      <c r="V37" s="383"/>
      <c r="W37" s="383"/>
      <c r="X37" s="383"/>
      <c r="Y37" s="419">
        <f t="shared" si="1"/>
        <v>4.4499616351688906E-2</v>
      </c>
      <c r="Z37" s="74">
        <f t="shared" si="2"/>
        <v>136897.15125699615</v>
      </c>
      <c r="AE37" s="186">
        <f t="shared" si="8"/>
        <v>0</v>
      </c>
      <c r="AF37" s="186">
        <f t="shared" si="8"/>
        <v>1</v>
      </c>
      <c r="AH37" s="188">
        <f t="shared" si="9"/>
        <v>0</v>
      </c>
    </row>
    <row r="38" spans="2:34" s="188" customFormat="1" ht="28.5" customHeight="1" x14ac:dyDescent="0.25">
      <c r="B38" s="51">
        <f t="shared" si="3"/>
        <v>8</v>
      </c>
      <c r="C38" s="349" t="str">
        <f>IF('תנאי סף'!AO38&lt;&gt;1,"",'תנאי סף'!F38)</f>
        <v>להקת מורין נהדר</v>
      </c>
      <c r="D38" s="325">
        <f>'הרכב חברי הוועדה'!Z38</f>
        <v>31599.979992645749</v>
      </c>
      <c r="E38" s="322"/>
      <c r="F38" s="266"/>
      <c r="G38" s="267">
        <f t="shared" si="0"/>
        <v>1</v>
      </c>
      <c r="H38" s="426"/>
      <c r="I38" s="426">
        <f t="shared" si="4"/>
        <v>31599.979992645749</v>
      </c>
      <c r="J38" s="426">
        <f t="shared" si="5"/>
        <v>0</v>
      </c>
      <c r="K38" s="426">
        <f t="shared" si="6"/>
        <v>0</v>
      </c>
      <c r="L38" s="426">
        <f t="shared" si="7"/>
        <v>31599.979992645749</v>
      </c>
      <c r="M38" s="383"/>
      <c r="N38" s="383"/>
      <c r="O38" s="383"/>
      <c r="P38" s="383"/>
      <c r="Q38" s="383"/>
      <c r="R38" s="383"/>
      <c r="S38" s="383"/>
      <c r="T38" s="383"/>
      <c r="U38" s="383"/>
      <c r="V38" s="383"/>
      <c r="W38" s="383"/>
      <c r="X38" s="383"/>
      <c r="Y38" s="419">
        <f t="shared" si="1"/>
        <v>1.0271849877679012E-2</v>
      </c>
      <c r="Z38" s="74">
        <f t="shared" si="2"/>
        <v>31599.979992645749</v>
      </c>
      <c r="AE38" s="186">
        <f t="shared" si="8"/>
        <v>0</v>
      </c>
      <c r="AF38" s="186">
        <f t="shared" si="8"/>
        <v>1</v>
      </c>
      <c r="AH38" s="188">
        <f t="shared" si="9"/>
        <v>0</v>
      </c>
    </row>
    <row r="39" spans="2:34" s="188" customFormat="1" ht="28.5" hidden="1" customHeight="1" x14ac:dyDescent="0.25">
      <c r="B39" s="51" t="str">
        <f t="shared" si="3"/>
        <v/>
      </c>
      <c r="C39" s="349" t="str">
        <f>IF('תנאי סף'!AO39&lt;&gt;1,"",'תנאי סף'!F39)</f>
        <v/>
      </c>
      <c r="D39" s="325" t="str">
        <f>'הרכב חברי הוועדה'!Z39</f>
        <v/>
      </c>
      <c r="E39" s="322"/>
      <c r="F39" s="266"/>
      <c r="G39" s="267" t="str">
        <f t="shared" si="0"/>
        <v/>
      </c>
      <c r="H39" s="426"/>
      <c r="I39" s="426" t="str">
        <f t="shared" si="4"/>
        <v/>
      </c>
      <c r="J39" s="426" t="str">
        <f t="shared" si="5"/>
        <v/>
      </c>
      <c r="K39" s="426" t="str">
        <f t="shared" si="6"/>
        <v/>
      </c>
      <c r="L39" s="426" t="str">
        <f t="shared" si="7"/>
        <v/>
      </c>
      <c r="M39" s="383"/>
      <c r="N39" s="383"/>
      <c r="O39" s="383"/>
      <c r="P39" s="383"/>
      <c r="Q39" s="383"/>
      <c r="R39" s="383"/>
      <c r="S39" s="383"/>
      <c r="T39" s="383"/>
      <c r="U39" s="383"/>
      <c r="V39" s="383"/>
      <c r="W39" s="383"/>
      <c r="X39" s="383"/>
      <c r="Y39" s="419" t="str">
        <f t="shared" si="1"/>
        <v/>
      </c>
      <c r="Z39" s="74" t="str">
        <f t="shared" si="2"/>
        <v/>
      </c>
      <c r="AE39" s="186" t="str">
        <f t="shared" si="8"/>
        <v/>
      </c>
      <c r="AF39" s="186" t="str">
        <f t="shared" si="8"/>
        <v/>
      </c>
      <c r="AH39" s="188">
        <f t="shared" si="9"/>
        <v>0</v>
      </c>
    </row>
    <row r="40" spans="2:34" s="188" customFormat="1" ht="28.5" customHeight="1" x14ac:dyDescent="0.25">
      <c r="B40" s="51">
        <f t="shared" si="3"/>
        <v>10</v>
      </c>
      <c r="C40" s="349" t="str">
        <f>IF('תנאי סף'!AO40&lt;&gt;1,"",'תנאי סף'!F40)</f>
        <v>אנסמבל גלעד אפרת</v>
      </c>
      <c r="D40" s="325">
        <f>'הרכב חברי הוועדה'!Z40</f>
        <v>63681.6791423373</v>
      </c>
      <c r="E40" s="322"/>
      <c r="F40" s="266"/>
      <c r="G40" s="267">
        <f t="shared" si="0"/>
        <v>1</v>
      </c>
      <c r="H40" s="426"/>
      <c r="I40" s="426">
        <f t="shared" si="4"/>
        <v>63681.6791423373</v>
      </c>
      <c r="J40" s="426">
        <f t="shared" si="5"/>
        <v>0</v>
      </c>
      <c r="K40" s="426">
        <f t="shared" si="6"/>
        <v>0</v>
      </c>
      <c r="L40" s="426">
        <f t="shared" si="7"/>
        <v>63681.6791423373</v>
      </c>
      <c r="M40" s="383"/>
      <c r="N40" s="383"/>
      <c r="O40" s="383"/>
      <c r="P40" s="383"/>
      <c r="Q40" s="383"/>
      <c r="R40" s="383"/>
      <c r="S40" s="383"/>
      <c r="T40" s="383"/>
      <c r="U40" s="383"/>
      <c r="V40" s="383"/>
      <c r="W40" s="383"/>
      <c r="X40" s="383"/>
      <c r="Y40" s="419">
        <f t="shared" si="1"/>
        <v>2.0700286780588044E-2</v>
      </c>
      <c r="Z40" s="74">
        <f t="shared" si="2"/>
        <v>63681.6791423373</v>
      </c>
      <c r="AE40" s="186">
        <f t="shared" si="8"/>
        <v>0</v>
      </c>
      <c r="AF40" s="186">
        <f t="shared" si="8"/>
        <v>1</v>
      </c>
      <c r="AH40" s="188">
        <f t="shared" si="9"/>
        <v>0</v>
      </c>
    </row>
    <row r="41" spans="2:34" s="188" customFormat="1" ht="28.5" customHeight="1" x14ac:dyDescent="0.25">
      <c r="B41" s="51">
        <f t="shared" si="3"/>
        <v>11</v>
      </c>
      <c r="C41" s="349" t="str">
        <f>IF('תנאי סף'!AO41&lt;&gt;1,"",'תנאי סף'!F41)</f>
        <v>רביעיית כרמל</v>
      </c>
      <c r="D41" s="325">
        <f>'הרכב חברי הוועדה'!Z41</f>
        <v>130411.75270637736</v>
      </c>
      <c r="E41" s="322"/>
      <c r="F41" s="266"/>
      <c r="G41" s="267">
        <f t="shared" si="0"/>
        <v>1</v>
      </c>
      <c r="H41" s="426"/>
      <c r="I41" s="426">
        <f t="shared" si="4"/>
        <v>130411.75270637736</v>
      </c>
      <c r="J41" s="426">
        <f t="shared" si="5"/>
        <v>0</v>
      </c>
      <c r="K41" s="426">
        <f t="shared" si="6"/>
        <v>0</v>
      </c>
      <c r="L41" s="426">
        <f t="shared" si="7"/>
        <v>130411.75270637736</v>
      </c>
      <c r="M41" s="383"/>
      <c r="N41" s="383"/>
      <c r="O41" s="383"/>
      <c r="P41" s="383"/>
      <c r="Q41" s="383"/>
      <c r="R41" s="383"/>
      <c r="S41" s="383"/>
      <c r="T41" s="383"/>
      <c r="U41" s="383"/>
      <c r="V41" s="383"/>
      <c r="W41" s="383"/>
      <c r="X41" s="383"/>
      <c r="Y41" s="419">
        <f t="shared" si="1"/>
        <v>4.2391480829945635E-2</v>
      </c>
      <c r="Z41" s="74">
        <f t="shared" si="2"/>
        <v>130411.75270637736</v>
      </c>
      <c r="AE41" s="186">
        <f t="shared" si="8"/>
        <v>0</v>
      </c>
      <c r="AF41" s="186">
        <f t="shared" si="8"/>
        <v>1</v>
      </c>
      <c r="AH41" s="188">
        <f t="shared" si="9"/>
        <v>0</v>
      </c>
    </row>
    <row r="42" spans="2:34" s="188" customFormat="1" ht="28.5" customHeight="1" x14ac:dyDescent="0.25">
      <c r="B42" s="51">
        <f t="shared" si="3"/>
        <v>12</v>
      </c>
      <c r="C42" s="349" t="str">
        <f>IF('תנאי סף'!AO42&lt;&gt;1,"",'תנאי סף'!F42)</f>
        <v>שורולה</v>
      </c>
      <c r="D42" s="325">
        <f>'הרכב חברי הוועדה'!Z42</f>
        <v>38312.449228177378</v>
      </c>
      <c r="E42" s="322"/>
      <c r="F42" s="266"/>
      <c r="G42" s="267">
        <f t="shared" si="0"/>
        <v>1</v>
      </c>
      <c r="H42" s="426"/>
      <c r="I42" s="426">
        <f t="shared" si="4"/>
        <v>38312.449228177378</v>
      </c>
      <c r="J42" s="426">
        <f t="shared" si="5"/>
        <v>0</v>
      </c>
      <c r="K42" s="426">
        <f t="shared" si="6"/>
        <v>0</v>
      </c>
      <c r="L42" s="426">
        <f t="shared" si="7"/>
        <v>38312.449228177378</v>
      </c>
      <c r="M42" s="383"/>
      <c r="N42" s="383"/>
      <c r="O42" s="383"/>
      <c r="P42" s="383"/>
      <c r="Q42" s="383"/>
      <c r="R42" s="383"/>
      <c r="S42" s="383"/>
      <c r="T42" s="383"/>
      <c r="U42" s="383"/>
      <c r="V42" s="383"/>
      <c r="W42" s="383"/>
      <c r="X42" s="383"/>
      <c r="Y42" s="419">
        <f t="shared" si="1"/>
        <v>1.2453796711568346E-2</v>
      </c>
      <c r="Z42" s="74">
        <f t="shared" si="2"/>
        <v>38312.449228177378</v>
      </c>
      <c r="AE42" s="186">
        <f t="shared" si="8"/>
        <v>0</v>
      </c>
      <c r="AF42" s="186">
        <f t="shared" si="8"/>
        <v>1</v>
      </c>
      <c r="AH42" s="188">
        <f t="shared" si="9"/>
        <v>0</v>
      </c>
    </row>
    <row r="43" spans="2:34" s="188" customFormat="1" ht="28.5" hidden="1" customHeight="1" x14ac:dyDescent="0.25">
      <c r="B43" s="51" t="str">
        <f t="shared" si="3"/>
        <v/>
      </c>
      <c r="C43" s="349" t="str">
        <f>IF('תנאי סף'!AO43&lt;&gt;1,"",'תנאי סף'!F43)</f>
        <v/>
      </c>
      <c r="D43" s="325" t="str">
        <f>'הרכב חברי הוועדה'!Z43</f>
        <v/>
      </c>
      <c r="E43" s="322"/>
      <c r="F43" s="266"/>
      <c r="G43" s="267" t="str">
        <f t="shared" si="0"/>
        <v/>
      </c>
      <c r="H43" s="426"/>
      <c r="I43" s="426" t="str">
        <f t="shared" si="4"/>
        <v/>
      </c>
      <c r="J43" s="426" t="str">
        <f t="shared" si="5"/>
        <v/>
      </c>
      <c r="K43" s="426" t="str">
        <f t="shared" si="6"/>
        <v/>
      </c>
      <c r="L43" s="426" t="str">
        <f t="shared" si="7"/>
        <v/>
      </c>
      <c r="M43" s="383"/>
      <c r="N43" s="383"/>
      <c r="O43" s="383"/>
      <c r="P43" s="383"/>
      <c r="Q43" s="383"/>
      <c r="R43" s="383"/>
      <c r="S43" s="383"/>
      <c r="T43" s="383"/>
      <c r="U43" s="383"/>
      <c r="V43" s="383"/>
      <c r="W43" s="383"/>
      <c r="X43" s="383"/>
      <c r="Y43" s="419" t="str">
        <f t="shared" si="1"/>
        <v/>
      </c>
      <c r="Z43" s="74" t="str">
        <f t="shared" si="2"/>
        <v/>
      </c>
      <c r="AE43" s="186" t="str">
        <f t="shared" si="8"/>
        <v/>
      </c>
      <c r="AF43" s="186" t="str">
        <f t="shared" si="8"/>
        <v/>
      </c>
      <c r="AH43" s="188">
        <f t="shared" si="9"/>
        <v>0</v>
      </c>
    </row>
    <row r="44" spans="2:34" s="188" customFormat="1" ht="28.5" hidden="1" customHeight="1" x14ac:dyDescent="0.25">
      <c r="B44" s="51" t="str">
        <f t="shared" si="3"/>
        <v/>
      </c>
      <c r="C44" s="349" t="str">
        <f>IF('תנאי סף'!AO44&lt;&gt;1,"",'תנאי סף'!F44)</f>
        <v/>
      </c>
      <c r="D44" s="325" t="str">
        <f>'הרכב חברי הוועדה'!Z44</f>
        <v/>
      </c>
      <c r="E44" s="322"/>
      <c r="F44" s="266"/>
      <c r="G44" s="267" t="str">
        <f t="shared" si="0"/>
        <v/>
      </c>
      <c r="H44" s="426"/>
      <c r="I44" s="426" t="str">
        <f t="shared" si="4"/>
        <v/>
      </c>
      <c r="J44" s="426" t="str">
        <f t="shared" si="5"/>
        <v/>
      </c>
      <c r="K44" s="426" t="str">
        <f t="shared" si="6"/>
        <v/>
      </c>
      <c r="L44" s="426" t="str">
        <f t="shared" si="7"/>
        <v/>
      </c>
      <c r="M44" s="383"/>
      <c r="N44" s="383"/>
      <c r="O44" s="383"/>
      <c r="P44" s="383"/>
      <c r="Q44" s="383"/>
      <c r="R44" s="383"/>
      <c r="S44" s="383"/>
      <c r="T44" s="383"/>
      <c r="U44" s="383"/>
      <c r="V44" s="383"/>
      <c r="W44" s="383"/>
      <c r="X44" s="383"/>
      <c r="Y44" s="419" t="str">
        <f t="shared" si="1"/>
        <v/>
      </c>
      <c r="Z44" s="74" t="str">
        <f t="shared" si="2"/>
        <v/>
      </c>
      <c r="AE44" s="186" t="str">
        <f t="shared" si="8"/>
        <v/>
      </c>
      <c r="AF44" s="186" t="str">
        <f t="shared" si="8"/>
        <v/>
      </c>
      <c r="AH44" s="188">
        <f t="shared" si="9"/>
        <v>0</v>
      </c>
    </row>
    <row r="45" spans="2:34" s="188" customFormat="1" ht="28.5" customHeight="1" x14ac:dyDescent="0.25">
      <c r="B45" s="51" t="str">
        <f t="shared" si="3"/>
        <v/>
      </c>
      <c r="C45" s="349" t="str">
        <f>IF('תנאי סף'!AO45&lt;&gt;1,"",'תנאי סף'!F45)</f>
        <v/>
      </c>
      <c r="D45" s="325" t="str">
        <f>'הרכב חברי הוועדה'!Z45</f>
        <v/>
      </c>
      <c r="E45" s="322"/>
      <c r="F45" s="266"/>
      <c r="G45" s="267" t="str">
        <f t="shared" si="0"/>
        <v/>
      </c>
      <c r="H45" s="426"/>
      <c r="I45" s="426" t="str">
        <f t="shared" si="4"/>
        <v/>
      </c>
      <c r="J45" s="426" t="str">
        <f t="shared" si="5"/>
        <v/>
      </c>
      <c r="K45" s="426" t="str">
        <f t="shared" si="6"/>
        <v/>
      </c>
      <c r="L45" s="426" t="str">
        <f t="shared" si="7"/>
        <v/>
      </c>
      <c r="M45" s="383"/>
      <c r="N45" s="383"/>
      <c r="O45" s="383"/>
      <c r="P45" s="383"/>
      <c r="Q45" s="383"/>
      <c r="R45" s="383"/>
      <c r="S45" s="383"/>
      <c r="T45" s="383"/>
      <c r="U45" s="383"/>
      <c r="V45" s="383"/>
      <c r="W45" s="383"/>
      <c r="X45" s="383"/>
      <c r="Y45" s="419" t="str">
        <f t="shared" si="1"/>
        <v/>
      </c>
      <c r="Z45" s="74" t="str">
        <f t="shared" si="2"/>
        <v/>
      </c>
      <c r="AE45" s="186" t="str">
        <f t="shared" si="8"/>
        <v/>
      </c>
      <c r="AF45" s="186" t="str">
        <f t="shared" si="8"/>
        <v/>
      </c>
      <c r="AH45" s="188">
        <f t="shared" si="9"/>
        <v>0</v>
      </c>
    </row>
    <row r="46" spans="2:34" s="188" customFormat="1" ht="28.5" customHeight="1" x14ac:dyDescent="0.25">
      <c r="B46" s="51" t="str">
        <f t="shared" si="3"/>
        <v/>
      </c>
      <c r="C46" s="349" t="str">
        <f>IF('תנאי סף'!AO46&lt;&gt;1,"",'תנאי סף'!F46)</f>
        <v/>
      </c>
      <c r="D46" s="325" t="str">
        <f>'הרכב חברי הוועדה'!Z46</f>
        <v/>
      </c>
      <c r="E46" s="322"/>
      <c r="F46" s="266"/>
      <c r="G46" s="267" t="str">
        <f t="shared" si="0"/>
        <v/>
      </c>
      <c r="H46" s="426"/>
      <c r="I46" s="426" t="str">
        <f t="shared" si="4"/>
        <v/>
      </c>
      <c r="J46" s="426" t="str">
        <f t="shared" si="5"/>
        <v/>
      </c>
      <c r="K46" s="426" t="str">
        <f t="shared" si="6"/>
        <v/>
      </c>
      <c r="L46" s="426" t="str">
        <f t="shared" si="7"/>
        <v/>
      </c>
      <c r="M46" s="383"/>
      <c r="N46" s="383"/>
      <c r="O46" s="383"/>
      <c r="P46" s="383"/>
      <c r="Q46" s="383"/>
      <c r="R46" s="383"/>
      <c r="S46" s="383"/>
      <c r="T46" s="383"/>
      <c r="U46" s="383"/>
      <c r="V46" s="383"/>
      <c r="W46" s="383"/>
      <c r="X46" s="383"/>
      <c r="Y46" s="419" t="str">
        <f t="shared" si="1"/>
        <v/>
      </c>
      <c r="Z46" s="74" t="str">
        <f t="shared" si="2"/>
        <v/>
      </c>
      <c r="AE46" s="186" t="str">
        <f t="shared" si="8"/>
        <v/>
      </c>
      <c r="AF46" s="186" t="str">
        <f t="shared" si="8"/>
        <v/>
      </c>
      <c r="AH46" s="188">
        <f t="shared" si="9"/>
        <v>0</v>
      </c>
    </row>
    <row r="47" spans="2:34" s="188" customFormat="1" ht="28.5" customHeight="1" x14ac:dyDescent="0.25">
      <c r="B47" s="51">
        <f t="shared" si="3"/>
        <v>17</v>
      </c>
      <c r="C47" s="349" t="str">
        <f>IF('תנאי סף'!AO47&lt;&gt;1,"",'תנאי סף'!F47)</f>
        <v>הרכב עמית פרידמן</v>
      </c>
      <c r="D47" s="325">
        <f>'הרכב חברי הוועדה'!Z47</f>
        <v>75400.137348342134</v>
      </c>
      <c r="E47" s="322"/>
      <c r="F47" s="266"/>
      <c r="G47" s="267">
        <f t="shared" si="0"/>
        <v>1</v>
      </c>
      <c r="H47" s="426"/>
      <c r="I47" s="426">
        <f t="shared" si="4"/>
        <v>75400.137348342134</v>
      </c>
      <c r="J47" s="426">
        <f t="shared" si="5"/>
        <v>0</v>
      </c>
      <c r="K47" s="426">
        <f t="shared" si="6"/>
        <v>0</v>
      </c>
      <c r="L47" s="426">
        <f t="shared" si="7"/>
        <v>75400.137348342134</v>
      </c>
      <c r="M47" s="383"/>
      <c r="N47" s="383"/>
      <c r="O47" s="383"/>
      <c r="P47" s="383"/>
      <c r="Q47" s="383"/>
      <c r="R47" s="383"/>
      <c r="S47" s="383"/>
      <c r="T47" s="383"/>
      <c r="U47" s="383"/>
      <c r="V47" s="383"/>
      <c r="W47" s="383"/>
      <c r="X47" s="383"/>
      <c r="Y47" s="419">
        <f t="shared" si="1"/>
        <v>2.4509474112920249E-2</v>
      </c>
      <c r="Z47" s="74">
        <f t="shared" si="2"/>
        <v>75400.137348342134</v>
      </c>
      <c r="AE47" s="186">
        <f t="shared" si="8"/>
        <v>0</v>
      </c>
      <c r="AF47" s="186">
        <f t="shared" si="8"/>
        <v>1</v>
      </c>
      <c r="AH47" s="188">
        <f t="shared" si="9"/>
        <v>0</v>
      </c>
    </row>
    <row r="48" spans="2:34" s="188" customFormat="1" ht="28.5" hidden="1" customHeight="1" x14ac:dyDescent="0.25">
      <c r="B48" s="51" t="str">
        <f t="shared" si="3"/>
        <v/>
      </c>
      <c r="C48" s="349" t="str">
        <f>IF('תנאי סף'!AO48&lt;&gt;1,"",'תנאי סף'!F48)</f>
        <v/>
      </c>
      <c r="D48" s="325" t="str">
        <f>'הרכב חברי הוועדה'!Z48</f>
        <v/>
      </c>
      <c r="E48" s="322"/>
      <c r="F48" s="266"/>
      <c r="G48" s="267" t="str">
        <f t="shared" si="0"/>
        <v/>
      </c>
      <c r="H48" s="426"/>
      <c r="I48" s="426" t="str">
        <f t="shared" si="4"/>
        <v/>
      </c>
      <c r="J48" s="426" t="str">
        <f t="shared" si="5"/>
        <v/>
      </c>
      <c r="K48" s="426" t="str">
        <f t="shared" si="6"/>
        <v/>
      </c>
      <c r="L48" s="426" t="str">
        <f t="shared" si="7"/>
        <v/>
      </c>
      <c r="M48" s="383"/>
      <c r="N48" s="383"/>
      <c r="O48" s="383"/>
      <c r="P48" s="383"/>
      <c r="Q48" s="383"/>
      <c r="R48" s="383"/>
      <c r="S48" s="383"/>
      <c r="T48" s="383"/>
      <c r="U48" s="383"/>
      <c r="V48" s="383"/>
      <c r="W48" s="383"/>
      <c r="X48" s="383"/>
      <c r="Y48" s="419" t="str">
        <f t="shared" si="1"/>
        <v/>
      </c>
      <c r="Z48" s="74" t="str">
        <f t="shared" si="2"/>
        <v/>
      </c>
      <c r="AE48" s="186" t="str">
        <f t="shared" si="8"/>
        <v/>
      </c>
      <c r="AF48" s="186" t="str">
        <f t="shared" si="8"/>
        <v/>
      </c>
      <c r="AH48" s="188">
        <f t="shared" si="9"/>
        <v>0</v>
      </c>
    </row>
    <row r="49" spans="2:34" s="188" customFormat="1" ht="28.5" hidden="1" customHeight="1" x14ac:dyDescent="0.25">
      <c r="B49" s="51" t="str">
        <f t="shared" si="3"/>
        <v/>
      </c>
      <c r="C49" s="349" t="str">
        <f>IF('תנאי סף'!AO49&lt;&gt;1,"",'תנאי סף'!F49)</f>
        <v/>
      </c>
      <c r="D49" s="325" t="str">
        <f>'הרכב חברי הוועדה'!Z49</f>
        <v/>
      </c>
      <c r="E49" s="322"/>
      <c r="F49" s="266"/>
      <c r="G49" s="267" t="str">
        <f t="shared" si="0"/>
        <v/>
      </c>
      <c r="H49" s="426"/>
      <c r="I49" s="426" t="str">
        <f t="shared" si="4"/>
        <v/>
      </c>
      <c r="J49" s="426" t="str">
        <f t="shared" si="5"/>
        <v/>
      </c>
      <c r="K49" s="426" t="str">
        <f t="shared" si="6"/>
        <v/>
      </c>
      <c r="L49" s="426" t="str">
        <f t="shared" si="7"/>
        <v/>
      </c>
      <c r="M49" s="383"/>
      <c r="N49" s="383"/>
      <c r="O49" s="383"/>
      <c r="P49" s="383"/>
      <c r="Q49" s="383"/>
      <c r="R49" s="383"/>
      <c r="S49" s="383"/>
      <c r="T49" s="383"/>
      <c r="U49" s="383"/>
      <c r="V49" s="383"/>
      <c r="W49" s="383"/>
      <c r="X49" s="383"/>
      <c r="Y49" s="419" t="str">
        <f t="shared" si="1"/>
        <v/>
      </c>
      <c r="Z49" s="74" t="str">
        <f t="shared" si="2"/>
        <v/>
      </c>
      <c r="AE49" s="186" t="str">
        <f t="shared" si="8"/>
        <v/>
      </c>
      <c r="AF49" s="186" t="str">
        <f t="shared" si="8"/>
        <v/>
      </c>
      <c r="AH49" s="188">
        <f t="shared" si="9"/>
        <v>0</v>
      </c>
    </row>
    <row r="50" spans="2:34" s="188" customFormat="1" ht="28.5" hidden="1" customHeight="1" x14ac:dyDescent="0.25">
      <c r="B50" s="51" t="str">
        <f t="shared" si="3"/>
        <v/>
      </c>
      <c r="C50" s="349" t="str">
        <f>IF('תנאי סף'!AO50&lt;&gt;1,"",'תנאי סף'!F50)</f>
        <v/>
      </c>
      <c r="D50" s="325" t="str">
        <f>'הרכב חברי הוועדה'!Z50</f>
        <v/>
      </c>
      <c r="E50" s="322"/>
      <c r="F50" s="266"/>
      <c r="G50" s="267" t="str">
        <f t="shared" si="0"/>
        <v/>
      </c>
      <c r="H50" s="426"/>
      <c r="I50" s="426" t="str">
        <f t="shared" si="4"/>
        <v/>
      </c>
      <c r="J50" s="426" t="str">
        <f t="shared" si="5"/>
        <v/>
      </c>
      <c r="K50" s="426" t="str">
        <f t="shared" si="6"/>
        <v/>
      </c>
      <c r="L50" s="426" t="str">
        <f t="shared" si="7"/>
        <v/>
      </c>
      <c r="M50" s="383"/>
      <c r="N50" s="383"/>
      <c r="O50" s="383"/>
      <c r="P50" s="383"/>
      <c r="Q50" s="383"/>
      <c r="R50" s="383"/>
      <c r="S50" s="383"/>
      <c r="T50" s="383"/>
      <c r="U50" s="383"/>
      <c r="V50" s="383"/>
      <c r="W50" s="383"/>
      <c r="X50" s="383"/>
      <c r="Y50" s="419" t="str">
        <f t="shared" si="1"/>
        <v/>
      </c>
      <c r="Z50" s="74" t="str">
        <f t="shared" si="2"/>
        <v/>
      </c>
      <c r="AE50" s="186" t="str">
        <f t="shared" si="8"/>
        <v/>
      </c>
      <c r="AF50" s="186" t="str">
        <f t="shared" si="8"/>
        <v/>
      </c>
      <c r="AH50" s="188">
        <f t="shared" si="9"/>
        <v>0</v>
      </c>
    </row>
    <row r="51" spans="2:34" s="188" customFormat="1" ht="28.5" customHeight="1" x14ac:dyDescent="0.25">
      <c r="B51" s="51">
        <f t="shared" si="3"/>
        <v>21</v>
      </c>
      <c r="C51" s="349" t="str">
        <f>IF('תנאי סף'!AO51&lt;&gt;1,"",'תנאי סף'!F51)</f>
        <v>חמישיית תל אביב לכלי נשיפה</v>
      </c>
      <c r="D51" s="325">
        <f>'הרכב חברי הוועדה'!Z51</f>
        <v>101713.6373437467</v>
      </c>
      <c r="E51" s="322"/>
      <c r="F51" s="266"/>
      <c r="G51" s="267">
        <f t="shared" si="0"/>
        <v>1</v>
      </c>
      <c r="H51" s="426"/>
      <c r="I51" s="426">
        <f t="shared" si="4"/>
        <v>101713.6373437467</v>
      </c>
      <c r="J51" s="426">
        <f t="shared" si="5"/>
        <v>0</v>
      </c>
      <c r="K51" s="426">
        <f t="shared" si="6"/>
        <v>0</v>
      </c>
      <c r="L51" s="426">
        <f t="shared" si="7"/>
        <v>101713.6373437467</v>
      </c>
      <c r="M51" s="383"/>
      <c r="N51" s="383"/>
      <c r="O51" s="383"/>
      <c r="P51" s="383"/>
      <c r="Q51" s="383"/>
      <c r="R51" s="383"/>
      <c r="S51" s="383"/>
      <c r="T51" s="383"/>
      <c r="U51" s="383"/>
      <c r="V51" s="383"/>
      <c r="W51" s="383"/>
      <c r="X51" s="383"/>
      <c r="Y51" s="419">
        <f t="shared" si="1"/>
        <v>3.3062907430663084E-2</v>
      </c>
      <c r="Z51" s="74">
        <f t="shared" si="2"/>
        <v>101713.6373437467</v>
      </c>
      <c r="AE51" s="186">
        <f t="shared" si="8"/>
        <v>0</v>
      </c>
      <c r="AF51" s="186">
        <f t="shared" si="8"/>
        <v>1</v>
      </c>
      <c r="AH51" s="188">
        <f t="shared" si="9"/>
        <v>0</v>
      </c>
    </row>
    <row r="52" spans="2:34" s="188" customFormat="1" ht="28.5" customHeight="1" x14ac:dyDescent="0.25">
      <c r="B52" s="51">
        <f t="shared" si="3"/>
        <v>22</v>
      </c>
      <c r="C52" s="349" t="str">
        <f>IF('תנאי סף'!AO52&lt;&gt;1,"",'תנאי סף'!F52)</f>
        <v>הרכב אקוט</v>
      </c>
      <c r="D52" s="325">
        <f>'הרכב חברי הוועדה'!Z52</f>
        <v>118670.06606800163</v>
      </c>
      <c r="E52" s="322"/>
      <c r="F52" s="266"/>
      <c r="G52" s="267">
        <f t="shared" si="0"/>
        <v>1</v>
      </c>
      <c r="H52" s="426"/>
      <c r="I52" s="426">
        <f t="shared" si="4"/>
        <v>118670.06606800163</v>
      </c>
      <c r="J52" s="426">
        <f t="shared" si="5"/>
        <v>0</v>
      </c>
      <c r="K52" s="426">
        <f t="shared" si="6"/>
        <v>0</v>
      </c>
      <c r="L52" s="426">
        <f t="shared" si="7"/>
        <v>118670.06606800163</v>
      </c>
      <c r="M52" s="383"/>
      <c r="N52" s="383"/>
      <c r="O52" s="383"/>
      <c r="P52" s="383"/>
      <c r="Q52" s="383"/>
      <c r="R52" s="383"/>
      <c r="S52" s="383"/>
      <c r="T52" s="383"/>
      <c r="U52" s="383"/>
      <c r="V52" s="383"/>
      <c r="W52" s="383"/>
      <c r="X52" s="383"/>
      <c r="Y52" s="419">
        <f t="shared" si="1"/>
        <v>3.8574742892509777E-2</v>
      </c>
      <c r="Z52" s="74">
        <f t="shared" si="2"/>
        <v>118670.06606800163</v>
      </c>
      <c r="AE52" s="186">
        <f t="shared" si="8"/>
        <v>0</v>
      </c>
      <c r="AF52" s="186">
        <f t="shared" si="8"/>
        <v>1</v>
      </c>
      <c r="AH52" s="188">
        <f t="shared" si="9"/>
        <v>0</v>
      </c>
    </row>
    <row r="53" spans="2:34" s="188" customFormat="1" ht="28.5" customHeight="1" x14ac:dyDescent="0.25">
      <c r="B53" s="51">
        <f t="shared" si="3"/>
        <v>23</v>
      </c>
      <c r="C53" s="349" t="str">
        <f>IF('תנאי סף'!AO53&lt;&gt;1,"",'תנאי סף'!F53)</f>
        <v>שלישיית עתר</v>
      </c>
      <c r="D53" s="325">
        <f>'הרכב חברי הוועדה'!Z53</f>
        <v>81114.701657369471</v>
      </c>
      <c r="E53" s="322"/>
      <c r="F53" s="266"/>
      <c r="G53" s="267">
        <f t="shared" si="0"/>
        <v>1</v>
      </c>
      <c r="H53" s="426"/>
      <c r="I53" s="426">
        <f t="shared" si="4"/>
        <v>81114.701657369471</v>
      </c>
      <c r="J53" s="426">
        <f t="shared" si="5"/>
        <v>0</v>
      </c>
      <c r="K53" s="426">
        <f t="shared" si="6"/>
        <v>0</v>
      </c>
      <c r="L53" s="426">
        <f t="shared" si="7"/>
        <v>81114.701657369471</v>
      </c>
      <c r="M53" s="383"/>
      <c r="N53" s="383"/>
      <c r="O53" s="383"/>
      <c r="P53" s="383"/>
      <c r="Q53" s="383"/>
      <c r="R53" s="383"/>
      <c r="S53" s="383"/>
      <c r="T53" s="383"/>
      <c r="U53" s="383"/>
      <c r="V53" s="383"/>
      <c r="W53" s="383"/>
      <c r="X53" s="383"/>
      <c r="Y53" s="419">
        <f t="shared" si="1"/>
        <v>2.6367043222531469E-2</v>
      </c>
      <c r="Z53" s="74">
        <f t="shared" si="2"/>
        <v>81114.701657369471</v>
      </c>
      <c r="AE53" s="186">
        <f t="shared" si="8"/>
        <v>0</v>
      </c>
      <c r="AF53" s="186">
        <f t="shared" si="8"/>
        <v>1</v>
      </c>
      <c r="AH53" s="188">
        <f t="shared" si="9"/>
        <v>0</v>
      </c>
    </row>
    <row r="54" spans="2:34" s="188" customFormat="1" ht="28.5" customHeight="1" x14ac:dyDescent="0.25">
      <c r="B54" s="51" t="str">
        <f t="shared" si="3"/>
        <v/>
      </c>
      <c r="C54" s="349" t="str">
        <f>IF('תנאי סף'!AO54&lt;&gt;1,"",'תנאי סף'!F54)</f>
        <v/>
      </c>
      <c r="D54" s="325" t="str">
        <f>'הרכב חברי הוועדה'!Z54</f>
        <v/>
      </c>
      <c r="E54" s="322"/>
      <c r="F54" s="266"/>
      <c r="G54" s="267" t="str">
        <f t="shared" si="0"/>
        <v/>
      </c>
      <c r="H54" s="426"/>
      <c r="I54" s="426" t="str">
        <f t="shared" si="4"/>
        <v/>
      </c>
      <c r="J54" s="426" t="str">
        <f t="shared" si="5"/>
        <v/>
      </c>
      <c r="K54" s="426" t="str">
        <f t="shared" si="6"/>
        <v/>
      </c>
      <c r="L54" s="426" t="str">
        <f t="shared" si="7"/>
        <v/>
      </c>
      <c r="M54" s="383"/>
      <c r="N54" s="383"/>
      <c r="O54" s="383"/>
      <c r="P54" s="383"/>
      <c r="Q54" s="383"/>
      <c r="R54" s="383"/>
      <c r="S54" s="383"/>
      <c r="T54" s="383"/>
      <c r="U54" s="383"/>
      <c r="V54" s="383"/>
      <c r="W54" s="383"/>
      <c r="X54" s="383"/>
      <c r="Y54" s="419" t="str">
        <f t="shared" si="1"/>
        <v/>
      </c>
      <c r="Z54" s="74" t="str">
        <f t="shared" si="2"/>
        <v/>
      </c>
      <c r="AE54" s="186" t="str">
        <f t="shared" si="8"/>
        <v/>
      </c>
      <c r="AF54" s="186" t="str">
        <f t="shared" si="8"/>
        <v/>
      </c>
      <c r="AH54" s="188">
        <f t="shared" si="9"/>
        <v>0</v>
      </c>
    </row>
    <row r="55" spans="2:34" s="188" customFormat="1" ht="28.5" hidden="1" customHeight="1" x14ac:dyDescent="0.25">
      <c r="B55" s="51" t="str">
        <f t="shared" si="3"/>
        <v/>
      </c>
      <c r="C55" s="349" t="str">
        <f>IF('תנאי סף'!AO55&lt;&gt;1,"",'תנאי סף'!F55)</f>
        <v/>
      </c>
      <c r="D55" s="325" t="str">
        <f>'הרכב חברי הוועדה'!Z55</f>
        <v/>
      </c>
      <c r="E55" s="322"/>
      <c r="F55" s="266"/>
      <c r="G55" s="267" t="str">
        <f t="shared" si="0"/>
        <v/>
      </c>
      <c r="H55" s="426"/>
      <c r="I55" s="426" t="str">
        <f t="shared" si="4"/>
        <v/>
      </c>
      <c r="J55" s="426" t="str">
        <f t="shared" si="5"/>
        <v/>
      </c>
      <c r="K55" s="426" t="str">
        <f t="shared" si="6"/>
        <v/>
      </c>
      <c r="L55" s="426" t="str">
        <f t="shared" si="7"/>
        <v/>
      </c>
      <c r="M55" s="383"/>
      <c r="N55" s="383"/>
      <c r="O55" s="383"/>
      <c r="P55" s="383"/>
      <c r="Q55" s="383"/>
      <c r="R55" s="383"/>
      <c r="S55" s="383"/>
      <c r="T55" s="383"/>
      <c r="U55" s="383"/>
      <c r="V55" s="383"/>
      <c r="W55" s="383"/>
      <c r="X55" s="383"/>
      <c r="Y55" s="419" t="str">
        <f t="shared" si="1"/>
        <v/>
      </c>
      <c r="Z55" s="74" t="str">
        <f t="shared" si="2"/>
        <v/>
      </c>
      <c r="AE55" s="186" t="str">
        <f t="shared" si="8"/>
        <v/>
      </c>
      <c r="AF55" s="186" t="str">
        <f t="shared" si="8"/>
        <v/>
      </c>
      <c r="AH55" s="188">
        <f t="shared" si="9"/>
        <v>0</v>
      </c>
    </row>
    <row r="56" spans="2:34" s="188" customFormat="1" ht="28.5" customHeight="1" x14ac:dyDescent="0.25">
      <c r="B56" s="51">
        <f t="shared" si="3"/>
        <v>26</v>
      </c>
      <c r="C56" s="349" t="str">
        <f>IF('תנאי סף'!AO56&lt;&gt;1,"",'תנאי סף'!F56)</f>
        <v>אנסמבל מצו</v>
      </c>
      <c r="D56" s="325">
        <f>'הרכב חברי הוועדה'!Z56</f>
        <v>91436.33109448757</v>
      </c>
      <c r="E56" s="322"/>
      <c r="F56" s="266"/>
      <c r="G56" s="267">
        <f t="shared" si="0"/>
        <v>1</v>
      </c>
      <c r="H56" s="426"/>
      <c r="I56" s="426">
        <f t="shared" si="4"/>
        <v>91436.33109448757</v>
      </c>
      <c r="J56" s="426">
        <f t="shared" si="5"/>
        <v>0</v>
      </c>
      <c r="K56" s="426">
        <f t="shared" si="6"/>
        <v>0</v>
      </c>
      <c r="L56" s="426">
        <f t="shared" si="7"/>
        <v>91436.33109448757</v>
      </c>
      <c r="M56" s="383"/>
      <c r="N56" s="383"/>
      <c r="O56" s="383"/>
      <c r="P56" s="383"/>
      <c r="Q56" s="383"/>
      <c r="R56" s="383"/>
      <c r="S56" s="383"/>
      <c r="T56" s="383"/>
      <c r="U56" s="383"/>
      <c r="V56" s="383"/>
      <c r="W56" s="383"/>
      <c r="X56" s="383"/>
      <c r="Y56" s="419">
        <f t="shared" si="1"/>
        <v>2.9722179146534716E-2</v>
      </c>
      <c r="Z56" s="74">
        <f t="shared" si="2"/>
        <v>91436.33109448757</v>
      </c>
      <c r="AE56" s="186">
        <f t="shared" si="8"/>
        <v>0</v>
      </c>
      <c r="AF56" s="186">
        <f t="shared" si="8"/>
        <v>1</v>
      </c>
      <c r="AH56" s="188">
        <f t="shared" si="9"/>
        <v>0</v>
      </c>
    </row>
    <row r="57" spans="2:34" s="188" customFormat="1" ht="28.5" customHeight="1" x14ac:dyDescent="0.25">
      <c r="B57" s="51" t="str">
        <f t="shared" si="3"/>
        <v/>
      </c>
      <c r="C57" s="349" t="str">
        <f>IF('תנאי סף'!AO57&lt;&gt;1,"",'תנאי סף'!F57)</f>
        <v/>
      </c>
      <c r="D57" s="325" t="str">
        <f>'הרכב חברי הוועדה'!Z57</f>
        <v/>
      </c>
      <c r="E57" s="322"/>
      <c r="F57" s="266"/>
      <c r="G57" s="267" t="str">
        <f t="shared" si="0"/>
        <v/>
      </c>
      <c r="H57" s="426"/>
      <c r="I57" s="426" t="str">
        <f t="shared" si="4"/>
        <v/>
      </c>
      <c r="J57" s="426" t="str">
        <f t="shared" si="5"/>
        <v/>
      </c>
      <c r="K57" s="426" t="str">
        <f t="shared" si="6"/>
        <v/>
      </c>
      <c r="L57" s="426" t="str">
        <f t="shared" si="7"/>
        <v/>
      </c>
      <c r="M57" s="383"/>
      <c r="N57" s="383"/>
      <c r="O57" s="383"/>
      <c r="P57" s="383"/>
      <c r="Q57" s="383"/>
      <c r="R57" s="383"/>
      <c r="S57" s="383"/>
      <c r="T57" s="383"/>
      <c r="U57" s="383"/>
      <c r="V57" s="383"/>
      <c r="W57" s="383"/>
      <c r="X57" s="383"/>
      <c r="Y57" s="419" t="str">
        <f t="shared" si="1"/>
        <v/>
      </c>
      <c r="Z57" s="74" t="str">
        <f t="shared" si="2"/>
        <v/>
      </c>
      <c r="AE57" s="186" t="str">
        <f t="shared" si="8"/>
        <v/>
      </c>
      <c r="AF57" s="186" t="str">
        <f t="shared" si="8"/>
        <v/>
      </c>
      <c r="AH57" s="188">
        <f t="shared" si="9"/>
        <v>0</v>
      </c>
    </row>
    <row r="58" spans="2:34" s="188" customFormat="1" ht="28.5" customHeight="1" x14ac:dyDescent="0.25">
      <c r="B58" s="51">
        <f t="shared" si="3"/>
        <v>28</v>
      </c>
      <c r="C58" s="349" t="str">
        <f>IF('תנאי סף'!AO58&lt;&gt;1,"",'תנאי סף'!F58)</f>
        <v>תמיכה שותפת- קבוצת מוסיקה נובה</v>
      </c>
      <c r="D58" s="325">
        <f>'הרכב חברי הוועדה'!Z58</f>
        <v>86901.669804712044</v>
      </c>
      <c r="E58" s="322"/>
      <c r="F58" s="266"/>
      <c r="G58" s="267">
        <f t="shared" si="0"/>
        <v>1</v>
      </c>
      <c r="H58" s="426"/>
      <c r="I58" s="426">
        <f t="shared" si="4"/>
        <v>86901.669804712044</v>
      </c>
      <c r="J58" s="426">
        <f t="shared" si="5"/>
        <v>0</v>
      </c>
      <c r="K58" s="426">
        <f t="shared" si="6"/>
        <v>0</v>
      </c>
      <c r="L58" s="426">
        <f t="shared" si="7"/>
        <v>86901.669804712044</v>
      </c>
      <c r="M58" s="383"/>
      <c r="N58" s="383"/>
      <c r="O58" s="383"/>
      <c r="P58" s="383"/>
      <c r="Q58" s="383"/>
      <c r="R58" s="383"/>
      <c r="S58" s="383"/>
      <c r="T58" s="383"/>
      <c r="U58" s="383"/>
      <c r="V58" s="383"/>
      <c r="W58" s="383"/>
      <c r="X58" s="383"/>
      <c r="Y58" s="419">
        <f t="shared" si="1"/>
        <v>2.8248147833048541E-2</v>
      </c>
      <c r="Z58" s="74">
        <f t="shared" si="2"/>
        <v>86901.669804712044</v>
      </c>
      <c r="AE58" s="186">
        <f t="shared" si="8"/>
        <v>0</v>
      </c>
      <c r="AF58" s="186">
        <f t="shared" si="8"/>
        <v>1</v>
      </c>
      <c r="AH58" s="188">
        <f t="shared" si="9"/>
        <v>0</v>
      </c>
    </row>
    <row r="59" spans="2:34" s="188" customFormat="1" ht="28.5" hidden="1" customHeight="1" x14ac:dyDescent="0.25">
      <c r="B59" s="51" t="str">
        <f t="shared" si="3"/>
        <v/>
      </c>
      <c r="C59" s="349" t="str">
        <f>IF('תנאי סף'!AO59&lt;&gt;1,"",'תנאי סף'!F59)</f>
        <v/>
      </c>
      <c r="D59" s="325" t="str">
        <f>'הרכב חברי הוועדה'!Z59</f>
        <v/>
      </c>
      <c r="E59" s="322"/>
      <c r="F59" s="266"/>
      <c r="G59" s="267" t="str">
        <f t="shared" si="0"/>
        <v/>
      </c>
      <c r="H59" s="426"/>
      <c r="I59" s="426" t="str">
        <f t="shared" si="4"/>
        <v/>
      </c>
      <c r="J59" s="426" t="str">
        <f t="shared" si="5"/>
        <v/>
      </c>
      <c r="K59" s="426" t="str">
        <f t="shared" si="6"/>
        <v/>
      </c>
      <c r="L59" s="426" t="str">
        <f t="shared" si="7"/>
        <v/>
      </c>
      <c r="M59" s="383"/>
      <c r="N59" s="383"/>
      <c r="O59" s="383"/>
      <c r="P59" s="383"/>
      <c r="Q59" s="383"/>
      <c r="R59" s="383"/>
      <c r="S59" s="383"/>
      <c r="T59" s="383"/>
      <c r="U59" s="383"/>
      <c r="V59" s="383"/>
      <c r="W59" s="383"/>
      <c r="X59" s="383"/>
      <c r="Y59" s="419" t="str">
        <f t="shared" si="1"/>
        <v/>
      </c>
      <c r="Z59" s="74" t="str">
        <f t="shared" si="2"/>
        <v/>
      </c>
      <c r="AE59" s="186" t="str">
        <f t="shared" si="8"/>
        <v/>
      </c>
      <c r="AF59" s="186" t="str">
        <f t="shared" si="8"/>
        <v/>
      </c>
      <c r="AH59" s="188">
        <f t="shared" si="9"/>
        <v>0</v>
      </c>
    </row>
    <row r="60" spans="2:34" s="188" customFormat="1" ht="28.5" hidden="1" customHeight="1" x14ac:dyDescent="0.25">
      <c r="B60" s="51" t="str">
        <f t="shared" si="3"/>
        <v/>
      </c>
      <c r="C60" s="349" t="str">
        <f>IF('תנאי סף'!AO60&lt;&gt;1,"",'תנאי סף'!F60)</f>
        <v/>
      </c>
      <c r="D60" s="325" t="str">
        <f>'הרכב חברי הוועדה'!Z60</f>
        <v/>
      </c>
      <c r="E60" s="322"/>
      <c r="F60" s="266"/>
      <c r="G60" s="267" t="str">
        <f t="shared" si="0"/>
        <v/>
      </c>
      <c r="H60" s="426"/>
      <c r="I60" s="426" t="str">
        <f t="shared" si="4"/>
        <v/>
      </c>
      <c r="J60" s="426" t="str">
        <f t="shared" si="5"/>
        <v/>
      </c>
      <c r="K60" s="426" t="str">
        <f t="shared" si="6"/>
        <v/>
      </c>
      <c r="L60" s="426" t="str">
        <f t="shared" si="7"/>
        <v/>
      </c>
      <c r="M60" s="383"/>
      <c r="N60" s="383"/>
      <c r="O60" s="383"/>
      <c r="P60" s="383"/>
      <c r="Q60" s="383"/>
      <c r="R60" s="383"/>
      <c r="S60" s="383"/>
      <c r="T60" s="383"/>
      <c r="U60" s="383"/>
      <c r="V60" s="383"/>
      <c r="W60" s="383"/>
      <c r="X60" s="383"/>
      <c r="Y60" s="419" t="str">
        <f t="shared" si="1"/>
        <v/>
      </c>
      <c r="Z60" s="74" t="str">
        <f t="shared" si="2"/>
        <v/>
      </c>
      <c r="AE60" s="186" t="str">
        <f t="shared" si="8"/>
        <v/>
      </c>
      <c r="AF60" s="186" t="str">
        <f t="shared" si="8"/>
        <v/>
      </c>
      <c r="AH60" s="188">
        <f t="shared" si="9"/>
        <v>0</v>
      </c>
    </row>
    <row r="61" spans="2:34" s="188" customFormat="1" ht="28.5" hidden="1" customHeight="1" x14ac:dyDescent="0.25">
      <c r="B61" s="51" t="str">
        <f t="shared" si="3"/>
        <v/>
      </c>
      <c r="C61" s="349" t="str">
        <f>IF('תנאי סף'!AO61&lt;&gt;1,"",'תנאי סף'!F61)</f>
        <v/>
      </c>
      <c r="D61" s="325" t="str">
        <f>'הרכב חברי הוועדה'!Z61</f>
        <v/>
      </c>
      <c r="E61" s="322"/>
      <c r="F61" s="266"/>
      <c r="G61" s="267" t="str">
        <f t="shared" si="0"/>
        <v/>
      </c>
      <c r="H61" s="426"/>
      <c r="I61" s="426" t="str">
        <f t="shared" si="4"/>
        <v/>
      </c>
      <c r="J61" s="426" t="str">
        <f t="shared" si="5"/>
        <v/>
      </c>
      <c r="K61" s="426" t="str">
        <f t="shared" si="6"/>
        <v/>
      </c>
      <c r="L61" s="426" t="str">
        <f t="shared" si="7"/>
        <v/>
      </c>
      <c r="M61" s="383"/>
      <c r="N61" s="383"/>
      <c r="O61" s="383"/>
      <c r="P61" s="383"/>
      <c r="Q61" s="383"/>
      <c r="R61" s="383"/>
      <c r="S61" s="383"/>
      <c r="T61" s="383"/>
      <c r="U61" s="383"/>
      <c r="V61" s="383"/>
      <c r="W61" s="383"/>
      <c r="X61" s="383"/>
      <c r="Y61" s="419" t="str">
        <f t="shared" si="1"/>
        <v/>
      </c>
      <c r="Z61" s="74" t="str">
        <f t="shared" si="2"/>
        <v/>
      </c>
      <c r="AE61" s="186" t="str">
        <f t="shared" si="8"/>
        <v/>
      </c>
      <c r="AF61" s="186" t="str">
        <f t="shared" si="8"/>
        <v/>
      </c>
      <c r="AH61" s="188">
        <f t="shared" si="9"/>
        <v>0</v>
      </c>
    </row>
    <row r="62" spans="2:34" s="188" customFormat="1" ht="28.5" hidden="1" customHeight="1" x14ac:dyDescent="0.25">
      <c r="B62" s="51" t="str">
        <f t="shared" si="3"/>
        <v/>
      </c>
      <c r="C62" s="349" t="str">
        <f>IF('תנאי סף'!AO62&lt;&gt;1,"",'תנאי סף'!F62)</f>
        <v/>
      </c>
      <c r="D62" s="325" t="str">
        <f>'הרכב חברי הוועדה'!Z62</f>
        <v/>
      </c>
      <c r="E62" s="322"/>
      <c r="F62" s="266"/>
      <c r="G62" s="267" t="str">
        <f t="shared" si="0"/>
        <v/>
      </c>
      <c r="H62" s="426"/>
      <c r="I62" s="426" t="str">
        <f t="shared" si="4"/>
        <v/>
      </c>
      <c r="J62" s="426" t="str">
        <f t="shared" si="5"/>
        <v/>
      </c>
      <c r="K62" s="426" t="str">
        <f t="shared" si="6"/>
        <v/>
      </c>
      <c r="L62" s="426" t="str">
        <f t="shared" si="7"/>
        <v/>
      </c>
      <c r="M62" s="383"/>
      <c r="N62" s="383"/>
      <c r="O62" s="383"/>
      <c r="P62" s="383"/>
      <c r="Q62" s="383"/>
      <c r="R62" s="383"/>
      <c r="S62" s="383"/>
      <c r="T62" s="383"/>
      <c r="U62" s="383"/>
      <c r="V62" s="383"/>
      <c r="W62" s="383"/>
      <c r="X62" s="383"/>
      <c r="Y62" s="419" t="str">
        <f t="shared" si="1"/>
        <v/>
      </c>
      <c r="Z62" s="74" t="str">
        <f t="shared" si="2"/>
        <v/>
      </c>
      <c r="AE62" s="186" t="str">
        <f t="shared" si="8"/>
        <v/>
      </c>
      <c r="AF62" s="186" t="str">
        <f t="shared" si="8"/>
        <v/>
      </c>
      <c r="AH62" s="188">
        <f t="shared" si="9"/>
        <v>0</v>
      </c>
    </row>
    <row r="63" spans="2:34" s="188" customFormat="1" ht="28.5" hidden="1" customHeight="1" x14ac:dyDescent="0.25">
      <c r="B63" s="51" t="str">
        <f t="shared" si="3"/>
        <v/>
      </c>
      <c r="C63" s="349" t="str">
        <f>IF('תנאי סף'!AO63&lt;&gt;1,"",'תנאי סף'!F63)</f>
        <v/>
      </c>
      <c r="D63" s="325" t="str">
        <f>'הרכב חברי הוועדה'!Z63</f>
        <v/>
      </c>
      <c r="E63" s="322"/>
      <c r="F63" s="266"/>
      <c r="G63" s="267" t="str">
        <f t="shared" ref="G63:G94" si="10">IF($C63="","",IF(D63="",$AH$1,IF($D63&gt;=$E$6,1,0)))</f>
        <v/>
      </c>
      <c r="H63" s="426"/>
      <c r="I63" s="426" t="str">
        <f t="shared" si="4"/>
        <v/>
      </c>
      <c r="J63" s="426" t="str">
        <f t="shared" si="5"/>
        <v/>
      </c>
      <c r="K63" s="426" t="str">
        <f t="shared" si="6"/>
        <v/>
      </c>
      <c r="L63" s="426" t="str">
        <f t="shared" si="7"/>
        <v/>
      </c>
      <c r="M63" s="383"/>
      <c r="N63" s="383"/>
      <c r="O63" s="383"/>
      <c r="P63" s="383"/>
      <c r="Q63" s="383"/>
      <c r="R63" s="383"/>
      <c r="S63" s="383"/>
      <c r="T63" s="383"/>
      <c r="U63" s="383"/>
      <c r="V63" s="383"/>
      <c r="W63" s="383"/>
      <c r="X63" s="383"/>
      <c r="Y63" s="419" t="str">
        <f t="shared" ref="Y63:Y94" si="11">IF(C63="","",IFERROR(L63/$L$131,$AH$1))</f>
        <v/>
      </c>
      <c r="Z63" s="74" t="str">
        <f t="shared" ref="Z63:Z94" si="12">IF(C63="","",IFERROR(Y63*$C$2,$AH$1))</f>
        <v/>
      </c>
      <c r="AE63" s="186" t="str">
        <f t="shared" si="8"/>
        <v/>
      </c>
      <c r="AF63" s="186" t="str">
        <f t="shared" si="8"/>
        <v/>
      </c>
      <c r="AH63" s="188">
        <f t="shared" si="9"/>
        <v>0</v>
      </c>
    </row>
    <row r="64" spans="2:34" s="188" customFormat="1" ht="28.5" hidden="1" customHeight="1" x14ac:dyDescent="0.25">
      <c r="B64" s="51" t="str">
        <f t="shared" si="3"/>
        <v/>
      </c>
      <c r="C64" s="349" t="str">
        <f>IF('תנאי סף'!AO64&lt;&gt;1,"",'תנאי סף'!F64)</f>
        <v/>
      </c>
      <c r="D64" s="325" t="str">
        <f>'הרכב חברי הוועדה'!Z64</f>
        <v/>
      </c>
      <c r="E64" s="322"/>
      <c r="F64" s="266"/>
      <c r="G64" s="267" t="str">
        <f t="shared" si="10"/>
        <v/>
      </c>
      <c r="H64" s="426"/>
      <c r="I64" s="426" t="str">
        <f t="shared" si="4"/>
        <v/>
      </c>
      <c r="J64" s="426" t="str">
        <f t="shared" si="5"/>
        <v/>
      </c>
      <c r="K64" s="426" t="str">
        <f t="shared" si="6"/>
        <v/>
      </c>
      <c r="L64" s="426" t="str">
        <f t="shared" si="7"/>
        <v/>
      </c>
      <c r="M64" s="383"/>
      <c r="N64" s="383"/>
      <c r="O64" s="383"/>
      <c r="P64" s="383"/>
      <c r="Q64" s="383"/>
      <c r="R64" s="383"/>
      <c r="S64" s="383"/>
      <c r="T64" s="383"/>
      <c r="U64" s="383"/>
      <c r="V64" s="383"/>
      <c r="W64" s="383"/>
      <c r="X64" s="383"/>
      <c r="Y64" s="419" t="str">
        <f t="shared" si="11"/>
        <v/>
      </c>
      <c r="Z64" s="74" t="str">
        <f t="shared" si="12"/>
        <v/>
      </c>
      <c r="AE64" s="186" t="str">
        <f t="shared" ref="AE64:AF95" si="13">IF($C64="","",AE$30)</f>
        <v/>
      </c>
      <c r="AF64" s="186" t="str">
        <f t="shared" si="13"/>
        <v/>
      </c>
      <c r="AH64" s="188">
        <f t="shared" si="9"/>
        <v>0</v>
      </c>
    </row>
    <row r="65" spans="2:34" s="188" customFormat="1" ht="28.5" customHeight="1" x14ac:dyDescent="0.25">
      <c r="B65" s="51">
        <f t="shared" si="3"/>
        <v>35</v>
      </c>
      <c r="C65" s="349" t="str">
        <f>IF('תנאי סף'!AO65&lt;&gt;1,"",'תנאי סף'!F65)</f>
        <v>אנסמבל מיתר</v>
      </c>
      <c r="D65" s="325">
        <f>'הרכב חברי הוועדה'!Z65</f>
        <v>202903.49065320959</v>
      </c>
      <c r="E65" s="322"/>
      <c r="F65" s="266"/>
      <c r="G65" s="267">
        <f t="shared" si="10"/>
        <v>1</v>
      </c>
      <c r="H65" s="426"/>
      <c r="I65" s="426">
        <f t="shared" si="4"/>
        <v>202903.49065320959</v>
      </c>
      <c r="J65" s="426">
        <f t="shared" si="5"/>
        <v>0</v>
      </c>
      <c r="K65" s="426">
        <f t="shared" si="6"/>
        <v>0</v>
      </c>
      <c r="L65" s="426">
        <f t="shared" si="7"/>
        <v>202903.49065320959</v>
      </c>
      <c r="M65" s="383"/>
      <c r="N65" s="383"/>
      <c r="O65" s="383"/>
      <c r="P65" s="383"/>
      <c r="Q65" s="383"/>
      <c r="R65" s="383"/>
      <c r="S65" s="383"/>
      <c r="T65" s="383"/>
      <c r="U65" s="383"/>
      <c r="V65" s="383"/>
      <c r="W65" s="383"/>
      <c r="X65" s="383"/>
      <c r="Y65" s="419">
        <f t="shared" si="11"/>
        <v>6.5955554279840345E-2</v>
      </c>
      <c r="Z65" s="74">
        <f t="shared" si="12"/>
        <v>202903.49065320959</v>
      </c>
      <c r="AE65" s="186">
        <f t="shared" si="13"/>
        <v>0</v>
      </c>
      <c r="AF65" s="186">
        <f t="shared" si="13"/>
        <v>1</v>
      </c>
      <c r="AH65" s="188">
        <f t="shared" si="9"/>
        <v>0</v>
      </c>
    </row>
    <row r="66" spans="2:34" s="188" customFormat="1" ht="28.5" hidden="1" customHeight="1" x14ac:dyDescent="0.25">
      <c r="B66" s="51" t="str">
        <f t="shared" si="3"/>
        <v/>
      </c>
      <c r="C66" s="349" t="str">
        <f>IF('תנאי סף'!AO66&lt;&gt;1,"",'תנאי סף'!F66)</f>
        <v/>
      </c>
      <c r="D66" s="325" t="str">
        <f>'הרכב חברי הוועדה'!Z66</f>
        <v/>
      </c>
      <c r="E66" s="322"/>
      <c r="F66" s="266"/>
      <c r="G66" s="267" t="str">
        <f t="shared" si="10"/>
        <v/>
      </c>
      <c r="H66" s="426"/>
      <c r="I66" s="426" t="str">
        <f t="shared" si="4"/>
        <v/>
      </c>
      <c r="J66" s="426" t="str">
        <f t="shared" si="5"/>
        <v/>
      </c>
      <c r="K66" s="426" t="str">
        <f t="shared" si="6"/>
        <v/>
      </c>
      <c r="L66" s="426" t="str">
        <f t="shared" si="7"/>
        <v/>
      </c>
      <c r="M66" s="383"/>
      <c r="N66" s="383"/>
      <c r="O66" s="383"/>
      <c r="P66" s="383"/>
      <c r="Q66" s="383"/>
      <c r="R66" s="383"/>
      <c r="S66" s="383"/>
      <c r="T66" s="383"/>
      <c r="U66" s="383"/>
      <c r="V66" s="383"/>
      <c r="W66" s="383"/>
      <c r="X66" s="383"/>
      <c r="Y66" s="419" t="str">
        <f t="shared" si="11"/>
        <v/>
      </c>
      <c r="Z66" s="74" t="str">
        <f t="shared" si="12"/>
        <v/>
      </c>
      <c r="AE66" s="186" t="str">
        <f t="shared" si="13"/>
        <v/>
      </c>
      <c r="AF66" s="186" t="str">
        <f t="shared" si="13"/>
        <v/>
      </c>
      <c r="AH66" s="188">
        <f t="shared" si="9"/>
        <v>0</v>
      </c>
    </row>
    <row r="67" spans="2:34" s="188" customFormat="1" ht="28.5" customHeight="1" x14ac:dyDescent="0.25">
      <c r="B67" s="51">
        <f t="shared" si="3"/>
        <v>37</v>
      </c>
      <c r="C67" s="241" t="str">
        <f>IF('תנאי סף'!AO67&lt;&gt;1,"",'תנאי סף'!F67)</f>
        <v>אנסמבל ארז נטף</v>
      </c>
      <c r="D67" s="325">
        <f>'הרכב חברי הוועדה'!Z67</f>
        <v>92920.182316817329</v>
      </c>
      <c r="E67" s="322"/>
      <c r="F67" s="266"/>
      <c r="G67" s="267">
        <f t="shared" si="10"/>
        <v>1</v>
      </c>
      <c r="H67" s="426"/>
      <c r="I67" s="426">
        <f t="shared" si="4"/>
        <v>92920.182316817329</v>
      </c>
      <c r="J67" s="426">
        <f t="shared" si="5"/>
        <v>0</v>
      </c>
      <c r="K67" s="426">
        <f t="shared" si="6"/>
        <v>0</v>
      </c>
      <c r="L67" s="426">
        <f t="shared" si="7"/>
        <v>92920.182316817329</v>
      </c>
      <c r="M67" s="383"/>
      <c r="N67" s="383"/>
      <c r="O67" s="383"/>
      <c r="P67" s="383"/>
      <c r="Q67" s="383"/>
      <c r="R67" s="383"/>
      <c r="S67" s="383"/>
      <c r="T67" s="383"/>
      <c r="U67" s="383"/>
      <c r="V67" s="383"/>
      <c r="W67" s="383"/>
      <c r="X67" s="383"/>
      <c r="Y67" s="419">
        <f t="shared" si="11"/>
        <v>3.0204517964474761E-2</v>
      </c>
      <c r="Z67" s="74">
        <f t="shared" si="12"/>
        <v>92920.182316817329</v>
      </c>
      <c r="AE67" s="186">
        <f t="shared" si="13"/>
        <v>0</v>
      </c>
      <c r="AF67" s="186">
        <f t="shared" si="13"/>
        <v>1</v>
      </c>
      <c r="AH67" s="188">
        <f t="shared" si="9"/>
        <v>0</v>
      </c>
    </row>
    <row r="68" spans="2:34" s="188" customFormat="1" ht="28.5" hidden="1" customHeight="1" x14ac:dyDescent="0.25">
      <c r="B68" s="51" t="str">
        <f t="shared" si="3"/>
        <v/>
      </c>
      <c r="C68" s="241" t="str">
        <f>IF('תנאי סף'!AO68&lt;&gt;1,"",'תנאי סף'!F68)</f>
        <v/>
      </c>
      <c r="D68" s="325" t="str">
        <f>'הרכב חברי הוועדה'!Z68</f>
        <v/>
      </c>
      <c r="E68" s="322"/>
      <c r="F68" s="266"/>
      <c r="G68" s="267" t="str">
        <f t="shared" si="10"/>
        <v/>
      </c>
      <c r="H68" s="426"/>
      <c r="I68" s="426" t="str">
        <f t="shared" si="4"/>
        <v/>
      </c>
      <c r="J68" s="426" t="str">
        <f t="shared" si="5"/>
        <v/>
      </c>
      <c r="K68" s="426" t="str">
        <f t="shared" si="6"/>
        <v/>
      </c>
      <c r="L68" s="426" t="str">
        <f t="shared" si="7"/>
        <v/>
      </c>
      <c r="M68" s="383"/>
      <c r="N68" s="383"/>
      <c r="O68" s="383"/>
      <c r="P68" s="383"/>
      <c r="Q68" s="383"/>
      <c r="R68" s="383"/>
      <c r="S68" s="383"/>
      <c r="T68" s="383"/>
      <c r="U68" s="383"/>
      <c r="V68" s="383"/>
      <c r="W68" s="383"/>
      <c r="X68" s="383"/>
      <c r="Y68" s="419" t="str">
        <f t="shared" si="11"/>
        <v/>
      </c>
      <c r="Z68" s="74" t="str">
        <f t="shared" si="12"/>
        <v/>
      </c>
      <c r="AE68" s="186" t="str">
        <f t="shared" si="13"/>
        <v/>
      </c>
      <c r="AF68" s="186" t="str">
        <f t="shared" si="13"/>
        <v/>
      </c>
      <c r="AH68" s="188">
        <f t="shared" si="9"/>
        <v>0</v>
      </c>
    </row>
    <row r="69" spans="2:34" s="188" customFormat="1" ht="28.5" hidden="1" customHeight="1" x14ac:dyDescent="0.25">
      <c r="B69" s="51" t="str">
        <f t="shared" si="3"/>
        <v/>
      </c>
      <c r="C69" s="241" t="str">
        <f>IF('תנאי סף'!AO69&lt;&gt;1,"",'תנאי סף'!F69)</f>
        <v/>
      </c>
      <c r="D69" s="325" t="str">
        <f>'הרכב חברי הוועדה'!Z69</f>
        <v/>
      </c>
      <c r="E69" s="322"/>
      <c r="F69" s="266"/>
      <c r="G69" s="267" t="str">
        <f t="shared" si="10"/>
        <v/>
      </c>
      <c r="H69" s="426"/>
      <c r="I69" s="426" t="str">
        <f t="shared" si="4"/>
        <v/>
      </c>
      <c r="J69" s="426" t="str">
        <f t="shared" si="5"/>
        <v/>
      </c>
      <c r="K69" s="426" t="str">
        <f t="shared" si="6"/>
        <v/>
      </c>
      <c r="L69" s="426" t="str">
        <f t="shared" si="7"/>
        <v/>
      </c>
      <c r="M69" s="383"/>
      <c r="N69" s="383"/>
      <c r="O69" s="383"/>
      <c r="P69" s="383"/>
      <c r="Q69" s="383"/>
      <c r="R69" s="383"/>
      <c r="S69" s="383"/>
      <c r="T69" s="383"/>
      <c r="U69" s="383"/>
      <c r="V69" s="383"/>
      <c r="W69" s="383"/>
      <c r="X69" s="383"/>
      <c r="Y69" s="419" t="str">
        <f t="shared" si="11"/>
        <v/>
      </c>
      <c r="Z69" s="74" t="str">
        <f t="shared" si="12"/>
        <v/>
      </c>
      <c r="AE69" s="186" t="str">
        <f t="shared" si="13"/>
        <v/>
      </c>
      <c r="AF69" s="186" t="str">
        <f t="shared" si="13"/>
        <v/>
      </c>
      <c r="AH69" s="188">
        <f t="shared" si="9"/>
        <v>0</v>
      </c>
    </row>
    <row r="70" spans="2:34" s="188" customFormat="1" ht="28.5" customHeight="1" x14ac:dyDescent="0.25">
      <c r="B70" s="51">
        <f t="shared" si="3"/>
        <v>40</v>
      </c>
      <c r="C70" s="241" t="str">
        <f>IF('תנאי סף'!AO70&lt;&gt;1,"",'תנאי סף'!F70)</f>
        <v>תו המשווה (ע"ר)</v>
      </c>
      <c r="D70" s="325">
        <f>'הרכב חברי הוועדה'!Z70</f>
        <v>110116.43172170471</v>
      </c>
      <c r="E70" s="322"/>
      <c r="F70" s="266"/>
      <c r="G70" s="267">
        <f t="shared" si="10"/>
        <v>1</v>
      </c>
      <c r="H70" s="426"/>
      <c r="I70" s="426">
        <f t="shared" si="4"/>
        <v>110116.43172170471</v>
      </c>
      <c r="J70" s="426">
        <f t="shared" si="5"/>
        <v>0</v>
      </c>
      <c r="K70" s="426">
        <f t="shared" si="6"/>
        <v>0</v>
      </c>
      <c r="L70" s="426">
        <f t="shared" si="7"/>
        <v>110116.43172170471</v>
      </c>
      <c r="M70" s="383"/>
      <c r="N70" s="383"/>
      <c r="O70" s="383"/>
      <c r="P70" s="383"/>
      <c r="Q70" s="383"/>
      <c r="R70" s="383"/>
      <c r="S70" s="383"/>
      <c r="T70" s="383"/>
      <c r="U70" s="383"/>
      <c r="V70" s="383"/>
      <c r="W70" s="383"/>
      <c r="X70" s="383"/>
      <c r="Y70" s="419">
        <f t="shared" si="11"/>
        <v>3.579430923609072E-2</v>
      </c>
      <c r="Z70" s="74">
        <f t="shared" si="12"/>
        <v>110116.43172170471</v>
      </c>
      <c r="AE70" s="186">
        <f t="shared" si="13"/>
        <v>0</v>
      </c>
      <c r="AF70" s="186">
        <f t="shared" si="13"/>
        <v>1</v>
      </c>
      <c r="AH70" s="188">
        <f t="shared" si="9"/>
        <v>0</v>
      </c>
    </row>
    <row r="71" spans="2:34" s="188" customFormat="1" ht="28.5" hidden="1" customHeight="1" x14ac:dyDescent="0.25">
      <c r="B71" s="51" t="str">
        <f t="shared" si="3"/>
        <v/>
      </c>
      <c r="C71" s="241" t="str">
        <f>IF('תנאי סף'!AO71&lt;&gt;1,"",'תנאי סף'!F71)</f>
        <v/>
      </c>
      <c r="D71" s="325" t="str">
        <f>'הרכב חברי הוועדה'!Z71</f>
        <v/>
      </c>
      <c r="E71" s="322"/>
      <c r="F71" s="266"/>
      <c r="G71" s="267" t="str">
        <f t="shared" si="10"/>
        <v/>
      </c>
      <c r="H71" s="426"/>
      <c r="I71" s="426" t="str">
        <f t="shared" si="4"/>
        <v/>
      </c>
      <c r="J71" s="426" t="str">
        <f t="shared" si="5"/>
        <v/>
      </c>
      <c r="K71" s="426" t="str">
        <f t="shared" si="6"/>
        <v/>
      </c>
      <c r="L71" s="426" t="str">
        <f t="shared" si="7"/>
        <v/>
      </c>
      <c r="M71" s="383"/>
      <c r="N71" s="383"/>
      <c r="O71" s="383"/>
      <c r="P71" s="383"/>
      <c r="Q71" s="383"/>
      <c r="R71" s="383"/>
      <c r="S71" s="383"/>
      <c r="T71" s="383"/>
      <c r="U71" s="383"/>
      <c r="V71" s="383"/>
      <c r="W71" s="383"/>
      <c r="X71" s="383"/>
      <c r="Y71" s="419" t="str">
        <f t="shared" si="11"/>
        <v/>
      </c>
      <c r="Z71" s="74" t="str">
        <f t="shared" si="12"/>
        <v/>
      </c>
      <c r="AE71" s="186" t="str">
        <f t="shared" si="13"/>
        <v/>
      </c>
      <c r="AF71" s="186" t="str">
        <f t="shared" si="13"/>
        <v/>
      </c>
      <c r="AH71" s="188">
        <f t="shared" si="9"/>
        <v>0</v>
      </c>
    </row>
    <row r="72" spans="2:34" s="188" customFormat="1" ht="28.5" hidden="1" customHeight="1" x14ac:dyDescent="0.25">
      <c r="B72" s="51" t="str">
        <f t="shared" si="3"/>
        <v/>
      </c>
      <c r="C72" s="241" t="str">
        <f>IF('תנאי סף'!AO72&lt;&gt;1,"",'תנאי סף'!F72)</f>
        <v/>
      </c>
      <c r="D72" s="325" t="str">
        <f>'הרכב חברי הוועדה'!Z72</f>
        <v/>
      </c>
      <c r="E72" s="322"/>
      <c r="F72" s="266"/>
      <c r="G72" s="267" t="str">
        <f t="shared" si="10"/>
        <v/>
      </c>
      <c r="H72" s="426"/>
      <c r="I72" s="426" t="str">
        <f t="shared" si="4"/>
        <v/>
      </c>
      <c r="J72" s="426" t="str">
        <f t="shared" si="5"/>
        <v/>
      </c>
      <c r="K72" s="426" t="str">
        <f t="shared" si="6"/>
        <v/>
      </c>
      <c r="L72" s="426" t="str">
        <f t="shared" si="7"/>
        <v/>
      </c>
      <c r="M72" s="383"/>
      <c r="N72" s="383"/>
      <c r="O72" s="383"/>
      <c r="P72" s="383"/>
      <c r="Q72" s="383"/>
      <c r="R72" s="383"/>
      <c r="S72" s="383"/>
      <c r="T72" s="383"/>
      <c r="U72" s="383"/>
      <c r="V72" s="383"/>
      <c r="W72" s="383"/>
      <c r="X72" s="383"/>
      <c r="Y72" s="419" t="str">
        <f t="shared" si="11"/>
        <v/>
      </c>
      <c r="Z72" s="74" t="str">
        <f t="shared" si="12"/>
        <v/>
      </c>
      <c r="AE72" s="186" t="str">
        <f t="shared" si="13"/>
        <v/>
      </c>
      <c r="AF72" s="186" t="str">
        <f t="shared" si="13"/>
        <v/>
      </c>
      <c r="AH72" s="188">
        <f t="shared" si="9"/>
        <v>0</v>
      </c>
    </row>
    <row r="73" spans="2:34" s="188" customFormat="1" ht="28.5" customHeight="1" x14ac:dyDescent="0.25">
      <c r="B73" s="51">
        <f t="shared" si="3"/>
        <v>43</v>
      </c>
      <c r="C73" s="241" t="str">
        <f>IF('תנאי סף'!AO73&lt;&gt;1,"",'תנאי סף'!F73)</f>
        <v>בר קיימא ואקלקוטנטקט</v>
      </c>
      <c r="D73" s="325">
        <f>'הרכב חברי הוועדה'!Z73</f>
        <v>129053.8753761316</v>
      </c>
      <c r="E73" s="322"/>
      <c r="F73" s="266"/>
      <c r="G73" s="267">
        <f t="shared" si="10"/>
        <v>1</v>
      </c>
      <c r="H73" s="426"/>
      <c r="I73" s="426">
        <f t="shared" si="4"/>
        <v>129053.8753761316</v>
      </c>
      <c r="J73" s="426">
        <f t="shared" si="5"/>
        <v>0</v>
      </c>
      <c r="K73" s="426">
        <f t="shared" si="6"/>
        <v>0</v>
      </c>
      <c r="L73" s="426">
        <f t="shared" si="7"/>
        <v>129053.8753761316</v>
      </c>
      <c r="M73" s="383"/>
      <c r="N73" s="383"/>
      <c r="O73" s="383"/>
      <c r="P73" s="383"/>
      <c r="Q73" s="383"/>
      <c r="R73" s="383"/>
      <c r="S73" s="383"/>
      <c r="T73" s="383"/>
      <c r="U73" s="383"/>
      <c r="V73" s="383"/>
      <c r="W73" s="383"/>
      <c r="X73" s="383"/>
      <c r="Y73" s="419">
        <f t="shared" si="11"/>
        <v>4.1950090927425632E-2</v>
      </c>
      <c r="Z73" s="74">
        <f t="shared" si="12"/>
        <v>129053.8753761316</v>
      </c>
      <c r="AE73" s="186">
        <f t="shared" si="13"/>
        <v>0</v>
      </c>
      <c r="AF73" s="186">
        <f t="shared" si="13"/>
        <v>1</v>
      </c>
      <c r="AH73" s="188">
        <f t="shared" si="9"/>
        <v>0</v>
      </c>
    </row>
    <row r="74" spans="2:34" s="188" customFormat="1" ht="28.5" hidden="1" customHeight="1" x14ac:dyDescent="0.25">
      <c r="B74" s="51" t="str">
        <f t="shared" si="3"/>
        <v/>
      </c>
      <c r="C74" s="241" t="str">
        <f>IF('תנאי סף'!AO74&lt;&gt;1,"",'תנאי סף'!F74)</f>
        <v/>
      </c>
      <c r="D74" s="325" t="str">
        <f>'הרכב חברי הוועדה'!Z74</f>
        <v/>
      </c>
      <c r="E74" s="322"/>
      <c r="F74" s="266"/>
      <c r="G74" s="267" t="str">
        <f t="shared" si="10"/>
        <v/>
      </c>
      <c r="H74" s="426"/>
      <c r="I74" s="426" t="str">
        <f t="shared" si="4"/>
        <v/>
      </c>
      <c r="J74" s="426" t="str">
        <f t="shared" si="5"/>
        <v/>
      </c>
      <c r="K74" s="426" t="str">
        <f t="shared" si="6"/>
        <v/>
      </c>
      <c r="L74" s="426" t="str">
        <f t="shared" si="7"/>
        <v/>
      </c>
      <c r="M74" s="383"/>
      <c r="N74" s="383"/>
      <c r="O74" s="383"/>
      <c r="P74" s="383"/>
      <c r="Q74" s="383"/>
      <c r="R74" s="383"/>
      <c r="S74" s="383"/>
      <c r="T74" s="383"/>
      <c r="U74" s="383"/>
      <c r="V74" s="383"/>
      <c r="W74" s="383"/>
      <c r="X74" s="383"/>
      <c r="Y74" s="419" t="str">
        <f t="shared" si="11"/>
        <v/>
      </c>
      <c r="Z74" s="74" t="str">
        <f t="shared" si="12"/>
        <v/>
      </c>
      <c r="AE74" s="186" t="str">
        <f t="shared" si="13"/>
        <v/>
      </c>
      <c r="AF74" s="186" t="str">
        <f t="shared" si="13"/>
        <v/>
      </c>
      <c r="AH74" s="188">
        <f t="shared" si="9"/>
        <v>0</v>
      </c>
    </row>
    <row r="75" spans="2:34" s="188" customFormat="1" ht="28.5" customHeight="1" x14ac:dyDescent="0.25">
      <c r="B75" s="51">
        <f t="shared" si="3"/>
        <v>45</v>
      </c>
      <c r="C75" s="241" t="str">
        <f>IF('תנאי סף'!AO75&lt;&gt;1,"",'תנאי סף'!F75)</f>
        <v>אלקאת התזמורת התימנית</v>
      </c>
      <c r="D75" s="325">
        <f>'הרכב חברי הוועדה'!Z75</f>
        <v>68909.901732111612</v>
      </c>
      <c r="E75" s="322"/>
      <c r="F75" s="266"/>
      <c r="G75" s="267">
        <f t="shared" si="10"/>
        <v>1</v>
      </c>
      <c r="H75" s="426"/>
      <c r="I75" s="426">
        <f t="shared" si="4"/>
        <v>68909.901732111612</v>
      </c>
      <c r="J75" s="426">
        <f t="shared" si="5"/>
        <v>0</v>
      </c>
      <c r="K75" s="426">
        <f t="shared" si="6"/>
        <v>0</v>
      </c>
      <c r="L75" s="426">
        <f t="shared" si="7"/>
        <v>68909.901732111612</v>
      </c>
      <c r="M75" s="383"/>
      <c r="N75" s="383"/>
      <c r="O75" s="383"/>
      <c r="P75" s="383"/>
      <c r="Q75" s="383"/>
      <c r="R75" s="383"/>
      <c r="S75" s="383"/>
      <c r="T75" s="383"/>
      <c r="U75" s="383"/>
      <c r="V75" s="383"/>
      <c r="W75" s="383"/>
      <c r="X75" s="383"/>
      <c r="Y75" s="419">
        <f t="shared" si="11"/>
        <v>2.2399766260693739E-2</v>
      </c>
      <c r="Z75" s="74">
        <f t="shared" si="12"/>
        <v>68909.901732111612</v>
      </c>
      <c r="AE75" s="186">
        <f t="shared" si="13"/>
        <v>0</v>
      </c>
      <c r="AF75" s="186">
        <f t="shared" si="13"/>
        <v>1</v>
      </c>
      <c r="AH75" s="188">
        <f t="shared" si="9"/>
        <v>0</v>
      </c>
    </row>
    <row r="76" spans="2:34" s="188" customFormat="1" ht="28.5" hidden="1" customHeight="1" x14ac:dyDescent="0.25">
      <c r="B76" s="51" t="str">
        <f t="shared" si="3"/>
        <v/>
      </c>
      <c r="C76" s="241" t="str">
        <f>IF('תנאי סף'!AO76&lt;&gt;1,"",'תנאי סף'!F76)</f>
        <v/>
      </c>
      <c r="D76" s="325" t="str">
        <f>'הרכב חברי הוועדה'!Z76</f>
        <v/>
      </c>
      <c r="E76" s="322"/>
      <c r="F76" s="266"/>
      <c r="G76" s="267" t="str">
        <f t="shared" si="10"/>
        <v/>
      </c>
      <c r="H76" s="426"/>
      <c r="I76" s="426" t="str">
        <f t="shared" si="4"/>
        <v/>
      </c>
      <c r="J76" s="426" t="str">
        <f t="shared" si="5"/>
        <v/>
      </c>
      <c r="K76" s="426" t="str">
        <f t="shared" si="6"/>
        <v/>
      </c>
      <c r="L76" s="426" t="str">
        <f t="shared" si="7"/>
        <v/>
      </c>
      <c r="M76" s="383"/>
      <c r="N76" s="383"/>
      <c r="O76" s="383"/>
      <c r="P76" s="383"/>
      <c r="Q76" s="383"/>
      <c r="R76" s="383"/>
      <c r="S76" s="383"/>
      <c r="T76" s="383"/>
      <c r="U76" s="383"/>
      <c r="V76" s="383"/>
      <c r="W76" s="383"/>
      <c r="X76" s="383"/>
      <c r="Y76" s="419" t="str">
        <f t="shared" si="11"/>
        <v/>
      </c>
      <c r="Z76" s="74" t="str">
        <f t="shared" si="12"/>
        <v/>
      </c>
      <c r="AE76" s="186" t="str">
        <f t="shared" si="13"/>
        <v/>
      </c>
      <c r="AF76" s="186" t="str">
        <f t="shared" si="13"/>
        <v/>
      </c>
      <c r="AH76" s="188">
        <f t="shared" si="9"/>
        <v>0</v>
      </c>
    </row>
    <row r="77" spans="2:34" s="188" customFormat="1" ht="28.5" hidden="1" customHeight="1" x14ac:dyDescent="0.25">
      <c r="B77" s="51" t="str">
        <f t="shared" si="3"/>
        <v/>
      </c>
      <c r="C77" s="241" t="str">
        <f>IF('תנאי סף'!AO77&lt;&gt;1,"",'תנאי סף'!F77)</f>
        <v/>
      </c>
      <c r="D77" s="325" t="str">
        <f>'הרכב חברי הוועדה'!Z77</f>
        <v/>
      </c>
      <c r="E77" s="322"/>
      <c r="F77" s="266"/>
      <c r="G77" s="267" t="str">
        <f t="shared" si="10"/>
        <v/>
      </c>
      <c r="H77" s="426"/>
      <c r="I77" s="426" t="str">
        <f t="shared" si="4"/>
        <v/>
      </c>
      <c r="J77" s="426" t="str">
        <f t="shared" si="5"/>
        <v/>
      </c>
      <c r="K77" s="426" t="str">
        <f t="shared" si="6"/>
        <v/>
      </c>
      <c r="L77" s="426" t="str">
        <f t="shared" si="7"/>
        <v/>
      </c>
      <c r="M77" s="383"/>
      <c r="N77" s="383"/>
      <c r="O77" s="383"/>
      <c r="P77" s="383"/>
      <c r="Q77" s="383"/>
      <c r="R77" s="383"/>
      <c r="S77" s="383"/>
      <c r="T77" s="383"/>
      <c r="U77" s="383"/>
      <c r="V77" s="383"/>
      <c r="W77" s="383"/>
      <c r="X77" s="383"/>
      <c r="Y77" s="419" t="str">
        <f t="shared" si="11"/>
        <v/>
      </c>
      <c r="Z77" s="74" t="str">
        <f t="shared" si="12"/>
        <v/>
      </c>
      <c r="AE77" s="186" t="str">
        <f t="shared" si="13"/>
        <v/>
      </c>
      <c r="AF77" s="186" t="str">
        <f t="shared" si="13"/>
        <v/>
      </c>
      <c r="AH77" s="188">
        <f t="shared" si="9"/>
        <v>0</v>
      </c>
    </row>
    <row r="78" spans="2:34" s="188" customFormat="1" ht="28.5" customHeight="1" x14ac:dyDescent="0.25">
      <c r="B78" s="51">
        <f t="shared" si="3"/>
        <v>48</v>
      </c>
      <c r="C78" s="241" t="str">
        <f>IF('תנאי סף'!AO78&lt;&gt;1,"",'תנאי סף'!F78)</f>
        <v>גיא מינטוס- טריו</v>
      </c>
      <c r="D78" s="325">
        <f>'הרכב חברי הוועדה'!Z78</f>
        <v>85300.24149856226</v>
      </c>
      <c r="E78" s="322"/>
      <c r="F78" s="266"/>
      <c r="G78" s="267">
        <f t="shared" si="10"/>
        <v>1</v>
      </c>
      <c r="H78" s="426"/>
      <c r="I78" s="426">
        <f t="shared" si="4"/>
        <v>85300.24149856226</v>
      </c>
      <c r="J78" s="426">
        <f t="shared" si="5"/>
        <v>0</v>
      </c>
      <c r="K78" s="426">
        <f t="shared" si="6"/>
        <v>0</v>
      </c>
      <c r="L78" s="426">
        <f t="shared" si="7"/>
        <v>85300.24149856226</v>
      </c>
      <c r="M78" s="383"/>
      <c r="N78" s="383"/>
      <c r="O78" s="383"/>
      <c r="P78" s="383"/>
      <c r="Q78" s="383"/>
      <c r="R78" s="383"/>
      <c r="S78" s="383"/>
      <c r="T78" s="383"/>
      <c r="U78" s="383"/>
      <c r="V78" s="383"/>
      <c r="W78" s="383"/>
      <c r="X78" s="383"/>
      <c r="Y78" s="419">
        <f t="shared" si="11"/>
        <v>2.7727589555655182E-2</v>
      </c>
      <c r="Z78" s="74">
        <f t="shared" si="12"/>
        <v>85300.24149856226</v>
      </c>
      <c r="AE78" s="186">
        <f t="shared" si="13"/>
        <v>0</v>
      </c>
      <c r="AF78" s="186">
        <f t="shared" si="13"/>
        <v>1</v>
      </c>
      <c r="AH78" s="188">
        <f t="shared" si="9"/>
        <v>0</v>
      </c>
    </row>
    <row r="79" spans="2:34" s="188" customFormat="1" ht="28.5" hidden="1" customHeight="1" x14ac:dyDescent="0.25">
      <c r="B79" s="51" t="str">
        <f t="shared" si="3"/>
        <v/>
      </c>
      <c r="C79" s="241" t="str">
        <f>IF('תנאי סף'!AO79&lt;&gt;1,"",'תנאי סף'!F79)</f>
        <v/>
      </c>
      <c r="D79" s="325" t="str">
        <f>'הרכב חברי הוועדה'!Z79</f>
        <v/>
      </c>
      <c r="E79" s="322"/>
      <c r="F79" s="266"/>
      <c r="G79" s="267" t="str">
        <f t="shared" si="10"/>
        <v/>
      </c>
      <c r="H79" s="426"/>
      <c r="I79" s="426" t="str">
        <f t="shared" si="4"/>
        <v/>
      </c>
      <c r="J79" s="426" t="str">
        <f t="shared" si="5"/>
        <v/>
      </c>
      <c r="K79" s="426" t="str">
        <f t="shared" si="6"/>
        <v/>
      </c>
      <c r="L79" s="426" t="str">
        <f t="shared" si="7"/>
        <v/>
      </c>
      <c r="M79" s="383"/>
      <c r="N79" s="383"/>
      <c r="O79" s="383"/>
      <c r="P79" s="383"/>
      <c r="Q79" s="383"/>
      <c r="R79" s="383"/>
      <c r="S79" s="383"/>
      <c r="T79" s="383"/>
      <c r="U79" s="383"/>
      <c r="V79" s="383"/>
      <c r="W79" s="383"/>
      <c r="X79" s="383"/>
      <c r="Y79" s="419" t="str">
        <f t="shared" si="11"/>
        <v/>
      </c>
      <c r="Z79" s="74" t="str">
        <f t="shared" si="12"/>
        <v/>
      </c>
      <c r="AE79" s="186" t="str">
        <f t="shared" si="13"/>
        <v/>
      </c>
      <c r="AF79" s="186" t="str">
        <f t="shared" si="13"/>
        <v/>
      </c>
      <c r="AH79" s="188">
        <f t="shared" si="9"/>
        <v>0</v>
      </c>
    </row>
    <row r="80" spans="2:34" s="188" customFormat="1" ht="28.5" hidden="1" customHeight="1" x14ac:dyDescent="0.25">
      <c r="B80" s="51" t="str">
        <f t="shared" si="3"/>
        <v/>
      </c>
      <c r="C80" s="241" t="str">
        <f>IF('תנאי סף'!AO80&lt;&gt;1,"",'תנאי סף'!F80)</f>
        <v/>
      </c>
      <c r="D80" s="325" t="str">
        <f>'הרכב חברי הוועדה'!Z80</f>
        <v/>
      </c>
      <c r="E80" s="322"/>
      <c r="F80" s="266"/>
      <c r="G80" s="267" t="str">
        <f t="shared" si="10"/>
        <v/>
      </c>
      <c r="H80" s="426"/>
      <c r="I80" s="426" t="str">
        <f t="shared" si="4"/>
        <v/>
      </c>
      <c r="J80" s="426" t="str">
        <f t="shared" si="5"/>
        <v/>
      </c>
      <c r="K80" s="426" t="str">
        <f t="shared" si="6"/>
        <v/>
      </c>
      <c r="L80" s="426" t="str">
        <f t="shared" si="7"/>
        <v/>
      </c>
      <c r="M80" s="383"/>
      <c r="N80" s="383"/>
      <c r="O80" s="383"/>
      <c r="P80" s="383"/>
      <c r="Q80" s="383"/>
      <c r="R80" s="383"/>
      <c r="S80" s="383"/>
      <c r="T80" s="383"/>
      <c r="U80" s="383"/>
      <c r="V80" s="383"/>
      <c r="W80" s="383"/>
      <c r="X80" s="383"/>
      <c r="Y80" s="419" t="str">
        <f t="shared" si="11"/>
        <v/>
      </c>
      <c r="Z80" s="74" t="str">
        <f t="shared" si="12"/>
        <v/>
      </c>
      <c r="AE80" s="186" t="str">
        <f t="shared" si="13"/>
        <v/>
      </c>
      <c r="AF80" s="186" t="str">
        <f t="shared" si="13"/>
        <v/>
      </c>
      <c r="AH80" s="188">
        <f t="shared" si="9"/>
        <v>0</v>
      </c>
    </row>
    <row r="81" spans="2:34" s="188" customFormat="1" ht="28.5" hidden="1" customHeight="1" x14ac:dyDescent="0.25">
      <c r="B81" s="51" t="str">
        <f t="shared" si="3"/>
        <v/>
      </c>
      <c r="C81" s="241" t="str">
        <f>IF('תנאי סף'!AO81&lt;&gt;1,"",'תנאי סף'!F81)</f>
        <v/>
      </c>
      <c r="D81" s="325" t="str">
        <f>'הרכב חברי הוועדה'!Z81</f>
        <v/>
      </c>
      <c r="E81" s="322"/>
      <c r="F81" s="266"/>
      <c r="G81" s="267" t="str">
        <f t="shared" si="10"/>
        <v/>
      </c>
      <c r="H81" s="426"/>
      <c r="I81" s="426" t="str">
        <f t="shared" si="4"/>
        <v/>
      </c>
      <c r="J81" s="426" t="str">
        <f t="shared" si="5"/>
        <v/>
      </c>
      <c r="K81" s="426" t="str">
        <f t="shared" si="6"/>
        <v/>
      </c>
      <c r="L81" s="426" t="str">
        <f t="shared" si="7"/>
        <v/>
      </c>
      <c r="M81" s="383"/>
      <c r="N81" s="383"/>
      <c r="O81" s="383"/>
      <c r="P81" s="383"/>
      <c r="Q81" s="383"/>
      <c r="R81" s="383"/>
      <c r="S81" s="383"/>
      <c r="T81" s="383"/>
      <c r="U81" s="383"/>
      <c r="V81" s="383"/>
      <c r="W81" s="383"/>
      <c r="X81" s="383"/>
      <c r="Y81" s="419" t="str">
        <f t="shared" si="11"/>
        <v/>
      </c>
      <c r="Z81" s="74" t="str">
        <f t="shared" si="12"/>
        <v/>
      </c>
      <c r="AE81" s="186" t="str">
        <f t="shared" si="13"/>
        <v/>
      </c>
      <c r="AF81" s="186" t="str">
        <f t="shared" si="13"/>
        <v/>
      </c>
      <c r="AH81" s="188">
        <f t="shared" si="9"/>
        <v>0</v>
      </c>
    </row>
    <row r="82" spans="2:34" s="188" customFormat="1" ht="28.5" customHeight="1" x14ac:dyDescent="0.25">
      <c r="B82" s="51">
        <f t="shared" si="3"/>
        <v>52</v>
      </c>
      <c r="C82" s="241" t="str">
        <f>IF('תנאי סף'!AO82&lt;&gt;1,"",'תנאי סף'!F82)</f>
        <v xml:space="preserve">פולקעס - בר-קיימא לתרבות </v>
      </c>
      <c r="D82" s="325">
        <f>'הרכב חברי הוועדה'!Z82</f>
        <v>133612.26524966926</v>
      </c>
      <c r="E82" s="322"/>
      <c r="F82" s="266"/>
      <c r="G82" s="267">
        <f t="shared" si="10"/>
        <v>1</v>
      </c>
      <c r="H82" s="426"/>
      <c r="I82" s="426">
        <f t="shared" si="4"/>
        <v>133612.26524966926</v>
      </c>
      <c r="J82" s="426">
        <f t="shared" si="5"/>
        <v>0</v>
      </c>
      <c r="K82" s="426">
        <f t="shared" si="6"/>
        <v>0</v>
      </c>
      <c r="L82" s="426">
        <f t="shared" si="7"/>
        <v>133612.26524966926</v>
      </c>
      <c r="M82" s="383"/>
      <c r="N82" s="383"/>
      <c r="O82" s="383"/>
      <c r="P82" s="383"/>
      <c r="Q82" s="383"/>
      <c r="R82" s="383"/>
      <c r="S82" s="383"/>
      <c r="T82" s="383"/>
      <c r="U82" s="383"/>
      <c r="V82" s="383"/>
      <c r="W82" s="383"/>
      <c r="X82" s="383"/>
      <c r="Y82" s="419">
        <f t="shared" si="11"/>
        <v>4.3431835424599621E-2</v>
      </c>
      <c r="Z82" s="74">
        <f t="shared" si="12"/>
        <v>133612.26524966926</v>
      </c>
      <c r="AE82" s="186">
        <f t="shared" si="13"/>
        <v>0</v>
      </c>
      <c r="AF82" s="186">
        <f t="shared" si="13"/>
        <v>1</v>
      </c>
      <c r="AH82" s="188">
        <f t="shared" si="9"/>
        <v>0</v>
      </c>
    </row>
    <row r="83" spans="2:34" s="188" customFormat="1" ht="28.5" hidden="1" customHeight="1" x14ac:dyDescent="0.25">
      <c r="B83" s="51" t="str">
        <f t="shared" si="3"/>
        <v/>
      </c>
      <c r="C83" s="241" t="str">
        <f>IF('תנאי סף'!AO83&lt;&gt;1,"",'תנאי סף'!F83)</f>
        <v/>
      </c>
      <c r="D83" s="325" t="str">
        <f>'הרכב חברי הוועדה'!Z83</f>
        <v/>
      </c>
      <c r="E83" s="322"/>
      <c r="F83" s="266"/>
      <c r="G83" s="267" t="str">
        <f t="shared" si="10"/>
        <v/>
      </c>
      <c r="H83" s="426"/>
      <c r="I83" s="426" t="str">
        <f t="shared" si="4"/>
        <v/>
      </c>
      <c r="J83" s="426" t="str">
        <f t="shared" si="5"/>
        <v/>
      </c>
      <c r="K83" s="426" t="str">
        <f t="shared" si="6"/>
        <v/>
      </c>
      <c r="L83" s="426" t="str">
        <f t="shared" si="7"/>
        <v/>
      </c>
      <c r="M83" s="383"/>
      <c r="N83" s="383"/>
      <c r="O83" s="383"/>
      <c r="P83" s="383"/>
      <c r="Q83" s="383"/>
      <c r="R83" s="383"/>
      <c r="S83" s="383"/>
      <c r="T83" s="383"/>
      <c r="U83" s="383"/>
      <c r="V83" s="383"/>
      <c r="W83" s="383"/>
      <c r="X83" s="383"/>
      <c r="Y83" s="419" t="str">
        <f t="shared" si="11"/>
        <v/>
      </c>
      <c r="Z83" s="74" t="str">
        <f t="shared" si="12"/>
        <v/>
      </c>
      <c r="AE83" s="186" t="str">
        <f t="shared" si="13"/>
        <v/>
      </c>
      <c r="AF83" s="186" t="str">
        <f t="shared" si="13"/>
        <v/>
      </c>
      <c r="AH83" s="188">
        <f t="shared" si="9"/>
        <v>0</v>
      </c>
    </row>
    <row r="84" spans="2:34" s="188" customFormat="1" ht="28.5" hidden="1" customHeight="1" x14ac:dyDescent="0.25">
      <c r="B84" s="51" t="str">
        <f t="shared" si="3"/>
        <v/>
      </c>
      <c r="C84" s="241" t="str">
        <f>IF('תנאי סף'!AO84&lt;&gt;1,"",'תנאי סף'!F84)</f>
        <v/>
      </c>
      <c r="D84" s="325" t="str">
        <f>'הרכב חברי הוועדה'!Z84</f>
        <v/>
      </c>
      <c r="E84" s="322"/>
      <c r="F84" s="266"/>
      <c r="G84" s="267" t="str">
        <f t="shared" si="10"/>
        <v/>
      </c>
      <c r="H84" s="426"/>
      <c r="I84" s="426" t="str">
        <f t="shared" si="4"/>
        <v/>
      </c>
      <c r="J84" s="426" t="str">
        <f t="shared" si="5"/>
        <v/>
      </c>
      <c r="K84" s="426" t="str">
        <f t="shared" si="6"/>
        <v/>
      </c>
      <c r="L84" s="426" t="str">
        <f t="shared" si="7"/>
        <v/>
      </c>
      <c r="M84" s="383"/>
      <c r="N84" s="383"/>
      <c r="O84" s="383"/>
      <c r="P84" s="383"/>
      <c r="Q84" s="383"/>
      <c r="R84" s="383"/>
      <c r="S84" s="383"/>
      <c r="T84" s="383"/>
      <c r="U84" s="383"/>
      <c r="V84" s="383"/>
      <c r="W84" s="383"/>
      <c r="X84" s="383"/>
      <c r="Y84" s="419" t="str">
        <f t="shared" si="11"/>
        <v/>
      </c>
      <c r="Z84" s="74" t="str">
        <f t="shared" si="12"/>
        <v/>
      </c>
      <c r="AE84" s="186" t="str">
        <f t="shared" si="13"/>
        <v/>
      </c>
      <c r="AF84" s="186" t="str">
        <f t="shared" si="13"/>
        <v/>
      </c>
      <c r="AH84" s="188">
        <f t="shared" si="9"/>
        <v>0</v>
      </c>
    </row>
    <row r="85" spans="2:34" s="188" customFormat="1" ht="28.5" customHeight="1" x14ac:dyDescent="0.25">
      <c r="B85" s="51">
        <f t="shared" si="3"/>
        <v>55</v>
      </c>
      <c r="C85" s="241" t="str">
        <f>IF('תנאי סף'!AO85&lt;&gt;1,"",'תנאי סף'!F85)</f>
        <v>מכון רננות</v>
      </c>
      <c r="D85" s="325">
        <f>'הרכב חברי הוועדה'!Z85</f>
        <v>69757.184708391404</v>
      </c>
      <c r="E85" s="322"/>
      <c r="F85" s="266"/>
      <c r="G85" s="267">
        <f t="shared" si="10"/>
        <v>1</v>
      </c>
      <c r="H85" s="426"/>
      <c r="I85" s="426">
        <f t="shared" si="4"/>
        <v>69757.184708391404</v>
      </c>
      <c r="J85" s="426">
        <f t="shared" si="5"/>
        <v>0</v>
      </c>
      <c r="K85" s="426">
        <f t="shared" si="6"/>
        <v>0</v>
      </c>
      <c r="L85" s="426">
        <f t="shared" si="7"/>
        <v>69757.184708391404</v>
      </c>
      <c r="M85" s="383"/>
      <c r="N85" s="383"/>
      <c r="O85" s="383"/>
      <c r="P85" s="383"/>
      <c r="Q85" s="383"/>
      <c r="R85" s="383"/>
      <c r="S85" s="383"/>
      <c r="T85" s="383"/>
      <c r="U85" s="383"/>
      <c r="V85" s="383"/>
      <c r="W85" s="383"/>
      <c r="X85" s="383"/>
      <c r="Y85" s="419">
        <f t="shared" si="11"/>
        <v>2.2675183002675365E-2</v>
      </c>
      <c r="Z85" s="74">
        <f t="shared" si="12"/>
        <v>69757.184708391404</v>
      </c>
      <c r="AE85" s="186">
        <f t="shared" si="13"/>
        <v>0</v>
      </c>
      <c r="AF85" s="186">
        <f t="shared" si="13"/>
        <v>1</v>
      </c>
      <c r="AH85" s="188">
        <f t="shared" si="9"/>
        <v>0</v>
      </c>
    </row>
    <row r="86" spans="2:34" s="188" customFormat="1" ht="28.5" hidden="1" customHeight="1" x14ac:dyDescent="0.25">
      <c r="B86" s="51" t="str">
        <f t="shared" si="3"/>
        <v/>
      </c>
      <c r="C86" s="241" t="str">
        <f>IF('תנאי סף'!AO86&lt;&gt;1,"",'תנאי סף'!F86)</f>
        <v/>
      </c>
      <c r="D86" s="325" t="str">
        <f>'הרכב חברי הוועדה'!Z86</f>
        <v/>
      </c>
      <c r="E86" s="322"/>
      <c r="F86" s="266"/>
      <c r="G86" s="267" t="str">
        <f t="shared" si="10"/>
        <v/>
      </c>
      <c r="H86" s="426"/>
      <c r="I86" s="426" t="str">
        <f t="shared" si="4"/>
        <v/>
      </c>
      <c r="J86" s="426" t="str">
        <f t="shared" si="5"/>
        <v/>
      </c>
      <c r="K86" s="426" t="str">
        <f t="shared" si="6"/>
        <v/>
      </c>
      <c r="L86" s="426" t="str">
        <f t="shared" si="7"/>
        <v/>
      </c>
      <c r="M86" s="383"/>
      <c r="N86" s="383"/>
      <c r="O86" s="383"/>
      <c r="P86" s="383"/>
      <c r="Q86" s="383"/>
      <c r="R86" s="383"/>
      <c r="S86" s="383"/>
      <c r="T86" s="383"/>
      <c r="U86" s="383"/>
      <c r="V86" s="383"/>
      <c r="W86" s="383"/>
      <c r="X86" s="383"/>
      <c r="Y86" s="419" t="str">
        <f t="shared" si="11"/>
        <v/>
      </c>
      <c r="Z86" s="74" t="str">
        <f t="shared" si="12"/>
        <v/>
      </c>
      <c r="AE86" s="186" t="str">
        <f t="shared" si="13"/>
        <v/>
      </c>
      <c r="AF86" s="186" t="str">
        <f t="shared" si="13"/>
        <v/>
      </c>
      <c r="AH86" s="188">
        <f t="shared" si="9"/>
        <v>0</v>
      </c>
    </row>
    <row r="87" spans="2:34" s="188" customFormat="1" ht="28.5" customHeight="1" x14ac:dyDescent="0.25">
      <c r="B87" s="51">
        <f t="shared" si="3"/>
        <v>57</v>
      </c>
      <c r="C87" s="241" t="str">
        <f>IF('תנאי סף'!AO87&lt;&gt;1,"",'תנאי סף'!F87)</f>
        <v>עמותת מפעל המוזיקה צימבליסטה</v>
      </c>
      <c r="D87" s="325">
        <f>'הרכב חברי הוועדה'!Z87</f>
        <v>82727.664688919162</v>
      </c>
      <c r="E87" s="322"/>
      <c r="F87" s="266"/>
      <c r="G87" s="267">
        <f t="shared" si="10"/>
        <v>1</v>
      </c>
      <c r="H87" s="426"/>
      <c r="I87" s="426">
        <f t="shared" si="4"/>
        <v>82727.664688919162</v>
      </c>
      <c r="J87" s="426">
        <f t="shared" si="5"/>
        <v>0</v>
      </c>
      <c r="K87" s="426">
        <f t="shared" si="6"/>
        <v>0</v>
      </c>
      <c r="L87" s="426">
        <f t="shared" si="7"/>
        <v>82727.664688919162</v>
      </c>
      <c r="M87" s="383"/>
      <c r="N87" s="383"/>
      <c r="O87" s="383"/>
      <c r="P87" s="383"/>
      <c r="Q87" s="383"/>
      <c r="R87" s="383"/>
      <c r="S87" s="383"/>
      <c r="T87" s="383"/>
      <c r="U87" s="383"/>
      <c r="V87" s="383"/>
      <c r="W87" s="383"/>
      <c r="X87" s="383"/>
      <c r="Y87" s="419">
        <f t="shared" si="11"/>
        <v>2.6891350963301572E-2</v>
      </c>
      <c r="Z87" s="74">
        <f t="shared" si="12"/>
        <v>82727.664688919162</v>
      </c>
      <c r="AE87" s="186">
        <f t="shared" si="13"/>
        <v>0</v>
      </c>
      <c r="AF87" s="186">
        <f t="shared" si="13"/>
        <v>1</v>
      </c>
      <c r="AH87" s="188">
        <f t="shared" si="9"/>
        <v>0</v>
      </c>
    </row>
    <row r="88" spans="2:34" s="188" customFormat="1" ht="28.5" hidden="1" customHeight="1" x14ac:dyDescent="0.25">
      <c r="B88" s="51" t="str">
        <f t="shared" si="3"/>
        <v/>
      </c>
      <c r="C88" s="241" t="str">
        <f>IF('תנאי סף'!AO88&lt;&gt;1,"",'תנאי סף'!F88)</f>
        <v/>
      </c>
      <c r="D88" s="325" t="str">
        <f>'הרכב חברי הוועדה'!Z88</f>
        <v/>
      </c>
      <c r="E88" s="322"/>
      <c r="F88" s="266"/>
      <c r="G88" s="267" t="str">
        <f t="shared" si="10"/>
        <v/>
      </c>
      <c r="H88" s="426"/>
      <c r="I88" s="426" t="str">
        <f t="shared" si="4"/>
        <v/>
      </c>
      <c r="J88" s="426" t="str">
        <f t="shared" si="5"/>
        <v/>
      </c>
      <c r="K88" s="426" t="str">
        <f t="shared" si="6"/>
        <v/>
      </c>
      <c r="L88" s="426" t="str">
        <f t="shared" si="7"/>
        <v/>
      </c>
      <c r="M88" s="383"/>
      <c r="N88" s="383"/>
      <c r="O88" s="383"/>
      <c r="P88" s="383"/>
      <c r="Q88" s="383"/>
      <c r="R88" s="383"/>
      <c r="S88" s="383"/>
      <c r="T88" s="383"/>
      <c r="U88" s="383"/>
      <c r="V88" s="383"/>
      <c r="W88" s="383"/>
      <c r="X88" s="383"/>
      <c r="Y88" s="419" t="str">
        <f t="shared" si="11"/>
        <v/>
      </c>
      <c r="Z88" s="74" t="str">
        <f t="shared" si="12"/>
        <v/>
      </c>
      <c r="AE88" s="186" t="str">
        <f t="shared" si="13"/>
        <v/>
      </c>
      <c r="AF88" s="186" t="str">
        <f t="shared" si="13"/>
        <v/>
      </c>
      <c r="AH88" s="188">
        <f t="shared" si="9"/>
        <v>0</v>
      </c>
    </row>
    <row r="89" spans="2:34" s="188" customFormat="1" ht="28.5" customHeight="1" x14ac:dyDescent="0.25">
      <c r="B89" s="51">
        <f t="shared" si="3"/>
        <v>59</v>
      </c>
      <c r="C89" s="241" t="str">
        <f>IF('תנאי סף'!AO89&lt;&gt;1,"",'תנאי סף'!F89)</f>
        <v>העמותה לקידום המוסיקה הערבית</v>
      </c>
      <c r="D89" s="325">
        <f>'הרכב חברי הוועדה'!Z89</f>
        <v>215318.24009812786</v>
      </c>
      <c r="E89" s="322"/>
      <c r="F89" s="266"/>
      <c r="G89" s="267">
        <f t="shared" si="10"/>
        <v>1</v>
      </c>
      <c r="H89" s="426"/>
      <c r="I89" s="426">
        <f t="shared" si="4"/>
        <v>215318.24009812786</v>
      </c>
      <c r="J89" s="426">
        <f t="shared" si="5"/>
        <v>0</v>
      </c>
      <c r="K89" s="426">
        <f t="shared" si="6"/>
        <v>0</v>
      </c>
      <c r="L89" s="426">
        <f t="shared" si="7"/>
        <v>215318.24009812786</v>
      </c>
      <c r="M89" s="383"/>
      <c r="N89" s="383"/>
      <c r="O89" s="383"/>
      <c r="P89" s="383"/>
      <c r="Q89" s="383"/>
      <c r="R89" s="383"/>
      <c r="S89" s="383"/>
      <c r="T89" s="383"/>
      <c r="U89" s="383"/>
      <c r="V89" s="383"/>
      <c r="W89" s="383"/>
      <c r="X89" s="383"/>
      <c r="Y89" s="419">
        <f t="shared" si="11"/>
        <v>6.9991077169312979E-2</v>
      </c>
      <c r="Z89" s="74">
        <f t="shared" si="12"/>
        <v>215318.24009812786</v>
      </c>
      <c r="AE89" s="186">
        <f t="shared" si="13"/>
        <v>0</v>
      </c>
      <c r="AF89" s="186">
        <f t="shared" si="13"/>
        <v>1</v>
      </c>
      <c r="AH89" s="188">
        <f t="shared" si="9"/>
        <v>0</v>
      </c>
    </row>
    <row r="90" spans="2:34" s="188" customFormat="1" ht="28.5" customHeight="1" x14ac:dyDescent="0.25">
      <c r="B90" s="51">
        <f t="shared" si="3"/>
        <v>60</v>
      </c>
      <c r="C90" s="241" t="str">
        <f>IF('תנאי סף'!AO90&lt;&gt;1,"",'תנאי סף'!F90)</f>
        <v>תמיכה בתזמורת TLV (הערבית יהודית)</v>
      </c>
      <c r="D90" s="325">
        <f>'הרכב חברי הוועדה'!Z90</f>
        <v>91906.280988732964</v>
      </c>
      <c r="E90" s="322"/>
      <c r="F90" s="266"/>
      <c r="G90" s="267">
        <f t="shared" si="10"/>
        <v>1</v>
      </c>
      <c r="H90" s="426"/>
      <c r="I90" s="426">
        <f t="shared" si="4"/>
        <v>91906.280988732964</v>
      </c>
      <c r="J90" s="426">
        <f t="shared" si="5"/>
        <v>0</v>
      </c>
      <c r="K90" s="426">
        <f t="shared" si="6"/>
        <v>0</v>
      </c>
      <c r="L90" s="426">
        <f t="shared" si="7"/>
        <v>91906.280988732964</v>
      </c>
      <c r="M90" s="383"/>
      <c r="N90" s="383"/>
      <c r="O90" s="383"/>
      <c r="P90" s="383"/>
      <c r="Q90" s="383"/>
      <c r="R90" s="383"/>
      <c r="S90" s="383"/>
      <c r="T90" s="383"/>
      <c r="U90" s="383"/>
      <c r="V90" s="383"/>
      <c r="W90" s="383"/>
      <c r="X90" s="383"/>
      <c r="Y90" s="419">
        <f t="shared" si="11"/>
        <v>2.9874940469954647E-2</v>
      </c>
      <c r="Z90" s="74">
        <f t="shared" si="12"/>
        <v>91906.280988732964</v>
      </c>
      <c r="AE90" s="186">
        <f t="shared" si="13"/>
        <v>0</v>
      </c>
      <c r="AF90" s="186">
        <f t="shared" si="13"/>
        <v>1</v>
      </c>
      <c r="AH90" s="188">
        <f t="shared" si="9"/>
        <v>0</v>
      </c>
    </row>
    <row r="91" spans="2:34" s="188" customFormat="1" ht="28.5" customHeight="1" x14ac:dyDescent="0.25">
      <c r="B91" s="51">
        <f t="shared" si="3"/>
        <v>61</v>
      </c>
      <c r="C91" s="241" t="str">
        <f>IF('תנאי סף'!AO91&lt;&gt;1,"",'תנאי סף'!F91)</f>
        <v>אנסמבל גליל</v>
      </c>
      <c r="D91" s="325">
        <f>'הרכב חברי הוועדה'!Z91</f>
        <v>58545.07070564574</v>
      </c>
      <c r="E91" s="322"/>
      <c r="F91" s="266"/>
      <c r="G91" s="267">
        <f t="shared" si="10"/>
        <v>1</v>
      </c>
      <c r="H91" s="426"/>
      <c r="I91" s="426">
        <f t="shared" si="4"/>
        <v>58545.07070564574</v>
      </c>
      <c r="J91" s="426">
        <f t="shared" si="5"/>
        <v>0</v>
      </c>
      <c r="K91" s="426">
        <f t="shared" si="6"/>
        <v>0</v>
      </c>
      <c r="L91" s="426">
        <f t="shared" si="7"/>
        <v>58545.07070564574</v>
      </c>
      <c r="M91" s="383"/>
      <c r="N91" s="383"/>
      <c r="O91" s="383"/>
      <c r="P91" s="383"/>
      <c r="Q91" s="383"/>
      <c r="R91" s="383"/>
      <c r="S91" s="383"/>
      <c r="T91" s="383"/>
      <c r="U91" s="383"/>
      <c r="V91" s="383"/>
      <c r="W91" s="383"/>
      <c r="X91" s="383"/>
      <c r="Y91" s="419">
        <f t="shared" si="11"/>
        <v>1.9030587282221446E-2</v>
      </c>
      <c r="Z91" s="74">
        <f t="shared" si="12"/>
        <v>58545.07070564574</v>
      </c>
      <c r="AE91" s="186">
        <f t="shared" si="13"/>
        <v>0</v>
      </c>
      <c r="AF91" s="186">
        <f t="shared" si="13"/>
        <v>1</v>
      </c>
      <c r="AH91" s="188">
        <f t="shared" si="9"/>
        <v>0</v>
      </c>
    </row>
    <row r="92" spans="2:34" s="188" customFormat="1" ht="28.5" customHeight="1" x14ac:dyDescent="0.25">
      <c r="B92" s="51">
        <f t="shared" si="3"/>
        <v>62</v>
      </c>
      <c r="C92" s="241" t="str">
        <f>IF('תנאי סף'!AO92&lt;&gt;1,"",'תנאי סף'!F92)</f>
        <v>דריה- הרכב אינסטרומנטלי</v>
      </c>
      <c r="D92" s="325">
        <f>'הרכב חברי הוועדה'!Z92</f>
        <v>42049.601107981078</v>
      </c>
      <c r="E92" s="322"/>
      <c r="F92" s="266"/>
      <c r="G92" s="267">
        <f t="shared" si="10"/>
        <v>1</v>
      </c>
      <c r="H92" s="426"/>
      <c r="I92" s="426">
        <f t="shared" si="4"/>
        <v>42049.601107981078</v>
      </c>
      <c r="J92" s="426">
        <f t="shared" si="5"/>
        <v>0</v>
      </c>
      <c r="K92" s="426">
        <f t="shared" si="6"/>
        <v>0</v>
      </c>
      <c r="L92" s="426">
        <f t="shared" si="7"/>
        <v>42049.601107981078</v>
      </c>
      <c r="M92" s="383"/>
      <c r="N92" s="383"/>
      <c r="O92" s="383"/>
      <c r="P92" s="383"/>
      <c r="Q92" s="383"/>
      <c r="R92" s="383"/>
      <c r="S92" s="383"/>
      <c r="T92" s="383"/>
      <c r="U92" s="383"/>
      <c r="V92" s="383"/>
      <c r="W92" s="383"/>
      <c r="X92" s="383"/>
      <c r="Y92" s="419">
        <f t="shared" si="11"/>
        <v>1.3668590616132952E-2</v>
      </c>
      <c r="Z92" s="74">
        <f t="shared" si="12"/>
        <v>42049.601107981078</v>
      </c>
      <c r="AE92" s="186">
        <f t="shared" si="13"/>
        <v>0</v>
      </c>
      <c r="AF92" s="186">
        <f t="shared" si="13"/>
        <v>1</v>
      </c>
      <c r="AH92" s="188">
        <f t="shared" si="9"/>
        <v>0</v>
      </c>
    </row>
    <row r="93" spans="2:34" s="188" customFormat="1" ht="28.5" customHeight="1" x14ac:dyDescent="0.25">
      <c r="B93" s="51">
        <f t="shared" si="3"/>
        <v>63</v>
      </c>
      <c r="C93" s="241" t="str">
        <f>IF('תנאי סף'!AO93&lt;&gt;1,"",'תנאי סף'!F93)</f>
        <v>להקת שלוש</v>
      </c>
      <c r="D93" s="325">
        <f>'הרכב חברי הוועדה'!Z93</f>
        <v>49038.94580966785</v>
      </c>
      <c r="E93" s="322"/>
      <c r="F93" s="266"/>
      <c r="G93" s="267">
        <f t="shared" si="10"/>
        <v>1</v>
      </c>
      <c r="H93" s="426"/>
      <c r="I93" s="426">
        <f t="shared" si="4"/>
        <v>49038.94580966785</v>
      </c>
      <c r="J93" s="426">
        <f t="shared" si="5"/>
        <v>0</v>
      </c>
      <c r="K93" s="426">
        <f t="shared" si="6"/>
        <v>0</v>
      </c>
      <c r="L93" s="426">
        <f t="shared" si="7"/>
        <v>49038.94580966785</v>
      </c>
      <c r="M93" s="383"/>
      <c r="N93" s="383"/>
      <c r="O93" s="383"/>
      <c r="P93" s="383"/>
      <c r="Q93" s="383"/>
      <c r="R93" s="383"/>
      <c r="S93" s="383"/>
      <c r="T93" s="383"/>
      <c r="U93" s="383"/>
      <c r="V93" s="383"/>
      <c r="W93" s="383"/>
      <c r="X93" s="383"/>
      <c r="Y93" s="419">
        <f t="shared" si="11"/>
        <v>1.5940538241915821E-2</v>
      </c>
      <c r="Z93" s="74">
        <f t="shared" si="12"/>
        <v>49038.94580966785</v>
      </c>
      <c r="AE93" s="186">
        <f t="shared" si="13"/>
        <v>0</v>
      </c>
      <c r="AF93" s="186">
        <f t="shared" si="13"/>
        <v>1</v>
      </c>
      <c r="AH93" s="188">
        <f t="shared" si="9"/>
        <v>0</v>
      </c>
    </row>
    <row r="94" spans="2:34" s="188" customFormat="1" ht="28.5" customHeight="1" x14ac:dyDescent="0.25">
      <c r="B94" s="51">
        <f t="shared" si="3"/>
        <v>64</v>
      </c>
      <c r="C94" s="241" t="str">
        <f>IF('תנאי סף'!AO94&lt;&gt;1,"",'תנאי סף'!F94)</f>
        <v>רביעיית טוסקאניני</v>
      </c>
      <c r="D94" s="325">
        <f>'הרכב חברי הוועדה'!Z94</f>
        <v>36924.352252937686</v>
      </c>
      <c r="E94" s="322"/>
      <c r="F94" s="266"/>
      <c r="G94" s="267">
        <f t="shared" si="10"/>
        <v>1</v>
      </c>
      <c r="H94" s="426"/>
      <c r="I94" s="426">
        <f t="shared" si="4"/>
        <v>36924.352252937686</v>
      </c>
      <c r="J94" s="426">
        <f t="shared" si="5"/>
        <v>0</v>
      </c>
      <c r="K94" s="426">
        <f t="shared" si="6"/>
        <v>0</v>
      </c>
      <c r="L94" s="426">
        <f t="shared" si="7"/>
        <v>36924.352252937686</v>
      </c>
      <c r="M94" s="383"/>
      <c r="N94" s="383"/>
      <c r="O94" s="383"/>
      <c r="P94" s="383"/>
      <c r="Q94" s="383"/>
      <c r="R94" s="383"/>
      <c r="S94" s="383"/>
      <c r="T94" s="383"/>
      <c r="U94" s="383"/>
      <c r="V94" s="383"/>
      <c r="W94" s="383"/>
      <c r="X94" s="383"/>
      <c r="Y94" s="419">
        <f t="shared" si="11"/>
        <v>1.2002583649134738E-2</v>
      </c>
      <c r="Z94" s="74">
        <f t="shared" si="12"/>
        <v>36924.352252937686</v>
      </c>
      <c r="AE94" s="186">
        <f t="shared" si="13"/>
        <v>0</v>
      </c>
      <c r="AF94" s="186">
        <f t="shared" si="13"/>
        <v>1</v>
      </c>
      <c r="AH94" s="188">
        <f t="shared" si="9"/>
        <v>0</v>
      </c>
    </row>
    <row r="95" spans="2:34" s="188" customFormat="1" ht="28.5" customHeight="1" x14ac:dyDescent="0.25">
      <c r="B95" s="51">
        <f t="shared" si="3"/>
        <v>65</v>
      </c>
      <c r="C95" s="241" t="str">
        <f>IF('תנאי סף'!AO95&lt;&gt;1,"",'תנאי סף'!F95)</f>
        <v>תקוע-קבוצה מוזיקלית - 'דאפה' 2024</v>
      </c>
      <c r="D95" s="325">
        <f>'הרכב חברי הוועדה'!Z95</f>
        <v>100911.74773613042</v>
      </c>
      <c r="E95" s="322"/>
      <c r="F95" s="266"/>
      <c r="G95" s="267">
        <f t="shared" ref="G95:G130" si="14">IF($C95="","",IF(D95="",$AH$1,IF($D95&gt;=$E$6,1,0)))</f>
        <v>1</v>
      </c>
      <c r="H95" s="426"/>
      <c r="I95" s="426">
        <f t="shared" si="4"/>
        <v>100911.74773613042</v>
      </c>
      <c r="J95" s="426">
        <f t="shared" si="5"/>
        <v>0</v>
      </c>
      <c r="K95" s="426">
        <f t="shared" si="6"/>
        <v>0</v>
      </c>
      <c r="L95" s="426">
        <f t="shared" si="7"/>
        <v>100911.74773613042</v>
      </c>
      <c r="M95" s="383"/>
      <c r="N95" s="383"/>
      <c r="O95" s="383"/>
      <c r="P95" s="383"/>
      <c r="Q95" s="383"/>
      <c r="R95" s="383"/>
      <c r="S95" s="383"/>
      <c r="T95" s="383"/>
      <c r="U95" s="383"/>
      <c r="V95" s="383"/>
      <c r="W95" s="383"/>
      <c r="X95" s="383"/>
      <c r="Y95" s="419">
        <f t="shared" ref="Y95:Y130" si="15">IF(C95="","",IFERROR(L95/$L$131,$AH$1))</f>
        <v>3.2802246200186916E-2</v>
      </c>
      <c r="Z95" s="74">
        <f t="shared" ref="Z95:Z126" si="16">IF(C95="","",IFERROR(Y95*$C$2,$AH$1))</f>
        <v>100911.74773613042</v>
      </c>
      <c r="AE95" s="186">
        <f t="shared" si="13"/>
        <v>0</v>
      </c>
      <c r="AF95" s="186">
        <f t="shared" si="13"/>
        <v>1</v>
      </c>
      <c r="AH95" s="188">
        <f t="shared" si="9"/>
        <v>0</v>
      </c>
    </row>
    <row r="96" spans="2:34" s="188" customFormat="1" ht="28.5" customHeight="1" x14ac:dyDescent="0.25">
      <c r="B96" s="51">
        <f t="shared" ref="B96:B130" si="17">IF(C96="","",ROW()-30)</f>
        <v>66</v>
      </c>
      <c r="C96" s="241" t="str">
        <f>IF('תנאי סף'!AO96&lt;&gt;1,"",'תנאי סף'!F96)</f>
        <v>טריו בן חיים</v>
      </c>
      <c r="D96" s="325">
        <f>'הרכב חברי הוועדה'!Z96</f>
        <v>42730.234993512619</v>
      </c>
      <c r="E96" s="322"/>
      <c r="F96" s="266"/>
      <c r="G96" s="267">
        <f t="shared" si="14"/>
        <v>1</v>
      </c>
      <c r="H96" s="426"/>
      <c r="I96" s="426">
        <f t="shared" ref="I96:I130" si="18">IF(C96="","",IF(G96=1,D96,0))</f>
        <v>42730.234993512619</v>
      </c>
      <c r="J96" s="426">
        <f t="shared" ref="J96:J130" si="19">IF(C96="","",IF(G96=0,D96,0))</f>
        <v>0</v>
      </c>
      <c r="K96" s="426">
        <f t="shared" ref="K96:K130" si="20">IF(C96="","",IF(G96=1,$K$6*I96/$I$131,0))</f>
        <v>0</v>
      </c>
      <c r="L96" s="426">
        <f t="shared" ref="L96:L130" si="21">IF(C96="","",IF(G96=1,K96+I96,0))</f>
        <v>42730.234993512619</v>
      </c>
      <c r="M96" s="383"/>
      <c r="N96" s="383"/>
      <c r="O96" s="383"/>
      <c r="P96" s="383"/>
      <c r="Q96" s="383"/>
      <c r="R96" s="383"/>
      <c r="S96" s="383"/>
      <c r="T96" s="383"/>
      <c r="U96" s="383"/>
      <c r="V96" s="383"/>
      <c r="W96" s="383"/>
      <c r="X96" s="383"/>
      <c r="Y96" s="419">
        <f t="shared" si="15"/>
        <v>1.3889836613613597E-2</v>
      </c>
      <c r="Z96" s="74">
        <f t="shared" si="16"/>
        <v>42730.234993512619</v>
      </c>
      <c r="AE96" s="186">
        <f t="shared" ref="AE96:AF130" si="22">IF($C96="","",AE$30)</f>
        <v>0</v>
      </c>
      <c r="AF96" s="186">
        <f t="shared" si="22"/>
        <v>1</v>
      </c>
      <c r="AH96" s="188">
        <f t="shared" ref="AH96:AH130" si="23">IF(F96="",0,IF(ISERROR(MATCH(F96,$AE$30:$AF$30,0)),0,1))</f>
        <v>0</v>
      </c>
    </row>
    <row r="97" spans="2:34" s="188" customFormat="1" ht="28.5" hidden="1" customHeight="1" x14ac:dyDescent="0.25">
      <c r="B97" s="51" t="str">
        <f t="shared" si="17"/>
        <v/>
      </c>
      <c r="C97" s="241" t="str">
        <f>IF('תנאי סף'!AO97&lt;&gt;1,"",'תנאי סף'!F97)</f>
        <v/>
      </c>
      <c r="D97" s="325" t="str">
        <f>'הרכב חברי הוועדה'!Z97</f>
        <v/>
      </c>
      <c r="E97" s="322"/>
      <c r="F97" s="266"/>
      <c r="G97" s="267" t="str">
        <f t="shared" si="14"/>
        <v/>
      </c>
      <c r="H97" s="426"/>
      <c r="I97" s="426" t="str">
        <f t="shared" si="18"/>
        <v/>
      </c>
      <c r="J97" s="426" t="str">
        <f t="shared" si="19"/>
        <v/>
      </c>
      <c r="K97" s="426" t="str">
        <f t="shared" si="20"/>
        <v/>
      </c>
      <c r="L97" s="426" t="str">
        <f t="shared" si="21"/>
        <v/>
      </c>
      <c r="M97" s="383"/>
      <c r="N97" s="383"/>
      <c r="O97" s="383"/>
      <c r="P97" s="383"/>
      <c r="Q97" s="383"/>
      <c r="R97" s="383"/>
      <c r="S97" s="383"/>
      <c r="T97" s="383"/>
      <c r="U97" s="383"/>
      <c r="V97" s="383"/>
      <c r="W97" s="383"/>
      <c r="X97" s="383"/>
      <c r="Y97" s="419" t="str">
        <f t="shared" si="15"/>
        <v/>
      </c>
      <c r="Z97" s="74" t="str">
        <f t="shared" si="16"/>
        <v/>
      </c>
      <c r="AE97" s="186" t="str">
        <f t="shared" si="22"/>
        <v/>
      </c>
      <c r="AF97" s="186" t="str">
        <f t="shared" si="22"/>
        <v/>
      </c>
      <c r="AH97" s="188">
        <f t="shared" si="23"/>
        <v>0</v>
      </c>
    </row>
    <row r="98" spans="2:34" s="188" customFormat="1" ht="28.5" customHeight="1" x14ac:dyDescent="0.25">
      <c r="B98" s="51">
        <f t="shared" si="17"/>
        <v>68</v>
      </c>
      <c r="C98" s="241" t="str">
        <f>IF('תנאי סף'!AO98&lt;&gt;1,"",'תנאי סף'!F98)</f>
        <v>אמיתי אריכא והפרויקט D1</v>
      </c>
      <c r="D98" s="325">
        <f>'הרכב חברי הוועדה'!Z98</f>
        <v>55277.231192943305</v>
      </c>
      <c r="E98" s="322"/>
      <c r="F98" s="266"/>
      <c r="G98" s="267">
        <f t="shared" si="14"/>
        <v>1</v>
      </c>
      <c r="H98" s="426"/>
      <c r="I98" s="426">
        <f t="shared" si="18"/>
        <v>55277.231192943305</v>
      </c>
      <c r="J98" s="426">
        <f t="shared" si="19"/>
        <v>0</v>
      </c>
      <c r="K98" s="426">
        <f t="shared" si="20"/>
        <v>0</v>
      </c>
      <c r="L98" s="426">
        <f t="shared" si="21"/>
        <v>55277.231192943305</v>
      </c>
      <c r="M98" s="383"/>
      <c r="N98" s="383"/>
      <c r="O98" s="383"/>
      <c r="P98" s="383"/>
      <c r="Q98" s="383"/>
      <c r="R98" s="383"/>
      <c r="S98" s="383"/>
      <c r="T98" s="383"/>
      <c r="U98" s="383"/>
      <c r="V98" s="383"/>
      <c r="W98" s="383"/>
      <c r="X98" s="383"/>
      <c r="Y98" s="419">
        <f t="shared" si="15"/>
        <v>1.7968347467302602E-2</v>
      </c>
      <c r="Z98" s="74">
        <f t="shared" si="16"/>
        <v>55277.231192943305</v>
      </c>
      <c r="AE98" s="186">
        <f t="shared" si="22"/>
        <v>0</v>
      </c>
      <c r="AF98" s="186">
        <f t="shared" si="22"/>
        <v>1</v>
      </c>
      <c r="AH98" s="188">
        <f t="shared" si="23"/>
        <v>0</v>
      </c>
    </row>
    <row r="99" spans="2:34" s="188" customFormat="1" x14ac:dyDescent="0.25">
      <c r="B99" s="51" t="str">
        <f t="shared" si="17"/>
        <v/>
      </c>
      <c r="C99" s="241" t="str">
        <f>IF('תנאי סף'!AO99&lt;&gt;1,"",'תנאי סף'!F99)</f>
        <v/>
      </c>
      <c r="D99" s="325" t="str">
        <f>'הרכב חברי הוועדה'!Z99</f>
        <v/>
      </c>
      <c r="E99" s="322"/>
      <c r="F99" s="266"/>
      <c r="G99" s="267" t="str">
        <f t="shared" si="14"/>
        <v/>
      </c>
      <c r="H99" s="426"/>
      <c r="I99" s="426" t="str">
        <f t="shared" si="18"/>
        <v/>
      </c>
      <c r="J99" s="426" t="str">
        <f t="shared" si="19"/>
        <v/>
      </c>
      <c r="K99" s="426" t="str">
        <f t="shared" si="20"/>
        <v/>
      </c>
      <c r="L99" s="426" t="str">
        <f t="shared" si="21"/>
        <v/>
      </c>
      <c r="M99" s="383"/>
      <c r="N99" s="383"/>
      <c r="O99" s="383"/>
      <c r="P99" s="383"/>
      <c r="Q99" s="383"/>
      <c r="R99" s="383"/>
      <c r="S99" s="383"/>
      <c r="T99" s="383"/>
      <c r="U99" s="383"/>
      <c r="V99" s="383"/>
      <c r="W99" s="383"/>
      <c r="X99" s="383"/>
      <c r="Y99" s="419" t="str">
        <f t="shared" si="15"/>
        <v/>
      </c>
      <c r="Z99" s="74" t="str">
        <f t="shared" si="16"/>
        <v/>
      </c>
      <c r="AE99" s="186" t="str">
        <f t="shared" si="22"/>
        <v/>
      </c>
      <c r="AF99" s="186" t="str">
        <f t="shared" si="22"/>
        <v/>
      </c>
      <c r="AH99" s="188">
        <f t="shared" si="23"/>
        <v>0</v>
      </c>
    </row>
    <row r="100" spans="2:34" s="188" customFormat="1" x14ac:dyDescent="0.25">
      <c r="B100" s="51" t="str">
        <f t="shared" si="17"/>
        <v/>
      </c>
      <c r="C100" s="241" t="str">
        <f>IF('תנאי סף'!AO100&lt;&gt;1,"",'תנאי סף'!F100)</f>
        <v/>
      </c>
      <c r="D100" s="325" t="str">
        <f>'הרכב חברי הוועדה'!Z100</f>
        <v/>
      </c>
      <c r="E100" s="322"/>
      <c r="F100" s="266"/>
      <c r="G100" s="267" t="str">
        <f t="shared" si="14"/>
        <v/>
      </c>
      <c r="H100" s="426"/>
      <c r="I100" s="426" t="str">
        <f t="shared" si="18"/>
        <v/>
      </c>
      <c r="J100" s="426" t="str">
        <f t="shared" si="19"/>
        <v/>
      </c>
      <c r="K100" s="426" t="str">
        <f t="shared" si="20"/>
        <v/>
      </c>
      <c r="L100" s="426" t="str">
        <f t="shared" si="21"/>
        <v/>
      </c>
      <c r="M100" s="383"/>
      <c r="N100" s="383"/>
      <c r="O100" s="383"/>
      <c r="P100" s="383"/>
      <c r="Q100" s="383"/>
      <c r="R100" s="383"/>
      <c r="S100" s="383"/>
      <c r="T100" s="383"/>
      <c r="U100" s="383"/>
      <c r="V100" s="383"/>
      <c r="W100" s="383"/>
      <c r="X100" s="383"/>
      <c r="Y100" s="419" t="str">
        <f t="shared" si="15"/>
        <v/>
      </c>
      <c r="Z100" s="74" t="str">
        <f t="shared" si="16"/>
        <v/>
      </c>
      <c r="AE100" s="186" t="str">
        <f t="shared" si="22"/>
        <v/>
      </c>
      <c r="AF100" s="186" t="str">
        <f t="shared" si="22"/>
        <v/>
      </c>
      <c r="AH100" s="188">
        <f t="shared" si="23"/>
        <v>0</v>
      </c>
    </row>
    <row r="101" spans="2:34" s="188" customFormat="1" x14ac:dyDescent="0.25">
      <c r="B101" s="51" t="str">
        <f t="shared" si="17"/>
        <v/>
      </c>
      <c r="C101" s="241" t="str">
        <f>IF('תנאי סף'!AO101&lt;&gt;1,"",'תנאי סף'!F101)</f>
        <v/>
      </c>
      <c r="D101" s="325" t="str">
        <f>'הרכב חברי הוועדה'!Z101</f>
        <v/>
      </c>
      <c r="E101" s="322"/>
      <c r="F101" s="266"/>
      <c r="G101" s="267" t="str">
        <f t="shared" si="14"/>
        <v/>
      </c>
      <c r="H101" s="426"/>
      <c r="I101" s="426" t="str">
        <f t="shared" si="18"/>
        <v/>
      </c>
      <c r="J101" s="426" t="str">
        <f t="shared" si="19"/>
        <v/>
      </c>
      <c r="K101" s="426" t="str">
        <f t="shared" si="20"/>
        <v/>
      </c>
      <c r="L101" s="426" t="str">
        <f t="shared" si="21"/>
        <v/>
      </c>
      <c r="M101" s="383"/>
      <c r="N101" s="383"/>
      <c r="O101" s="383"/>
      <c r="P101" s="383"/>
      <c r="Q101" s="383"/>
      <c r="R101" s="383"/>
      <c r="S101" s="383"/>
      <c r="T101" s="383"/>
      <c r="U101" s="383"/>
      <c r="V101" s="383"/>
      <c r="W101" s="383"/>
      <c r="X101" s="383"/>
      <c r="Y101" s="419" t="str">
        <f t="shared" si="15"/>
        <v/>
      </c>
      <c r="Z101" s="74" t="str">
        <f t="shared" si="16"/>
        <v/>
      </c>
      <c r="AE101" s="186" t="str">
        <f t="shared" si="22"/>
        <v/>
      </c>
      <c r="AF101" s="186" t="str">
        <f t="shared" si="22"/>
        <v/>
      </c>
      <c r="AH101" s="188">
        <f t="shared" si="23"/>
        <v>0</v>
      </c>
    </row>
    <row r="102" spans="2:34" s="188" customFormat="1" x14ac:dyDescent="0.25">
      <c r="B102" s="51" t="str">
        <f t="shared" si="17"/>
        <v/>
      </c>
      <c r="C102" s="241" t="str">
        <f>IF('תנאי סף'!AO102&lt;&gt;1,"",'תנאי סף'!F102)</f>
        <v/>
      </c>
      <c r="D102" s="325" t="str">
        <f>'הרכב חברי הוועדה'!Z102</f>
        <v/>
      </c>
      <c r="E102" s="322"/>
      <c r="F102" s="266"/>
      <c r="G102" s="267" t="str">
        <f t="shared" si="14"/>
        <v/>
      </c>
      <c r="H102" s="426"/>
      <c r="I102" s="426" t="str">
        <f t="shared" si="18"/>
        <v/>
      </c>
      <c r="J102" s="426" t="str">
        <f t="shared" si="19"/>
        <v/>
      </c>
      <c r="K102" s="426" t="str">
        <f t="shared" si="20"/>
        <v/>
      </c>
      <c r="L102" s="426" t="str">
        <f t="shared" si="21"/>
        <v/>
      </c>
      <c r="M102" s="383"/>
      <c r="N102" s="383"/>
      <c r="O102" s="383"/>
      <c r="P102" s="383"/>
      <c r="Q102" s="383"/>
      <c r="R102" s="383"/>
      <c r="S102" s="383"/>
      <c r="T102" s="383"/>
      <c r="U102" s="383"/>
      <c r="V102" s="383"/>
      <c r="W102" s="383"/>
      <c r="X102" s="383"/>
      <c r="Y102" s="419" t="str">
        <f t="shared" si="15"/>
        <v/>
      </c>
      <c r="Z102" s="74" t="str">
        <f t="shared" si="16"/>
        <v/>
      </c>
      <c r="AE102" s="186" t="str">
        <f t="shared" si="22"/>
        <v/>
      </c>
      <c r="AF102" s="186" t="str">
        <f t="shared" si="22"/>
        <v/>
      </c>
      <c r="AH102" s="188">
        <f t="shared" si="23"/>
        <v>0</v>
      </c>
    </row>
    <row r="103" spans="2:34" s="188" customFormat="1" x14ac:dyDescent="0.25">
      <c r="B103" s="51" t="str">
        <f t="shared" si="17"/>
        <v/>
      </c>
      <c r="C103" s="241" t="str">
        <f>IF('תנאי סף'!AO103&lt;&gt;1,"",'תנאי סף'!F103)</f>
        <v/>
      </c>
      <c r="D103" s="325" t="str">
        <f>'הרכב חברי הוועדה'!Z103</f>
        <v/>
      </c>
      <c r="E103" s="322"/>
      <c r="F103" s="266"/>
      <c r="G103" s="267" t="str">
        <f t="shared" si="14"/>
        <v/>
      </c>
      <c r="H103" s="426"/>
      <c r="I103" s="426" t="str">
        <f t="shared" si="18"/>
        <v/>
      </c>
      <c r="J103" s="426" t="str">
        <f t="shared" si="19"/>
        <v/>
      </c>
      <c r="K103" s="426" t="str">
        <f t="shared" si="20"/>
        <v/>
      </c>
      <c r="L103" s="426" t="str">
        <f t="shared" si="21"/>
        <v/>
      </c>
      <c r="M103" s="383"/>
      <c r="N103" s="383"/>
      <c r="O103" s="383"/>
      <c r="P103" s="383"/>
      <c r="Q103" s="383"/>
      <c r="R103" s="383"/>
      <c r="S103" s="383"/>
      <c r="T103" s="383"/>
      <c r="U103" s="383"/>
      <c r="V103" s="383"/>
      <c r="W103" s="383"/>
      <c r="X103" s="383"/>
      <c r="Y103" s="419" t="str">
        <f t="shared" si="15"/>
        <v/>
      </c>
      <c r="Z103" s="74" t="str">
        <f t="shared" si="16"/>
        <v/>
      </c>
      <c r="AE103" s="186" t="str">
        <f t="shared" si="22"/>
        <v/>
      </c>
      <c r="AF103" s="186" t="str">
        <f t="shared" si="22"/>
        <v/>
      </c>
      <c r="AH103" s="188">
        <f t="shared" si="23"/>
        <v>0</v>
      </c>
    </row>
    <row r="104" spans="2:34" s="188" customFormat="1" x14ac:dyDescent="0.25">
      <c r="B104" s="51" t="str">
        <f t="shared" si="17"/>
        <v/>
      </c>
      <c r="C104" s="241" t="str">
        <f>IF('תנאי סף'!AO104&lt;&gt;1,"",'תנאי סף'!F104)</f>
        <v/>
      </c>
      <c r="D104" s="325" t="str">
        <f>'הרכב חברי הוועדה'!Z104</f>
        <v/>
      </c>
      <c r="E104" s="322"/>
      <c r="F104" s="266"/>
      <c r="G104" s="267" t="str">
        <f t="shared" si="14"/>
        <v/>
      </c>
      <c r="H104" s="426"/>
      <c r="I104" s="426" t="str">
        <f t="shared" si="18"/>
        <v/>
      </c>
      <c r="J104" s="426" t="str">
        <f t="shared" si="19"/>
        <v/>
      </c>
      <c r="K104" s="426" t="str">
        <f t="shared" si="20"/>
        <v/>
      </c>
      <c r="L104" s="426" t="str">
        <f t="shared" si="21"/>
        <v/>
      </c>
      <c r="M104" s="383"/>
      <c r="N104" s="383"/>
      <c r="O104" s="383"/>
      <c r="P104" s="383"/>
      <c r="Q104" s="383"/>
      <c r="R104" s="383"/>
      <c r="S104" s="383"/>
      <c r="T104" s="383"/>
      <c r="U104" s="383"/>
      <c r="V104" s="383"/>
      <c r="W104" s="383"/>
      <c r="X104" s="383"/>
      <c r="Y104" s="419" t="str">
        <f t="shared" si="15"/>
        <v/>
      </c>
      <c r="Z104" s="74" t="str">
        <f t="shared" si="16"/>
        <v/>
      </c>
      <c r="AE104" s="186" t="str">
        <f t="shared" si="22"/>
        <v/>
      </c>
      <c r="AF104" s="186" t="str">
        <f t="shared" si="22"/>
        <v/>
      </c>
      <c r="AH104" s="188">
        <f t="shared" si="23"/>
        <v>0</v>
      </c>
    </row>
    <row r="105" spans="2:34" s="188" customFormat="1" x14ac:dyDescent="0.25">
      <c r="B105" s="51">
        <f t="shared" si="17"/>
        <v>75</v>
      </c>
      <c r="C105" s="241" t="str">
        <f>IF('תנאי סף'!AO105&lt;&gt;1,"",'תנאי סף'!F105)</f>
        <v>לבונטין 7</v>
      </c>
      <c r="D105" s="325">
        <f>'הרכב חברי הוועדה'!Z105</f>
        <v>72116.244221622357</v>
      </c>
      <c r="E105" s="322"/>
      <c r="F105" s="266"/>
      <c r="G105" s="267">
        <f t="shared" si="14"/>
        <v>1</v>
      </c>
      <c r="H105" s="426"/>
      <c r="I105" s="426">
        <f t="shared" si="18"/>
        <v>72116.244221622357</v>
      </c>
      <c r="J105" s="426">
        <f t="shared" si="19"/>
        <v>0</v>
      </c>
      <c r="K105" s="426">
        <f t="shared" si="20"/>
        <v>0</v>
      </c>
      <c r="L105" s="426">
        <f t="shared" si="21"/>
        <v>72116.244221622357</v>
      </c>
      <c r="M105" s="383"/>
      <c r="N105" s="383"/>
      <c r="O105" s="383"/>
      <c r="P105" s="383"/>
      <c r="Q105" s="383"/>
      <c r="R105" s="383"/>
      <c r="S105" s="383"/>
      <c r="T105" s="383"/>
      <c r="U105" s="383"/>
      <c r="V105" s="383"/>
      <c r="W105" s="383"/>
      <c r="X105" s="383"/>
      <c r="Y105" s="419">
        <f t="shared" si="15"/>
        <v>2.3442015930356278E-2</v>
      </c>
      <c r="Z105" s="74">
        <f t="shared" si="16"/>
        <v>72116.244221622357</v>
      </c>
      <c r="AE105" s="186">
        <f t="shared" si="22"/>
        <v>0</v>
      </c>
      <c r="AF105" s="186">
        <f t="shared" si="22"/>
        <v>1</v>
      </c>
      <c r="AH105" s="188">
        <f t="shared" si="23"/>
        <v>0</v>
      </c>
    </row>
    <row r="106" spans="2:34" x14ac:dyDescent="0.25">
      <c r="B106" s="51">
        <f t="shared" si="17"/>
        <v>76</v>
      </c>
      <c r="C106" s="241" t="str">
        <f>IF('תנאי סף'!AO106&lt;&gt;1,"",'תנאי סף'!F106)</f>
        <v>מולטי פיאנו- פליציה בלומנטל</v>
      </c>
      <c r="D106" s="325">
        <f>'הרכב חברי הוועדה'!Z106</f>
        <v>52405.286324756264</v>
      </c>
      <c r="E106" s="322"/>
      <c r="F106" s="266"/>
      <c r="G106" s="267">
        <f t="shared" si="14"/>
        <v>1</v>
      </c>
      <c r="H106" s="426"/>
      <c r="I106" s="426">
        <f t="shared" si="18"/>
        <v>52405.286324756264</v>
      </c>
      <c r="J106" s="426">
        <f t="shared" si="19"/>
        <v>0</v>
      </c>
      <c r="K106" s="426">
        <f t="shared" si="20"/>
        <v>0</v>
      </c>
      <c r="L106" s="426">
        <f t="shared" si="21"/>
        <v>52405.286324756264</v>
      </c>
      <c r="M106" s="383"/>
      <c r="N106" s="383"/>
      <c r="O106" s="383"/>
      <c r="P106" s="383"/>
      <c r="Q106" s="383"/>
      <c r="R106" s="383"/>
      <c r="S106" s="383"/>
      <c r="T106" s="383"/>
      <c r="U106" s="383"/>
      <c r="V106" s="383"/>
      <c r="W106" s="383"/>
      <c r="X106" s="383"/>
      <c r="Y106" s="419">
        <f t="shared" si="15"/>
        <v>1.7034796669173822E-2</v>
      </c>
      <c r="Z106" s="74">
        <f t="shared" si="16"/>
        <v>52405.286324756264</v>
      </c>
      <c r="AA106" s="188"/>
      <c r="AE106" s="186">
        <f t="shared" si="22"/>
        <v>0</v>
      </c>
      <c r="AF106" s="186">
        <f t="shared" si="22"/>
        <v>1</v>
      </c>
      <c r="AG106" s="188"/>
      <c r="AH106" s="188">
        <f t="shared" si="23"/>
        <v>0</v>
      </c>
    </row>
    <row r="107" spans="2:34" x14ac:dyDescent="0.25">
      <c r="B107" s="51">
        <f t="shared" si="17"/>
        <v>77</v>
      </c>
      <c r="C107" s="241" t="str">
        <f>IF('תנאי סף'!AO107&lt;&gt;1,"",'תנאי סף'!F107)</f>
        <v>ארמון בזמן - העמותה לתרבות רב תחומית</v>
      </c>
      <c r="D107" s="325">
        <f>'הרכב חברי הוועדה'!Z107</f>
        <v>71850.885659940628</v>
      </c>
      <c r="E107" s="322"/>
      <c r="F107" s="266"/>
      <c r="G107" s="267">
        <f t="shared" si="14"/>
        <v>1</v>
      </c>
      <c r="H107" s="426"/>
      <c r="I107" s="426">
        <f t="shared" si="18"/>
        <v>71850.885659940628</v>
      </c>
      <c r="J107" s="426">
        <f t="shared" si="19"/>
        <v>0</v>
      </c>
      <c r="K107" s="426">
        <f t="shared" si="20"/>
        <v>0</v>
      </c>
      <c r="L107" s="426">
        <f t="shared" si="21"/>
        <v>71850.885659940628</v>
      </c>
      <c r="M107" s="383"/>
      <c r="N107" s="383"/>
      <c r="O107" s="383"/>
      <c r="P107" s="383"/>
      <c r="Q107" s="383"/>
      <c r="R107" s="383"/>
      <c r="S107" s="383"/>
      <c r="T107" s="383"/>
      <c r="U107" s="383"/>
      <c r="V107" s="383"/>
      <c r="W107" s="383"/>
      <c r="X107" s="383"/>
      <c r="Y107" s="419">
        <f t="shared" si="15"/>
        <v>2.3355758808991458E-2</v>
      </c>
      <c r="Z107" s="74">
        <f t="shared" si="16"/>
        <v>71850.885659940628</v>
      </c>
      <c r="AA107" s="188"/>
      <c r="AE107" s="186">
        <f t="shared" si="22"/>
        <v>0</v>
      </c>
      <c r="AF107" s="186">
        <f t="shared" si="22"/>
        <v>1</v>
      </c>
      <c r="AG107" s="188"/>
      <c r="AH107" s="188">
        <f t="shared" si="23"/>
        <v>0</v>
      </c>
    </row>
    <row r="108" spans="2:34" x14ac:dyDescent="0.25">
      <c r="B108" s="51" t="str">
        <f t="shared" si="17"/>
        <v/>
      </c>
      <c r="C108" s="241" t="str">
        <f>IF('תנאי סף'!AO108&lt;&gt;1,"",'תנאי סף'!F108)</f>
        <v/>
      </c>
      <c r="D108" s="325" t="str">
        <f>'הרכב חברי הוועדה'!Z108</f>
        <v/>
      </c>
      <c r="E108" s="322"/>
      <c r="F108" s="266"/>
      <c r="G108" s="267" t="str">
        <f t="shared" si="14"/>
        <v/>
      </c>
      <c r="H108" s="426"/>
      <c r="I108" s="426" t="str">
        <f t="shared" si="18"/>
        <v/>
      </c>
      <c r="J108" s="426" t="str">
        <f t="shared" si="19"/>
        <v/>
      </c>
      <c r="K108" s="426" t="str">
        <f t="shared" si="20"/>
        <v/>
      </c>
      <c r="L108" s="426" t="str">
        <f t="shared" si="21"/>
        <v/>
      </c>
      <c r="M108" s="383"/>
      <c r="N108" s="383"/>
      <c r="O108" s="383"/>
      <c r="P108" s="383"/>
      <c r="Q108" s="383"/>
      <c r="R108" s="383"/>
      <c r="S108" s="383"/>
      <c r="T108" s="383"/>
      <c r="U108" s="383"/>
      <c r="V108" s="383"/>
      <c r="W108" s="383"/>
      <c r="X108" s="383"/>
      <c r="Y108" s="419" t="str">
        <f t="shared" si="15"/>
        <v/>
      </c>
      <c r="Z108" s="74" t="str">
        <f t="shared" si="16"/>
        <v/>
      </c>
      <c r="AA108" s="188"/>
      <c r="AE108" s="186" t="str">
        <f t="shared" si="22"/>
        <v/>
      </c>
      <c r="AF108" s="186" t="str">
        <f t="shared" si="22"/>
        <v/>
      </c>
      <c r="AG108" s="188"/>
      <c r="AH108" s="188">
        <f t="shared" si="23"/>
        <v>0</v>
      </c>
    </row>
    <row r="109" spans="2:34" x14ac:dyDescent="0.25">
      <c r="B109" s="51" t="str">
        <f t="shared" si="17"/>
        <v/>
      </c>
      <c r="C109" s="241" t="str">
        <f>IF('תנאי סף'!AO109&lt;&gt;1,"",'תנאי סף'!F109)</f>
        <v/>
      </c>
      <c r="D109" s="325" t="str">
        <f>'הרכב חברי הוועדה'!Z109</f>
        <v/>
      </c>
      <c r="E109" s="322"/>
      <c r="F109" s="266"/>
      <c r="G109" s="267" t="str">
        <f t="shared" si="14"/>
        <v/>
      </c>
      <c r="H109" s="426"/>
      <c r="I109" s="426" t="str">
        <f t="shared" si="18"/>
        <v/>
      </c>
      <c r="J109" s="426" t="str">
        <f t="shared" si="19"/>
        <v/>
      </c>
      <c r="K109" s="426" t="str">
        <f t="shared" si="20"/>
        <v/>
      </c>
      <c r="L109" s="426" t="str">
        <f t="shared" si="21"/>
        <v/>
      </c>
      <c r="M109" s="383"/>
      <c r="N109" s="383"/>
      <c r="O109" s="383"/>
      <c r="P109" s="383"/>
      <c r="Q109" s="383"/>
      <c r="R109" s="383"/>
      <c r="S109" s="383"/>
      <c r="T109" s="383"/>
      <c r="U109" s="383"/>
      <c r="V109" s="383"/>
      <c r="W109" s="383"/>
      <c r="X109" s="383"/>
      <c r="Y109" s="419" t="str">
        <f t="shared" si="15"/>
        <v/>
      </c>
      <c r="Z109" s="74" t="str">
        <f t="shared" si="16"/>
        <v/>
      </c>
      <c r="AA109" s="188"/>
      <c r="AE109" s="186" t="str">
        <f t="shared" si="22"/>
        <v/>
      </c>
      <c r="AF109" s="186" t="str">
        <f t="shared" si="22"/>
        <v/>
      </c>
      <c r="AG109" s="188"/>
      <c r="AH109" s="188">
        <f t="shared" si="23"/>
        <v>0</v>
      </c>
    </row>
    <row r="110" spans="2:34" x14ac:dyDescent="0.25">
      <c r="B110" s="51" t="str">
        <f t="shared" si="17"/>
        <v/>
      </c>
      <c r="C110" s="241" t="str">
        <f>IF('תנאי סף'!AO110&lt;&gt;1,"",'תנאי סף'!F110)</f>
        <v/>
      </c>
      <c r="D110" s="325" t="str">
        <f>'הרכב חברי הוועדה'!Z110</f>
        <v/>
      </c>
      <c r="E110" s="322"/>
      <c r="F110" s="266"/>
      <c r="G110" s="267" t="str">
        <f t="shared" si="14"/>
        <v/>
      </c>
      <c r="H110" s="426"/>
      <c r="I110" s="426" t="str">
        <f t="shared" si="18"/>
        <v/>
      </c>
      <c r="J110" s="426" t="str">
        <f t="shared" si="19"/>
        <v/>
      </c>
      <c r="K110" s="426" t="str">
        <f t="shared" si="20"/>
        <v/>
      </c>
      <c r="L110" s="426" t="str">
        <f t="shared" si="21"/>
        <v/>
      </c>
      <c r="M110" s="383"/>
      <c r="N110" s="383"/>
      <c r="O110" s="383"/>
      <c r="P110" s="383"/>
      <c r="Q110" s="383"/>
      <c r="R110" s="383"/>
      <c r="S110" s="383"/>
      <c r="T110" s="383"/>
      <c r="U110" s="383"/>
      <c r="V110" s="383"/>
      <c r="W110" s="383"/>
      <c r="X110" s="383"/>
      <c r="Y110" s="419" t="str">
        <f t="shared" si="15"/>
        <v/>
      </c>
      <c r="Z110" s="74" t="str">
        <f t="shared" si="16"/>
        <v/>
      </c>
      <c r="AA110" s="188"/>
      <c r="AE110" s="186" t="str">
        <f t="shared" si="22"/>
        <v/>
      </c>
      <c r="AF110" s="186" t="str">
        <f t="shared" si="22"/>
        <v/>
      </c>
      <c r="AG110" s="188"/>
      <c r="AH110" s="188">
        <f t="shared" si="23"/>
        <v>0</v>
      </c>
    </row>
    <row r="111" spans="2:34" x14ac:dyDescent="0.25">
      <c r="B111" s="51" t="str">
        <f t="shared" si="17"/>
        <v/>
      </c>
      <c r="C111" s="241" t="str">
        <f>IF('תנאי סף'!AO111&lt;&gt;1,"",'תנאי סף'!F111)</f>
        <v/>
      </c>
      <c r="D111" s="325" t="str">
        <f>'הרכב חברי הוועדה'!Z111</f>
        <v/>
      </c>
      <c r="E111" s="322"/>
      <c r="F111" s="266"/>
      <c r="G111" s="267" t="str">
        <f t="shared" si="14"/>
        <v/>
      </c>
      <c r="H111" s="426"/>
      <c r="I111" s="426" t="str">
        <f t="shared" si="18"/>
        <v/>
      </c>
      <c r="J111" s="426" t="str">
        <f t="shared" si="19"/>
        <v/>
      </c>
      <c r="K111" s="426" t="str">
        <f t="shared" si="20"/>
        <v/>
      </c>
      <c r="L111" s="426" t="str">
        <f t="shared" si="21"/>
        <v/>
      </c>
      <c r="M111" s="383"/>
      <c r="N111" s="383"/>
      <c r="O111" s="383"/>
      <c r="P111" s="383"/>
      <c r="Q111" s="383"/>
      <c r="R111" s="383"/>
      <c r="S111" s="383"/>
      <c r="T111" s="383"/>
      <c r="U111" s="383"/>
      <c r="V111" s="383"/>
      <c r="W111" s="383"/>
      <c r="X111" s="383"/>
      <c r="Y111" s="419" t="str">
        <f t="shared" si="15"/>
        <v/>
      </c>
      <c r="Z111" s="74" t="str">
        <f t="shared" si="16"/>
        <v/>
      </c>
      <c r="AA111" s="188"/>
      <c r="AE111" s="186" t="str">
        <f t="shared" si="22"/>
        <v/>
      </c>
      <c r="AF111" s="186" t="str">
        <f t="shared" si="22"/>
        <v/>
      </c>
      <c r="AG111" s="188"/>
      <c r="AH111" s="188">
        <f t="shared" si="23"/>
        <v>0</v>
      </c>
    </row>
    <row r="112" spans="2:34" x14ac:dyDescent="0.25">
      <c r="B112" s="51" t="str">
        <f t="shared" si="17"/>
        <v/>
      </c>
      <c r="C112" s="241" t="str">
        <f>IF('תנאי סף'!AO112&lt;&gt;1,"",'תנאי סף'!F112)</f>
        <v/>
      </c>
      <c r="D112" s="325" t="str">
        <f>'הרכב חברי הוועדה'!Z112</f>
        <v/>
      </c>
      <c r="E112" s="322"/>
      <c r="F112" s="266"/>
      <c r="G112" s="267" t="str">
        <f t="shared" si="14"/>
        <v/>
      </c>
      <c r="H112" s="426"/>
      <c r="I112" s="426" t="str">
        <f t="shared" si="18"/>
        <v/>
      </c>
      <c r="J112" s="426" t="str">
        <f t="shared" si="19"/>
        <v/>
      </c>
      <c r="K112" s="426" t="str">
        <f t="shared" si="20"/>
        <v/>
      </c>
      <c r="L112" s="426" t="str">
        <f t="shared" si="21"/>
        <v/>
      </c>
      <c r="M112" s="383"/>
      <c r="N112" s="383"/>
      <c r="O112" s="383"/>
      <c r="P112" s="383"/>
      <c r="Q112" s="383"/>
      <c r="R112" s="383"/>
      <c r="S112" s="383"/>
      <c r="T112" s="383"/>
      <c r="U112" s="383"/>
      <c r="V112" s="383"/>
      <c r="W112" s="383"/>
      <c r="X112" s="383"/>
      <c r="Y112" s="419" t="str">
        <f t="shared" si="15"/>
        <v/>
      </c>
      <c r="Z112" s="74" t="str">
        <f t="shared" si="16"/>
        <v/>
      </c>
      <c r="AA112" s="188"/>
      <c r="AE112" s="186" t="str">
        <f t="shared" si="22"/>
        <v/>
      </c>
      <c r="AF112" s="186" t="str">
        <f t="shared" si="22"/>
        <v/>
      </c>
      <c r="AG112" s="188"/>
      <c r="AH112" s="188">
        <f t="shared" si="23"/>
        <v>0</v>
      </c>
    </row>
    <row r="113" spans="2:34" x14ac:dyDescent="0.25">
      <c r="B113" s="51" t="str">
        <f t="shared" si="17"/>
        <v/>
      </c>
      <c r="C113" s="241" t="str">
        <f>IF('תנאי סף'!AO113&lt;&gt;1,"",'תנאי סף'!F113)</f>
        <v/>
      </c>
      <c r="D113" s="325" t="str">
        <f>'הרכב חברי הוועדה'!Z113</f>
        <v/>
      </c>
      <c r="E113" s="322"/>
      <c r="F113" s="266"/>
      <c r="G113" s="267" t="str">
        <f t="shared" si="14"/>
        <v/>
      </c>
      <c r="H113" s="426"/>
      <c r="I113" s="426" t="str">
        <f t="shared" si="18"/>
        <v/>
      </c>
      <c r="J113" s="426" t="str">
        <f t="shared" si="19"/>
        <v/>
      </c>
      <c r="K113" s="426" t="str">
        <f t="shared" si="20"/>
        <v/>
      </c>
      <c r="L113" s="426" t="str">
        <f t="shared" si="21"/>
        <v/>
      </c>
      <c r="M113" s="383"/>
      <c r="N113" s="383"/>
      <c r="O113" s="383"/>
      <c r="P113" s="383"/>
      <c r="Q113" s="383"/>
      <c r="R113" s="383"/>
      <c r="S113" s="383"/>
      <c r="T113" s="383"/>
      <c r="U113" s="383"/>
      <c r="V113" s="383"/>
      <c r="W113" s="383"/>
      <c r="X113" s="383"/>
      <c r="Y113" s="419" t="str">
        <f t="shared" si="15"/>
        <v/>
      </c>
      <c r="Z113" s="74" t="str">
        <f t="shared" si="16"/>
        <v/>
      </c>
      <c r="AA113" s="188"/>
      <c r="AE113" s="186" t="str">
        <f t="shared" si="22"/>
        <v/>
      </c>
      <c r="AF113" s="186" t="str">
        <f t="shared" si="22"/>
        <v/>
      </c>
      <c r="AG113" s="188"/>
      <c r="AH113" s="188">
        <f t="shared" si="23"/>
        <v>0</v>
      </c>
    </row>
    <row r="114" spans="2:34" x14ac:dyDescent="0.25">
      <c r="B114" s="51" t="str">
        <f t="shared" si="17"/>
        <v/>
      </c>
      <c r="C114" s="241" t="str">
        <f>IF('תנאי סף'!AO114&lt;&gt;1,"",'תנאי סף'!F114)</f>
        <v/>
      </c>
      <c r="D114" s="325" t="str">
        <f>'הרכב חברי הוועדה'!Z114</f>
        <v/>
      </c>
      <c r="E114" s="322"/>
      <c r="F114" s="266"/>
      <c r="G114" s="267" t="str">
        <f t="shared" si="14"/>
        <v/>
      </c>
      <c r="H114" s="426"/>
      <c r="I114" s="426" t="str">
        <f t="shared" si="18"/>
        <v/>
      </c>
      <c r="J114" s="426" t="str">
        <f t="shared" si="19"/>
        <v/>
      </c>
      <c r="K114" s="426" t="str">
        <f t="shared" si="20"/>
        <v/>
      </c>
      <c r="L114" s="426" t="str">
        <f t="shared" si="21"/>
        <v/>
      </c>
      <c r="M114" s="383"/>
      <c r="N114" s="383"/>
      <c r="O114" s="383"/>
      <c r="P114" s="383"/>
      <c r="Q114" s="383"/>
      <c r="R114" s="383"/>
      <c r="S114" s="383"/>
      <c r="T114" s="383"/>
      <c r="U114" s="383"/>
      <c r="V114" s="383"/>
      <c r="W114" s="383"/>
      <c r="X114" s="383"/>
      <c r="Y114" s="419" t="str">
        <f t="shared" si="15"/>
        <v/>
      </c>
      <c r="Z114" s="74" t="str">
        <f t="shared" si="16"/>
        <v/>
      </c>
      <c r="AA114" s="188"/>
      <c r="AE114" s="186" t="str">
        <f t="shared" si="22"/>
        <v/>
      </c>
      <c r="AF114" s="186" t="str">
        <f t="shared" si="22"/>
        <v/>
      </c>
      <c r="AG114" s="188"/>
      <c r="AH114" s="188">
        <f t="shared" si="23"/>
        <v>0</v>
      </c>
    </row>
    <row r="115" spans="2:34" x14ac:dyDescent="0.25">
      <c r="B115" s="51" t="str">
        <f t="shared" si="17"/>
        <v/>
      </c>
      <c r="C115" s="241" t="str">
        <f>IF('תנאי סף'!AO115&lt;&gt;1,"",'תנאי סף'!F115)</f>
        <v/>
      </c>
      <c r="D115" s="325" t="str">
        <f>'הרכב חברי הוועדה'!Z115</f>
        <v/>
      </c>
      <c r="E115" s="322"/>
      <c r="F115" s="266"/>
      <c r="G115" s="267" t="str">
        <f t="shared" si="14"/>
        <v/>
      </c>
      <c r="H115" s="426"/>
      <c r="I115" s="426" t="str">
        <f t="shared" si="18"/>
        <v/>
      </c>
      <c r="J115" s="426" t="str">
        <f t="shared" si="19"/>
        <v/>
      </c>
      <c r="K115" s="426" t="str">
        <f t="shared" si="20"/>
        <v/>
      </c>
      <c r="L115" s="426" t="str">
        <f t="shared" si="21"/>
        <v/>
      </c>
      <c r="M115" s="383"/>
      <c r="N115" s="383"/>
      <c r="O115" s="383"/>
      <c r="P115" s="383"/>
      <c r="Q115" s="383"/>
      <c r="R115" s="383"/>
      <c r="S115" s="383"/>
      <c r="T115" s="383"/>
      <c r="U115" s="383"/>
      <c r="V115" s="383"/>
      <c r="W115" s="383"/>
      <c r="X115" s="383"/>
      <c r="Y115" s="419" t="str">
        <f t="shared" si="15"/>
        <v/>
      </c>
      <c r="Z115" s="74" t="str">
        <f t="shared" si="16"/>
        <v/>
      </c>
      <c r="AA115" s="188"/>
      <c r="AE115" s="186" t="str">
        <f t="shared" si="22"/>
        <v/>
      </c>
      <c r="AF115" s="186" t="str">
        <f t="shared" si="22"/>
        <v/>
      </c>
      <c r="AG115" s="188"/>
      <c r="AH115" s="188">
        <f t="shared" si="23"/>
        <v>0</v>
      </c>
    </row>
    <row r="116" spans="2:34" x14ac:dyDescent="0.25">
      <c r="B116" s="51" t="str">
        <f t="shared" si="17"/>
        <v/>
      </c>
      <c r="C116" s="241" t="str">
        <f>IF('תנאי סף'!AO116&lt;&gt;1,"",'תנאי סף'!F116)</f>
        <v/>
      </c>
      <c r="D116" s="325" t="str">
        <f>'הרכב חברי הוועדה'!Z116</f>
        <v/>
      </c>
      <c r="E116" s="322"/>
      <c r="F116" s="266"/>
      <c r="G116" s="267" t="str">
        <f t="shared" si="14"/>
        <v/>
      </c>
      <c r="H116" s="426"/>
      <c r="I116" s="426" t="str">
        <f t="shared" si="18"/>
        <v/>
      </c>
      <c r="J116" s="426" t="str">
        <f t="shared" si="19"/>
        <v/>
      </c>
      <c r="K116" s="426" t="str">
        <f t="shared" si="20"/>
        <v/>
      </c>
      <c r="L116" s="426" t="str">
        <f t="shared" si="21"/>
        <v/>
      </c>
      <c r="M116" s="383"/>
      <c r="N116" s="383"/>
      <c r="O116" s="383"/>
      <c r="P116" s="383"/>
      <c r="Q116" s="383"/>
      <c r="R116" s="383"/>
      <c r="S116" s="383"/>
      <c r="T116" s="383"/>
      <c r="U116" s="383"/>
      <c r="V116" s="383"/>
      <c r="W116" s="383"/>
      <c r="X116" s="383"/>
      <c r="Y116" s="419" t="str">
        <f t="shared" si="15"/>
        <v/>
      </c>
      <c r="Z116" s="74" t="str">
        <f t="shared" si="16"/>
        <v/>
      </c>
      <c r="AA116" s="188"/>
      <c r="AE116" s="186" t="str">
        <f t="shared" si="22"/>
        <v/>
      </c>
      <c r="AF116" s="186" t="str">
        <f t="shared" si="22"/>
        <v/>
      </c>
      <c r="AG116" s="188"/>
      <c r="AH116" s="188">
        <f t="shared" si="23"/>
        <v>0</v>
      </c>
    </row>
    <row r="117" spans="2:34" x14ac:dyDescent="0.25">
      <c r="B117" s="51" t="str">
        <f t="shared" si="17"/>
        <v/>
      </c>
      <c r="C117" s="241" t="str">
        <f>IF('תנאי סף'!AO117&lt;&gt;1,"",'תנאי סף'!F117)</f>
        <v/>
      </c>
      <c r="D117" s="325" t="str">
        <f>'הרכב חברי הוועדה'!Z117</f>
        <v/>
      </c>
      <c r="E117" s="322"/>
      <c r="F117" s="266"/>
      <c r="G117" s="267" t="str">
        <f t="shared" si="14"/>
        <v/>
      </c>
      <c r="H117" s="426"/>
      <c r="I117" s="426" t="str">
        <f t="shared" si="18"/>
        <v/>
      </c>
      <c r="J117" s="426" t="str">
        <f t="shared" si="19"/>
        <v/>
      </c>
      <c r="K117" s="426" t="str">
        <f t="shared" si="20"/>
        <v/>
      </c>
      <c r="L117" s="426" t="str">
        <f t="shared" si="21"/>
        <v/>
      </c>
      <c r="M117" s="383"/>
      <c r="N117" s="383"/>
      <c r="O117" s="383"/>
      <c r="P117" s="383"/>
      <c r="Q117" s="383"/>
      <c r="R117" s="383"/>
      <c r="S117" s="383"/>
      <c r="T117" s="383"/>
      <c r="U117" s="383"/>
      <c r="V117" s="383"/>
      <c r="W117" s="383"/>
      <c r="X117" s="383"/>
      <c r="Y117" s="419" t="str">
        <f t="shared" si="15"/>
        <v/>
      </c>
      <c r="Z117" s="74" t="str">
        <f t="shared" si="16"/>
        <v/>
      </c>
      <c r="AA117" s="188"/>
      <c r="AE117" s="186" t="str">
        <f t="shared" si="22"/>
        <v/>
      </c>
      <c r="AF117" s="186" t="str">
        <f t="shared" si="22"/>
        <v/>
      </c>
      <c r="AG117" s="188"/>
      <c r="AH117" s="188">
        <f t="shared" si="23"/>
        <v>0</v>
      </c>
    </row>
    <row r="118" spans="2:34" x14ac:dyDescent="0.25">
      <c r="B118" s="51" t="str">
        <f t="shared" si="17"/>
        <v/>
      </c>
      <c r="C118" s="241" t="str">
        <f>IF('תנאי סף'!AO118&lt;&gt;1,"",'תנאי סף'!F118)</f>
        <v/>
      </c>
      <c r="D118" s="325" t="str">
        <f>'הרכב חברי הוועדה'!Z118</f>
        <v/>
      </c>
      <c r="E118" s="322"/>
      <c r="F118" s="266"/>
      <c r="G118" s="267" t="str">
        <f t="shared" si="14"/>
        <v/>
      </c>
      <c r="H118" s="426"/>
      <c r="I118" s="426" t="str">
        <f t="shared" si="18"/>
        <v/>
      </c>
      <c r="J118" s="426" t="str">
        <f t="shared" si="19"/>
        <v/>
      </c>
      <c r="K118" s="426" t="str">
        <f t="shared" si="20"/>
        <v/>
      </c>
      <c r="L118" s="426" t="str">
        <f t="shared" si="21"/>
        <v/>
      </c>
      <c r="M118" s="383"/>
      <c r="N118" s="383"/>
      <c r="O118" s="383"/>
      <c r="P118" s="383"/>
      <c r="Q118" s="383"/>
      <c r="R118" s="383"/>
      <c r="S118" s="383"/>
      <c r="T118" s="383"/>
      <c r="U118" s="383"/>
      <c r="V118" s="383"/>
      <c r="W118" s="383"/>
      <c r="X118" s="383"/>
      <c r="Y118" s="419" t="str">
        <f t="shared" si="15"/>
        <v/>
      </c>
      <c r="Z118" s="74" t="str">
        <f t="shared" si="16"/>
        <v/>
      </c>
      <c r="AA118" s="188"/>
      <c r="AE118" s="186" t="str">
        <f t="shared" si="22"/>
        <v/>
      </c>
      <c r="AF118" s="186" t="str">
        <f t="shared" si="22"/>
        <v/>
      </c>
      <c r="AG118" s="188"/>
      <c r="AH118" s="188">
        <f t="shared" si="23"/>
        <v>0</v>
      </c>
    </row>
    <row r="119" spans="2:34" x14ac:dyDescent="0.25">
      <c r="B119" s="51" t="str">
        <f t="shared" si="17"/>
        <v/>
      </c>
      <c r="C119" s="241" t="str">
        <f>IF('תנאי סף'!AO119&lt;&gt;1,"",'תנאי סף'!F119)</f>
        <v/>
      </c>
      <c r="D119" s="325" t="str">
        <f>'הרכב חברי הוועדה'!Z119</f>
        <v/>
      </c>
      <c r="E119" s="322"/>
      <c r="F119" s="266"/>
      <c r="G119" s="267" t="str">
        <f t="shared" si="14"/>
        <v/>
      </c>
      <c r="H119" s="426"/>
      <c r="I119" s="426" t="str">
        <f t="shared" si="18"/>
        <v/>
      </c>
      <c r="J119" s="426" t="str">
        <f t="shared" si="19"/>
        <v/>
      </c>
      <c r="K119" s="426" t="str">
        <f t="shared" si="20"/>
        <v/>
      </c>
      <c r="L119" s="426" t="str">
        <f t="shared" si="21"/>
        <v/>
      </c>
      <c r="M119" s="383"/>
      <c r="N119" s="383"/>
      <c r="O119" s="383"/>
      <c r="P119" s="383"/>
      <c r="Q119" s="383"/>
      <c r="R119" s="383"/>
      <c r="S119" s="383"/>
      <c r="T119" s="383"/>
      <c r="U119" s="383"/>
      <c r="V119" s="383"/>
      <c r="W119" s="383"/>
      <c r="X119" s="383"/>
      <c r="Y119" s="419" t="str">
        <f t="shared" si="15"/>
        <v/>
      </c>
      <c r="Z119" s="74" t="str">
        <f t="shared" si="16"/>
        <v/>
      </c>
      <c r="AA119" s="188"/>
      <c r="AE119" s="186" t="str">
        <f t="shared" si="22"/>
        <v/>
      </c>
      <c r="AF119" s="186" t="str">
        <f t="shared" si="22"/>
        <v/>
      </c>
      <c r="AG119" s="188"/>
      <c r="AH119" s="188">
        <f t="shared" si="23"/>
        <v>0</v>
      </c>
    </row>
    <row r="120" spans="2:34" x14ac:dyDescent="0.25">
      <c r="B120" s="51" t="str">
        <f t="shared" si="17"/>
        <v/>
      </c>
      <c r="C120" s="241" t="str">
        <f>IF('תנאי סף'!AO120&lt;&gt;1,"",'תנאי סף'!F120)</f>
        <v/>
      </c>
      <c r="D120" s="325" t="str">
        <f>'הרכב חברי הוועדה'!Z120</f>
        <v/>
      </c>
      <c r="E120" s="322"/>
      <c r="F120" s="266"/>
      <c r="G120" s="267" t="str">
        <f t="shared" si="14"/>
        <v/>
      </c>
      <c r="H120" s="426"/>
      <c r="I120" s="426" t="str">
        <f t="shared" si="18"/>
        <v/>
      </c>
      <c r="J120" s="426" t="str">
        <f t="shared" si="19"/>
        <v/>
      </c>
      <c r="K120" s="426" t="str">
        <f t="shared" si="20"/>
        <v/>
      </c>
      <c r="L120" s="426" t="str">
        <f t="shared" si="21"/>
        <v/>
      </c>
      <c r="M120" s="383"/>
      <c r="N120" s="383"/>
      <c r="O120" s="383"/>
      <c r="P120" s="383"/>
      <c r="Q120" s="383"/>
      <c r="R120" s="383"/>
      <c r="S120" s="383"/>
      <c r="T120" s="383"/>
      <c r="U120" s="383"/>
      <c r="V120" s="383"/>
      <c r="W120" s="383"/>
      <c r="X120" s="383"/>
      <c r="Y120" s="419" t="str">
        <f t="shared" si="15"/>
        <v/>
      </c>
      <c r="Z120" s="74" t="str">
        <f t="shared" si="16"/>
        <v/>
      </c>
      <c r="AA120" s="188"/>
      <c r="AE120" s="186" t="str">
        <f t="shared" si="22"/>
        <v/>
      </c>
      <c r="AF120" s="186" t="str">
        <f t="shared" si="22"/>
        <v/>
      </c>
      <c r="AG120" s="188"/>
      <c r="AH120" s="188">
        <f t="shared" si="23"/>
        <v>0</v>
      </c>
    </row>
    <row r="121" spans="2:34" x14ac:dyDescent="0.25">
      <c r="B121" s="51" t="str">
        <f t="shared" si="17"/>
        <v/>
      </c>
      <c r="C121" s="241" t="str">
        <f>IF('תנאי סף'!AO121&lt;&gt;1,"",'תנאי סף'!F121)</f>
        <v/>
      </c>
      <c r="D121" s="325" t="str">
        <f>'הרכב חברי הוועדה'!Z121</f>
        <v/>
      </c>
      <c r="E121" s="322"/>
      <c r="F121" s="266"/>
      <c r="G121" s="267" t="str">
        <f t="shared" si="14"/>
        <v/>
      </c>
      <c r="H121" s="426"/>
      <c r="I121" s="426" t="str">
        <f t="shared" si="18"/>
        <v/>
      </c>
      <c r="J121" s="426" t="str">
        <f t="shared" si="19"/>
        <v/>
      </c>
      <c r="K121" s="426" t="str">
        <f t="shared" si="20"/>
        <v/>
      </c>
      <c r="L121" s="426" t="str">
        <f t="shared" si="21"/>
        <v/>
      </c>
      <c r="M121" s="383"/>
      <c r="N121" s="383"/>
      <c r="O121" s="383"/>
      <c r="P121" s="383"/>
      <c r="Q121" s="383"/>
      <c r="R121" s="383"/>
      <c r="S121" s="383"/>
      <c r="T121" s="383"/>
      <c r="U121" s="383"/>
      <c r="V121" s="383"/>
      <c r="W121" s="383"/>
      <c r="X121" s="383"/>
      <c r="Y121" s="419" t="str">
        <f t="shared" si="15"/>
        <v/>
      </c>
      <c r="Z121" s="74" t="str">
        <f t="shared" si="16"/>
        <v/>
      </c>
      <c r="AA121" s="188"/>
      <c r="AE121" s="186" t="str">
        <f t="shared" si="22"/>
        <v/>
      </c>
      <c r="AF121" s="186" t="str">
        <f t="shared" si="22"/>
        <v/>
      </c>
      <c r="AG121" s="188"/>
      <c r="AH121" s="188">
        <f t="shared" si="23"/>
        <v>0</v>
      </c>
    </row>
    <row r="122" spans="2:34" x14ac:dyDescent="0.25">
      <c r="B122" s="51" t="str">
        <f t="shared" si="17"/>
        <v/>
      </c>
      <c r="C122" s="241" t="str">
        <f>IF('תנאי סף'!AO122&lt;&gt;1,"",'תנאי סף'!F122)</f>
        <v/>
      </c>
      <c r="D122" s="325" t="str">
        <f>'הרכב חברי הוועדה'!Z122</f>
        <v/>
      </c>
      <c r="E122" s="322"/>
      <c r="F122" s="266"/>
      <c r="G122" s="267" t="str">
        <f t="shared" si="14"/>
        <v/>
      </c>
      <c r="H122" s="426"/>
      <c r="I122" s="426" t="str">
        <f t="shared" si="18"/>
        <v/>
      </c>
      <c r="J122" s="426" t="str">
        <f t="shared" si="19"/>
        <v/>
      </c>
      <c r="K122" s="426" t="str">
        <f t="shared" si="20"/>
        <v/>
      </c>
      <c r="L122" s="426" t="str">
        <f t="shared" si="21"/>
        <v/>
      </c>
      <c r="M122" s="383"/>
      <c r="N122" s="383"/>
      <c r="O122" s="383"/>
      <c r="P122" s="383"/>
      <c r="Q122" s="383"/>
      <c r="R122" s="383"/>
      <c r="S122" s="383"/>
      <c r="T122" s="383"/>
      <c r="U122" s="383"/>
      <c r="V122" s="383"/>
      <c r="W122" s="383"/>
      <c r="X122" s="383"/>
      <c r="Y122" s="419" t="str">
        <f t="shared" si="15"/>
        <v/>
      </c>
      <c r="Z122" s="74" t="str">
        <f t="shared" si="16"/>
        <v/>
      </c>
      <c r="AA122" s="188"/>
      <c r="AE122" s="186" t="str">
        <f t="shared" si="22"/>
        <v/>
      </c>
      <c r="AF122" s="186" t="str">
        <f t="shared" si="22"/>
        <v/>
      </c>
      <c r="AG122" s="188"/>
      <c r="AH122" s="188">
        <f t="shared" si="23"/>
        <v>0</v>
      </c>
    </row>
    <row r="123" spans="2:34" x14ac:dyDescent="0.25">
      <c r="B123" s="51" t="str">
        <f t="shared" si="17"/>
        <v/>
      </c>
      <c r="C123" s="241" t="str">
        <f>IF('תנאי סף'!AO123&lt;&gt;1,"",'תנאי סף'!F123)</f>
        <v/>
      </c>
      <c r="D123" s="325" t="str">
        <f>'הרכב חברי הוועדה'!Z123</f>
        <v/>
      </c>
      <c r="E123" s="322"/>
      <c r="F123" s="266"/>
      <c r="G123" s="267" t="str">
        <f t="shared" si="14"/>
        <v/>
      </c>
      <c r="H123" s="426"/>
      <c r="I123" s="426" t="str">
        <f t="shared" si="18"/>
        <v/>
      </c>
      <c r="J123" s="426" t="str">
        <f t="shared" si="19"/>
        <v/>
      </c>
      <c r="K123" s="426" t="str">
        <f t="shared" si="20"/>
        <v/>
      </c>
      <c r="L123" s="426" t="str">
        <f t="shared" si="21"/>
        <v/>
      </c>
      <c r="M123" s="383"/>
      <c r="N123" s="383"/>
      <c r="O123" s="383"/>
      <c r="P123" s="383"/>
      <c r="Q123" s="383"/>
      <c r="R123" s="383"/>
      <c r="S123" s="383"/>
      <c r="T123" s="383"/>
      <c r="U123" s="383"/>
      <c r="V123" s="383"/>
      <c r="W123" s="383"/>
      <c r="X123" s="383"/>
      <c r="Y123" s="419" t="str">
        <f t="shared" si="15"/>
        <v/>
      </c>
      <c r="Z123" s="74" t="str">
        <f t="shared" si="16"/>
        <v/>
      </c>
      <c r="AA123" s="188"/>
      <c r="AE123" s="186" t="str">
        <f t="shared" si="22"/>
        <v/>
      </c>
      <c r="AF123" s="186" t="str">
        <f t="shared" si="22"/>
        <v/>
      </c>
      <c r="AG123" s="188"/>
      <c r="AH123" s="188">
        <f t="shared" si="23"/>
        <v>0</v>
      </c>
    </row>
    <row r="124" spans="2:34" x14ac:dyDescent="0.25">
      <c r="B124" s="51" t="str">
        <f t="shared" si="17"/>
        <v/>
      </c>
      <c r="C124" s="241" t="str">
        <f>IF('תנאי סף'!AO124&lt;&gt;1,"",'תנאי סף'!F124)</f>
        <v/>
      </c>
      <c r="D124" s="325" t="str">
        <f>'הרכב חברי הוועדה'!Z124</f>
        <v/>
      </c>
      <c r="E124" s="322"/>
      <c r="F124" s="266"/>
      <c r="G124" s="267" t="str">
        <f t="shared" si="14"/>
        <v/>
      </c>
      <c r="H124" s="426"/>
      <c r="I124" s="426" t="str">
        <f t="shared" si="18"/>
        <v/>
      </c>
      <c r="J124" s="426" t="str">
        <f t="shared" si="19"/>
        <v/>
      </c>
      <c r="K124" s="426" t="str">
        <f t="shared" si="20"/>
        <v/>
      </c>
      <c r="L124" s="426" t="str">
        <f t="shared" si="21"/>
        <v/>
      </c>
      <c r="M124" s="383"/>
      <c r="N124" s="383"/>
      <c r="O124" s="383"/>
      <c r="P124" s="383"/>
      <c r="Q124" s="383"/>
      <c r="R124" s="383"/>
      <c r="S124" s="383"/>
      <c r="T124" s="383"/>
      <c r="U124" s="383"/>
      <c r="V124" s="383"/>
      <c r="W124" s="383"/>
      <c r="X124" s="383"/>
      <c r="Y124" s="419" t="str">
        <f t="shared" si="15"/>
        <v/>
      </c>
      <c r="Z124" s="74" t="str">
        <f t="shared" si="16"/>
        <v/>
      </c>
      <c r="AA124" s="188"/>
      <c r="AE124" s="186" t="str">
        <f t="shared" si="22"/>
        <v/>
      </c>
      <c r="AF124" s="186" t="str">
        <f t="shared" si="22"/>
        <v/>
      </c>
      <c r="AG124" s="188"/>
      <c r="AH124" s="188">
        <f t="shared" si="23"/>
        <v>0</v>
      </c>
    </row>
    <row r="125" spans="2:34" x14ac:dyDescent="0.25">
      <c r="B125" s="51" t="str">
        <f t="shared" si="17"/>
        <v/>
      </c>
      <c r="C125" s="241" t="str">
        <f>IF('תנאי סף'!AO125&lt;&gt;1,"",'תנאי סף'!F125)</f>
        <v/>
      </c>
      <c r="D125" s="325" t="str">
        <f>'הרכב חברי הוועדה'!Z125</f>
        <v/>
      </c>
      <c r="E125" s="322"/>
      <c r="F125" s="266"/>
      <c r="G125" s="267" t="str">
        <f t="shared" si="14"/>
        <v/>
      </c>
      <c r="H125" s="426"/>
      <c r="I125" s="426" t="str">
        <f t="shared" si="18"/>
        <v/>
      </c>
      <c r="J125" s="426" t="str">
        <f t="shared" si="19"/>
        <v/>
      </c>
      <c r="K125" s="426" t="str">
        <f t="shared" si="20"/>
        <v/>
      </c>
      <c r="L125" s="426" t="str">
        <f t="shared" si="21"/>
        <v/>
      </c>
      <c r="M125" s="383"/>
      <c r="N125" s="383"/>
      <c r="O125" s="383"/>
      <c r="P125" s="383"/>
      <c r="Q125" s="383"/>
      <c r="R125" s="383"/>
      <c r="S125" s="383"/>
      <c r="T125" s="383"/>
      <c r="U125" s="383"/>
      <c r="V125" s="383"/>
      <c r="W125" s="383"/>
      <c r="X125" s="383"/>
      <c r="Y125" s="419" t="str">
        <f t="shared" si="15"/>
        <v/>
      </c>
      <c r="Z125" s="74" t="str">
        <f t="shared" si="16"/>
        <v/>
      </c>
      <c r="AA125" s="188"/>
      <c r="AE125" s="186" t="str">
        <f t="shared" si="22"/>
        <v/>
      </c>
      <c r="AF125" s="186" t="str">
        <f t="shared" si="22"/>
        <v/>
      </c>
      <c r="AG125" s="188"/>
      <c r="AH125" s="188">
        <f t="shared" si="23"/>
        <v>0</v>
      </c>
    </row>
    <row r="126" spans="2:34" x14ac:dyDescent="0.25">
      <c r="B126" s="51" t="str">
        <f t="shared" si="17"/>
        <v/>
      </c>
      <c r="C126" s="241" t="str">
        <f>IF('תנאי סף'!AO126&lt;&gt;1,"",'תנאי סף'!F126)</f>
        <v/>
      </c>
      <c r="D126" s="325" t="str">
        <f>'הרכב חברי הוועדה'!Z126</f>
        <v/>
      </c>
      <c r="E126" s="322"/>
      <c r="F126" s="266"/>
      <c r="G126" s="267" t="str">
        <f t="shared" si="14"/>
        <v/>
      </c>
      <c r="H126" s="426"/>
      <c r="I126" s="426" t="str">
        <f t="shared" si="18"/>
        <v/>
      </c>
      <c r="J126" s="426" t="str">
        <f t="shared" si="19"/>
        <v/>
      </c>
      <c r="K126" s="426" t="str">
        <f t="shared" si="20"/>
        <v/>
      </c>
      <c r="L126" s="426" t="str">
        <f t="shared" si="21"/>
        <v/>
      </c>
      <c r="M126" s="383"/>
      <c r="N126" s="383"/>
      <c r="O126" s="383"/>
      <c r="P126" s="383"/>
      <c r="Q126" s="383"/>
      <c r="R126" s="383"/>
      <c r="S126" s="383"/>
      <c r="T126" s="383"/>
      <c r="U126" s="383"/>
      <c r="V126" s="383"/>
      <c r="W126" s="383"/>
      <c r="X126" s="383"/>
      <c r="Y126" s="419" t="str">
        <f t="shared" si="15"/>
        <v/>
      </c>
      <c r="Z126" s="74" t="str">
        <f t="shared" si="16"/>
        <v/>
      </c>
      <c r="AA126" s="188"/>
      <c r="AE126" s="186" t="str">
        <f t="shared" si="22"/>
        <v/>
      </c>
      <c r="AF126" s="186" t="str">
        <f t="shared" si="22"/>
        <v/>
      </c>
      <c r="AG126" s="188"/>
      <c r="AH126" s="188">
        <f t="shared" si="23"/>
        <v>0</v>
      </c>
    </row>
    <row r="127" spans="2:34" x14ac:dyDescent="0.25">
      <c r="B127" s="51" t="str">
        <f t="shared" si="17"/>
        <v/>
      </c>
      <c r="C127" s="241" t="str">
        <f>IF('תנאי סף'!AO127&lt;&gt;1,"",'תנאי סף'!F127)</f>
        <v/>
      </c>
      <c r="D127" s="325" t="str">
        <f>'הרכב חברי הוועדה'!Z127</f>
        <v/>
      </c>
      <c r="E127" s="322"/>
      <c r="F127" s="266"/>
      <c r="G127" s="267" t="str">
        <f t="shared" si="14"/>
        <v/>
      </c>
      <c r="H127" s="426"/>
      <c r="I127" s="426" t="str">
        <f t="shared" si="18"/>
        <v/>
      </c>
      <c r="J127" s="426" t="str">
        <f t="shared" si="19"/>
        <v/>
      </c>
      <c r="K127" s="426" t="str">
        <f t="shared" si="20"/>
        <v/>
      </c>
      <c r="L127" s="426" t="str">
        <f t="shared" si="21"/>
        <v/>
      </c>
      <c r="M127" s="383"/>
      <c r="N127" s="383"/>
      <c r="O127" s="383"/>
      <c r="P127" s="383"/>
      <c r="Q127" s="383"/>
      <c r="R127" s="383"/>
      <c r="S127" s="383"/>
      <c r="T127" s="383"/>
      <c r="U127" s="383"/>
      <c r="V127" s="383"/>
      <c r="W127" s="383"/>
      <c r="X127" s="383"/>
      <c r="Y127" s="419" t="str">
        <f t="shared" si="15"/>
        <v/>
      </c>
      <c r="Z127" s="74" t="str">
        <f>IF(C127="","",IFERROR(Y127*$C$2,$AH$1))</f>
        <v/>
      </c>
      <c r="AA127" s="188"/>
      <c r="AE127" s="186" t="str">
        <f t="shared" si="22"/>
        <v/>
      </c>
      <c r="AF127" s="186" t="str">
        <f t="shared" si="22"/>
        <v/>
      </c>
      <c r="AG127" s="188"/>
      <c r="AH127" s="188">
        <f t="shared" si="23"/>
        <v>0</v>
      </c>
    </row>
    <row r="128" spans="2:34" x14ac:dyDescent="0.25">
      <c r="B128" s="51" t="str">
        <f t="shared" si="17"/>
        <v/>
      </c>
      <c r="C128" s="241" t="str">
        <f>IF('תנאי סף'!AO128&lt;&gt;1,"",'תנאי סף'!F128)</f>
        <v/>
      </c>
      <c r="D128" s="325" t="str">
        <f>'הרכב חברי הוועדה'!Z128</f>
        <v/>
      </c>
      <c r="E128" s="322"/>
      <c r="F128" s="266"/>
      <c r="G128" s="267" t="str">
        <f t="shared" si="14"/>
        <v/>
      </c>
      <c r="H128" s="426"/>
      <c r="I128" s="426" t="str">
        <f t="shared" si="18"/>
        <v/>
      </c>
      <c r="J128" s="426" t="str">
        <f t="shared" si="19"/>
        <v/>
      </c>
      <c r="K128" s="426" t="str">
        <f t="shared" si="20"/>
        <v/>
      </c>
      <c r="L128" s="426" t="str">
        <f t="shared" si="21"/>
        <v/>
      </c>
      <c r="M128" s="383"/>
      <c r="N128" s="383"/>
      <c r="O128" s="383"/>
      <c r="P128" s="383"/>
      <c r="Q128" s="383"/>
      <c r="R128" s="383"/>
      <c r="S128" s="383"/>
      <c r="T128" s="383"/>
      <c r="U128" s="383"/>
      <c r="V128" s="383"/>
      <c r="W128" s="383"/>
      <c r="X128" s="383"/>
      <c r="Y128" s="419" t="str">
        <f t="shared" si="15"/>
        <v/>
      </c>
      <c r="Z128" s="74" t="str">
        <f>IF(C128="","",IFERROR(Y128*$C$2,$AH$1))</f>
        <v/>
      </c>
      <c r="AA128" s="188"/>
      <c r="AE128" s="186" t="str">
        <f t="shared" si="22"/>
        <v/>
      </c>
      <c r="AF128" s="186" t="str">
        <f t="shared" si="22"/>
        <v/>
      </c>
      <c r="AG128" s="188"/>
      <c r="AH128" s="188">
        <f t="shared" si="23"/>
        <v>0</v>
      </c>
    </row>
    <row r="129" spans="2:34" x14ac:dyDescent="0.25">
      <c r="B129" s="51" t="str">
        <f t="shared" si="17"/>
        <v/>
      </c>
      <c r="C129" s="241" t="str">
        <f>IF('תנאי סף'!AO129&lt;&gt;1,"",'תנאי סף'!F129)</f>
        <v/>
      </c>
      <c r="D129" s="325" t="str">
        <f>'הרכב חברי הוועדה'!Z129</f>
        <v/>
      </c>
      <c r="E129" s="322"/>
      <c r="F129" s="266"/>
      <c r="G129" s="267" t="str">
        <f t="shared" si="14"/>
        <v/>
      </c>
      <c r="H129" s="426"/>
      <c r="I129" s="426" t="str">
        <f t="shared" si="18"/>
        <v/>
      </c>
      <c r="J129" s="426" t="str">
        <f t="shared" si="19"/>
        <v/>
      </c>
      <c r="K129" s="426" t="str">
        <f t="shared" si="20"/>
        <v/>
      </c>
      <c r="L129" s="426" t="str">
        <f t="shared" si="21"/>
        <v/>
      </c>
      <c r="M129" s="383"/>
      <c r="N129" s="383"/>
      <c r="O129" s="383"/>
      <c r="P129" s="383"/>
      <c r="Q129" s="383"/>
      <c r="R129" s="383"/>
      <c r="S129" s="383"/>
      <c r="T129" s="383"/>
      <c r="U129" s="383"/>
      <c r="V129" s="383"/>
      <c r="W129" s="383"/>
      <c r="X129" s="383"/>
      <c r="Y129" s="419" t="str">
        <f t="shared" si="15"/>
        <v/>
      </c>
      <c r="Z129" s="74" t="str">
        <f>IF(C129="","",IFERROR(Y129*$C$2,$AH$1))</f>
        <v/>
      </c>
      <c r="AA129" s="188"/>
      <c r="AE129" s="186" t="str">
        <f t="shared" si="22"/>
        <v/>
      </c>
      <c r="AF129" s="186" t="str">
        <f t="shared" si="22"/>
        <v/>
      </c>
      <c r="AG129" s="188"/>
      <c r="AH129" s="188">
        <f t="shared" si="23"/>
        <v>0</v>
      </c>
    </row>
    <row r="130" spans="2:34" ht="16.5" thickBot="1" x14ac:dyDescent="0.3">
      <c r="B130" s="51" t="str">
        <f t="shared" si="17"/>
        <v/>
      </c>
      <c r="C130" s="241" t="str">
        <f>IF('תנאי סף'!AO130&lt;&gt;1,"",'תנאי סף'!F130)</f>
        <v/>
      </c>
      <c r="D130" s="318" t="str">
        <f>'הרכב חברי הוועדה'!Z130</f>
        <v/>
      </c>
      <c r="E130" s="322"/>
      <c r="F130" s="266"/>
      <c r="G130" s="267" t="str">
        <f t="shared" si="14"/>
        <v/>
      </c>
      <c r="H130" s="426"/>
      <c r="I130" s="426" t="str">
        <f t="shared" si="18"/>
        <v/>
      </c>
      <c r="J130" s="426" t="str">
        <f t="shared" si="19"/>
        <v/>
      </c>
      <c r="K130" s="426" t="str">
        <f t="shared" si="20"/>
        <v/>
      </c>
      <c r="L130" s="426" t="str">
        <f t="shared" si="21"/>
        <v/>
      </c>
      <c r="M130" s="383"/>
      <c r="N130" s="383"/>
      <c r="O130" s="383"/>
      <c r="P130" s="383"/>
      <c r="Q130" s="383"/>
      <c r="R130" s="383"/>
      <c r="S130" s="383"/>
      <c r="T130" s="383"/>
      <c r="U130" s="383"/>
      <c r="V130" s="383"/>
      <c r="W130" s="383"/>
      <c r="X130" s="383"/>
      <c r="Y130" s="419" t="str">
        <f t="shared" si="15"/>
        <v/>
      </c>
      <c r="Z130" s="74" t="str">
        <f>IF(C130="","",IFERROR(Y130*$C$2,$AH$1))</f>
        <v/>
      </c>
      <c r="AA130" s="188"/>
      <c r="AE130" s="186" t="str">
        <f t="shared" si="22"/>
        <v/>
      </c>
      <c r="AF130" s="186" t="str">
        <f t="shared" si="22"/>
        <v/>
      </c>
      <c r="AG130" s="188"/>
      <c r="AH130" s="188">
        <f t="shared" si="23"/>
        <v>0</v>
      </c>
    </row>
    <row r="131" spans="2:34" ht="16.5" thickBot="1" x14ac:dyDescent="0.3">
      <c r="B131" s="587" t="s">
        <v>77</v>
      </c>
      <c r="C131" s="604"/>
      <c r="D131" s="75">
        <f t="shared" ref="D131:L131" si="24">SUM(D31:D130)</f>
        <v>3076367</v>
      </c>
      <c r="E131" s="76">
        <f t="shared" si="24"/>
        <v>0</v>
      </c>
      <c r="F131" s="9">
        <f t="shared" si="24"/>
        <v>0</v>
      </c>
      <c r="G131" s="9">
        <f t="shared" si="24"/>
        <v>35</v>
      </c>
      <c r="H131" s="9">
        <f t="shared" si="24"/>
        <v>0</v>
      </c>
      <c r="I131" s="9">
        <f t="shared" si="24"/>
        <v>3076367</v>
      </c>
      <c r="J131" s="9">
        <f t="shared" si="24"/>
        <v>0</v>
      </c>
      <c r="K131" s="9">
        <f t="shared" si="24"/>
        <v>0</v>
      </c>
      <c r="L131" s="9">
        <f t="shared" si="24"/>
        <v>3076367</v>
      </c>
      <c r="M131" s="78"/>
      <c r="N131" s="78"/>
      <c r="O131" s="78"/>
      <c r="P131" s="78"/>
      <c r="Q131" s="78"/>
      <c r="R131" s="78"/>
      <c r="S131" s="78"/>
      <c r="T131" s="78"/>
      <c r="U131" s="78"/>
      <c r="V131" s="78"/>
      <c r="W131" s="78"/>
      <c r="X131" s="78"/>
      <c r="Y131" s="77">
        <f>SUM(Y31:Y130)</f>
        <v>0.99999999999999956</v>
      </c>
      <c r="Z131" s="79">
        <f>SUM(Z31:Z130)</f>
        <v>3076367</v>
      </c>
    </row>
  </sheetData>
  <sheetProtection algorithmName="SHA-512" hashValue="Ed5VEJT6UX5XYtakt/l+r8Sz7UKFCX3cbOGI9+nKmLZr0nkUbzviFGGEF03mJThRf4XOGUwdjM6azx6yZcgQ5A==" saltValue="udL9DUDpYTB66+FdsMHf5g==" spinCount="100000" sheet="1" scenarios="1" formatCells="0" formatColumns="0" formatRows="0" autoFilter="0"/>
  <mergeCells count="14">
    <mergeCell ref="L29:L30"/>
    <mergeCell ref="Y29:Y30"/>
    <mergeCell ref="Z29:Z30"/>
    <mergeCell ref="B131:C131"/>
    <mergeCell ref="C6:D6"/>
    <mergeCell ref="B28:Z28"/>
    <mergeCell ref="B29:B30"/>
    <mergeCell ref="C29:C30"/>
    <mergeCell ref="D29:D30"/>
    <mergeCell ref="G29:G30"/>
    <mergeCell ref="H29:H30"/>
    <mergeCell ref="I29:I30"/>
    <mergeCell ref="J29:J30"/>
    <mergeCell ref="K29:K30"/>
  </mergeCells>
  <conditionalFormatting sqref="B31:Z130">
    <cfRule type="expression" dxfId="68" priority="1" stopIfTrue="1">
      <formula>AND($C31="",B31&lt;&gt;"")</formula>
    </cfRule>
    <cfRule type="expression" dxfId="67" priority="2">
      <formula>$C31=""</formula>
    </cfRule>
    <cfRule type="expression" dxfId="66" priority="3">
      <formula>B$30&lt;&gt;""</formula>
    </cfRule>
  </conditionalFormatting>
  <conditionalFormatting sqref="C1:C2">
    <cfRule type="containsBlanks" dxfId="65" priority="22">
      <formula>LEN(TRIM(C1))=0</formula>
    </cfRule>
  </conditionalFormatting>
  <conditionalFormatting sqref="E6">
    <cfRule type="containsBlanks" dxfId="64" priority="18">
      <formula>LEN(TRIM(E6))=0</formula>
    </cfRule>
  </conditionalFormatting>
  <conditionalFormatting sqref="G6">
    <cfRule type="containsBlanks" dxfId="63" priority="17">
      <formula>LEN(TRIM(G6))=0</formula>
    </cfRule>
  </conditionalFormatting>
  <dataValidations count="2">
    <dataValidation type="decimal" operator="greaterThanOrEqual" allowBlank="1" showInputMessage="1" showErrorMessage="1" errorTitle="טעות הזנה." error="נדרש להזין מספר גדול או שווה ל-0" sqref="E31:E130" xr:uid="{00000000-0002-0000-1400-000000000000}">
      <formula1>0</formula1>
    </dataValidation>
    <dataValidation type="list" allowBlank="1" showInputMessage="1" showErrorMessage="1" error="יש להזין 0 או 1 _x000a_0  = לא זכאי להגנה_x000a_1 - זכאי להגנה" sqref="F31:F130" xr:uid="{00000000-0002-0000-1400-000001000000}">
      <formula1>$AE31:$AF31</formula1>
    </dataValidation>
  </dataValidations>
  <printOptions horizontalCentered="1"/>
  <pageMargins left="0.51181102362204722" right="0.35433070866141736" top="0.55000000000000004" bottom="0.48" header="0.31496062992125984" footer="0.18"/>
  <pageSetup paperSize="9" scale="67" fitToHeight="2"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0A9E5280-DC4A-4A32-BFE3-FABD2B6C8592}">
            <xm:f>NOT(ISERROR(SEARCH($AH$1,B31)))</xm:f>
            <xm:f>$AH$1</xm:f>
            <x14:dxf>
              <fill>
                <patternFill>
                  <bgColor rgb="FFFF0000"/>
                </patternFill>
              </fill>
            </x14:dxf>
          </x14:cfRule>
          <xm:sqref>B31:Z130</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theme="4" tint="-0.249977111117893"/>
  </sheetPr>
  <dimension ref="A1:AI131"/>
  <sheetViews>
    <sheetView rightToLeft="1" view="pageBreakPreview" topLeftCell="B1" zoomScale="80" zoomScaleNormal="100" zoomScaleSheetLayoutView="80" workbookViewId="0">
      <pane ySplit="30" topLeftCell="A31" activePane="bottomLeft" state="frozen"/>
      <selection activeCell="G58" sqref="G58"/>
      <selection pane="bottomLeft" activeCell="B31" sqref="B31"/>
    </sheetView>
  </sheetViews>
  <sheetFormatPr defaultColWidth="9" defaultRowHeight="12.75" x14ac:dyDescent="0.2"/>
  <cols>
    <col min="1" max="1" width="3.42578125" style="186" hidden="1" customWidth="1"/>
    <col min="2" max="2" width="8.7109375" style="186" customWidth="1"/>
    <col min="3" max="3" width="37.7109375" style="186" bestFit="1" customWidth="1"/>
    <col min="4" max="4" width="15.140625" style="186" customWidth="1"/>
    <col min="5" max="5" width="15.28515625" style="186" customWidth="1"/>
    <col min="6" max="6" width="16" style="293" customWidth="1"/>
    <col min="7" max="7" width="16.42578125" style="186" customWidth="1"/>
    <col min="8" max="8" width="19.5703125" style="186" customWidth="1"/>
    <col min="9" max="9" width="19.85546875" style="186" bestFit="1" customWidth="1"/>
    <col min="10" max="10" width="15.7109375" style="186" customWidth="1"/>
    <col min="11" max="11" width="13.7109375" style="186" customWidth="1"/>
    <col min="12" max="25" width="4.28515625" style="186" hidden="1" customWidth="1"/>
    <col min="26" max="26" width="15.85546875" style="186" customWidth="1"/>
    <col min="27" max="27" width="9" style="186" hidden="1" customWidth="1"/>
    <col min="28" max="33" width="0" style="186" hidden="1" customWidth="1"/>
    <col min="34" max="34" width="9" style="186" hidden="1" customWidth="1"/>
    <col min="35" max="200" width="0" style="186" hidden="1" customWidth="1"/>
    <col min="201" max="16384" width="9" style="186"/>
  </cols>
  <sheetData>
    <row r="1" spans="2:35" ht="18.75" x14ac:dyDescent="0.2">
      <c r="B1" s="249" t="str">
        <f>'פרמטרים לעקרונות חישוב התמיכה'!$B$1</f>
        <v>שנה</v>
      </c>
      <c r="C1" s="1">
        <f>'פרמטרים לעקרונות חישוב התמיכה'!$C$1</f>
        <v>2025</v>
      </c>
      <c r="E1" s="37"/>
      <c r="F1" s="186"/>
      <c r="AG1" s="186" t="s">
        <v>330</v>
      </c>
      <c r="AH1" s="186" t="s">
        <v>115</v>
      </c>
      <c r="AI1" s="186" t="s">
        <v>331</v>
      </c>
    </row>
    <row r="2" spans="2:35" ht="19.5" thickBot="1" x14ac:dyDescent="0.25">
      <c r="B2" s="256" t="str">
        <f>'פרמטרים לעקרונות חישוב התמיכה'!$B$2</f>
        <v>תקציב</v>
      </c>
      <c r="C2" s="2">
        <f>'פרמטרים לעקרונות חישוב התמיכה'!$C$2</f>
        <v>3076367</v>
      </c>
      <c r="E2" s="10"/>
      <c r="F2" s="186"/>
    </row>
    <row r="3" spans="2:35" x14ac:dyDescent="0.2">
      <c r="F3" s="186"/>
    </row>
    <row r="4" spans="2:35" ht="14.25" hidden="1" customHeight="1" x14ac:dyDescent="0.2">
      <c r="F4" s="186"/>
    </row>
    <row r="5" spans="2:35" ht="14.25" hidden="1" customHeight="1" x14ac:dyDescent="0.2">
      <c r="F5" s="186"/>
    </row>
    <row r="6" spans="2:35" ht="14.25" hidden="1" customHeight="1" x14ac:dyDescent="0.2">
      <c r="F6" s="186"/>
    </row>
    <row r="7" spans="2:35" ht="14.25" hidden="1" customHeight="1" x14ac:dyDescent="0.2">
      <c r="F7" s="186"/>
    </row>
    <row r="8" spans="2:35" ht="14.25" hidden="1" customHeight="1" x14ac:dyDescent="0.2">
      <c r="F8" s="186"/>
    </row>
    <row r="9" spans="2:35" ht="14.25" hidden="1" customHeight="1" x14ac:dyDescent="0.2">
      <c r="F9" s="186"/>
    </row>
    <row r="10" spans="2:35" ht="14.25" hidden="1" customHeight="1" x14ac:dyDescent="0.2">
      <c r="F10" s="186"/>
    </row>
    <row r="11" spans="2:35" ht="14.25" hidden="1" customHeight="1" x14ac:dyDescent="0.2">
      <c r="F11" s="186"/>
    </row>
    <row r="12" spans="2:35" ht="14.25" hidden="1" customHeight="1" x14ac:dyDescent="0.2">
      <c r="F12" s="186"/>
    </row>
    <row r="13" spans="2:35" ht="14.25" hidden="1" customHeight="1" x14ac:dyDescent="0.2">
      <c r="F13" s="186"/>
    </row>
    <row r="14" spans="2:35" ht="14.25" hidden="1" customHeight="1" x14ac:dyDescent="0.2">
      <c r="F14" s="186"/>
    </row>
    <row r="15" spans="2:35" ht="14.25" hidden="1" customHeight="1" x14ac:dyDescent="0.2">
      <c r="F15" s="186"/>
    </row>
    <row r="16" spans="2:35" ht="14.25" hidden="1" customHeight="1" x14ac:dyDescent="0.2">
      <c r="F16" s="186"/>
    </row>
    <row r="17" spans="1:26" ht="14.25" hidden="1" customHeight="1" x14ac:dyDescent="0.2">
      <c r="F17" s="186"/>
    </row>
    <row r="18" spans="1:26" ht="14.25" hidden="1" customHeight="1" x14ac:dyDescent="0.2">
      <c r="F18" s="186"/>
    </row>
    <row r="19" spans="1:26" ht="14.25" hidden="1" customHeight="1" x14ac:dyDescent="0.2">
      <c r="F19" s="186"/>
    </row>
    <row r="20" spans="1:26" ht="14.25" hidden="1" customHeight="1" x14ac:dyDescent="0.2">
      <c r="F20" s="186"/>
    </row>
    <row r="21" spans="1:26" ht="14.25" hidden="1" customHeight="1" x14ac:dyDescent="0.2">
      <c r="F21" s="186"/>
    </row>
    <row r="22" spans="1:26" ht="14.25" hidden="1" customHeight="1" x14ac:dyDescent="0.2">
      <c r="F22" s="186"/>
    </row>
    <row r="23" spans="1:26" ht="14.25" hidden="1" customHeight="1" x14ac:dyDescent="0.2">
      <c r="F23" s="186"/>
    </row>
    <row r="24" spans="1:26" ht="14.25" hidden="1" customHeight="1" x14ac:dyDescent="0.2">
      <c r="F24" s="186"/>
    </row>
    <row r="25" spans="1:26" ht="14.25" hidden="1" customHeight="1" x14ac:dyDescent="0.2">
      <c r="F25" s="186"/>
    </row>
    <row r="26" spans="1:26" hidden="1" x14ac:dyDescent="0.2">
      <c r="F26" s="186"/>
    </row>
    <row r="27" spans="1:26" hidden="1" x14ac:dyDescent="0.2">
      <c r="F27" s="186"/>
    </row>
    <row r="28" spans="1:26" ht="19.5" thickBot="1" x14ac:dyDescent="0.35">
      <c r="B28" s="631" t="s">
        <v>332</v>
      </c>
      <c r="C28" s="632"/>
      <c r="D28" s="632"/>
      <c r="E28" s="632"/>
      <c r="F28" s="632"/>
      <c r="G28" s="632"/>
      <c r="H28" s="632"/>
      <c r="I28" s="632"/>
      <c r="J28" s="632"/>
      <c r="K28" s="632"/>
      <c r="L28" s="632"/>
      <c r="M28" s="632"/>
      <c r="N28" s="632"/>
      <c r="O28" s="632"/>
      <c r="P28" s="632"/>
      <c r="Q28" s="632"/>
      <c r="R28" s="632"/>
      <c r="S28" s="632"/>
      <c r="T28" s="632"/>
      <c r="U28" s="632"/>
      <c r="V28" s="632"/>
      <c r="W28" s="632"/>
      <c r="X28" s="632"/>
      <c r="Y28" s="632"/>
      <c r="Z28" s="632"/>
    </row>
    <row r="29" spans="1:26" ht="16.5" customHeight="1" x14ac:dyDescent="0.2">
      <c r="A29" s="291"/>
      <c r="B29" s="600" t="s">
        <v>219</v>
      </c>
      <c r="C29" s="594" t="s">
        <v>133</v>
      </c>
      <c r="D29" s="600" t="s">
        <v>333</v>
      </c>
      <c r="E29" s="600" t="s">
        <v>334</v>
      </c>
      <c r="F29" s="600" t="s">
        <v>335</v>
      </c>
      <c r="G29" s="600" t="s">
        <v>336</v>
      </c>
      <c r="H29" s="602" t="s">
        <v>337</v>
      </c>
      <c r="I29" s="609" t="s">
        <v>338</v>
      </c>
      <c r="J29" s="600" t="s">
        <v>339</v>
      </c>
      <c r="K29" s="600" t="s">
        <v>340</v>
      </c>
      <c r="L29" s="281"/>
      <c r="M29" s="281"/>
      <c r="N29" s="281"/>
      <c r="O29" s="281"/>
      <c r="P29" s="281"/>
      <c r="Q29" s="281"/>
      <c r="R29" s="281"/>
      <c r="S29" s="281"/>
      <c r="T29" s="281"/>
      <c r="U29" s="281"/>
      <c r="V29" s="281"/>
      <c r="W29" s="281"/>
      <c r="X29" s="281"/>
      <c r="Y29" s="281"/>
      <c r="Z29" s="602" t="s">
        <v>341</v>
      </c>
    </row>
    <row r="30" spans="1:26" ht="56.25" customHeight="1" thickBot="1" x14ac:dyDescent="0.25">
      <c r="A30" s="292"/>
      <c r="B30" s="601"/>
      <c r="C30" s="595"/>
      <c r="D30" s="601"/>
      <c r="E30" s="601"/>
      <c r="F30" s="601"/>
      <c r="G30" s="601"/>
      <c r="H30" s="603"/>
      <c r="I30" s="610"/>
      <c r="J30" s="601"/>
      <c r="K30" s="601"/>
      <c r="L30" s="284"/>
      <c r="M30" s="284"/>
      <c r="N30" s="284"/>
      <c r="O30" s="284"/>
      <c r="P30" s="284"/>
      <c r="Q30" s="284"/>
      <c r="R30" s="284"/>
      <c r="S30" s="284"/>
      <c r="T30" s="284"/>
      <c r="U30" s="284"/>
      <c r="V30" s="284"/>
      <c r="W30" s="284"/>
      <c r="X30" s="284"/>
      <c r="Y30" s="284"/>
      <c r="Z30" s="603"/>
    </row>
    <row r="31" spans="1:26" ht="25.5" customHeight="1" x14ac:dyDescent="0.25">
      <c r="B31" s="51">
        <f>IF(C31="","",ROW()-30)</f>
        <v>1</v>
      </c>
      <c r="C31" s="349" t="str">
        <f>IF('תנאי סף'!AO31&lt;&gt;1,"",'תנאי סף'!F31)</f>
        <v>אנסמבל פרץ אליהו</v>
      </c>
      <c r="D31" s="49">
        <f>IF(C31="","",IF(ייצוב!G31="",$AH$1,ייצוב!G31))</f>
        <v>2.9626947354560493E-2</v>
      </c>
      <c r="E31" s="52">
        <f>IF(C31="","",IF(ייצוב!E31="",$AH$1,ייצוב!E31))</f>
        <v>90000</v>
      </c>
      <c r="F31" s="52">
        <f>IF(B31="","",'התחשיב הבסיסי'!AF31)</f>
        <v>115660.8504937465</v>
      </c>
      <c r="G31" s="49">
        <f>IF(C31="","",'תמיכה מינימלית'!Y31)</f>
        <v>3.4064277583186725E-2</v>
      </c>
      <c r="H31" s="53">
        <f>IF(C31="","",'תמיכה מינימלית'!Z31)</f>
        <v>104794.2194357554</v>
      </c>
      <c r="I31" s="54">
        <f>IF($C31="","",'הגבלה לסכום מבוקש (1)'!D31)</f>
        <v>95000</v>
      </c>
      <c r="J31" s="55">
        <f>'הגבלה לסכום מבוקש (2)'!W31</f>
        <v>94999.999999999956</v>
      </c>
      <c r="K31" s="52">
        <f t="shared" ref="K31:K62" si="0">IFERROR(IF(C31="","",J31-E31),$AH$1)</f>
        <v>4999.9999999999563</v>
      </c>
      <c r="L31" s="53"/>
      <c r="M31" s="53"/>
      <c r="N31" s="53"/>
      <c r="O31" s="53"/>
      <c r="P31" s="53"/>
      <c r="Q31" s="53"/>
      <c r="R31" s="53"/>
      <c r="S31" s="53"/>
      <c r="T31" s="53"/>
      <c r="U31" s="53"/>
      <c r="V31" s="53"/>
      <c r="W31" s="53"/>
      <c r="X31" s="53"/>
      <c r="Y31" s="53"/>
      <c r="Z31" s="56">
        <f>IFERROR(IF(C31="","",K31/E31),$AI$1)</f>
        <v>5.5555555555555074E-2</v>
      </c>
    </row>
    <row r="32" spans="1:26" ht="25.5" customHeight="1" x14ac:dyDescent="0.25">
      <c r="B32" s="57" t="str">
        <f t="shared" ref="B32:B95" si="1">IF(C32="","",ROW()-30)</f>
        <v/>
      </c>
      <c r="C32" s="349" t="str">
        <f>IF('תנאי סף'!AO32&lt;&gt;1,"",'תנאי סף'!F32)</f>
        <v/>
      </c>
      <c r="D32" s="49" t="str">
        <f>IF(C32="","",IF(ייצוב!G32="",$AH$1,ייצוב!G32))</f>
        <v/>
      </c>
      <c r="E32" s="52" t="str">
        <f>IF(C32="","",IF(ייצוב!E32="",$AH$1,ייצוב!E32))</f>
        <v/>
      </c>
      <c r="F32" s="52" t="str">
        <f>IF(B32="","",'התחשיב הבסיסי'!AF32)</f>
        <v/>
      </c>
      <c r="G32" s="49" t="str">
        <f>IF(C32="","",'תמיכה מינימלית'!Y32)</f>
        <v/>
      </c>
      <c r="H32" s="53" t="str">
        <f>IF(C32="","",'תמיכה מינימלית'!Z32)</f>
        <v/>
      </c>
      <c r="I32" s="58" t="str">
        <f>IF($C32="","",'הגבלה לסכום מבוקש (1)'!D32)</f>
        <v/>
      </c>
      <c r="J32" s="55" t="str">
        <f>'הגבלה לסכום מבוקש (2)'!W32</f>
        <v/>
      </c>
      <c r="K32" s="431" t="str">
        <f t="shared" si="0"/>
        <v/>
      </c>
      <c r="L32" s="384"/>
      <c r="M32" s="384"/>
      <c r="N32" s="384"/>
      <c r="O32" s="384"/>
      <c r="P32" s="384"/>
      <c r="Q32" s="384"/>
      <c r="R32" s="384"/>
      <c r="S32" s="384"/>
      <c r="T32" s="384"/>
      <c r="U32" s="384"/>
      <c r="V32" s="384"/>
      <c r="W32" s="384"/>
      <c r="X32" s="384"/>
      <c r="Y32" s="384"/>
      <c r="Z32" s="56" t="str">
        <f t="shared" ref="Z32:Z95" si="2">IFERROR(IF(C32="","",K32/E32),$AI$1)</f>
        <v/>
      </c>
    </row>
    <row r="33" spans="2:26" ht="25.5" customHeight="1" x14ac:dyDescent="0.25">
      <c r="B33" s="57" t="str">
        <f t="shared" si="1"/>
        <v/>
      </c>
      <c r="C33" s="349" t="str">
        <f>IF('תנאי סף'!AO33&lt;&gt;1,"",'תנאי סף'!F33)</f>
        <v/>
      </c>
      <c r="D33" s="49" t="str">
        <f>IF(C33="","",IF(ייצוב!G33="",$AH$1,ייצוב!G33))</f>
        <v/>
      </c>
      <c r="E33" s="52" t="str">
        <f>IF(C33="","",IF(ייצוב!E33="",$AH$1,ייצוב!E33))</f>
        <v/>
      </c>
      <c r="F33" s="52" t="str">
        <f>IF(B33="","",'התחשיב הבסיסי'!AF33)</f>
        <v/>
      </c>
      <c r="G33" s="49" t="str">
        <f>IF(C33="","",'תמיכה מינימלית'!Y33)</f>
        <v/>
      </c>
      <c r="H33" s="53" t="str">
        <f>IF(C33="","",'תמיכה מינימלית'!Z33)</f>
        <v/>
      </c>
      <c r="I33" s="58" t="str">
        <f>IF($C33="","",'הגבלה לסכום מבוקש (1)'!D33)</f>
        <v/>
      </c>
      <c r="J33" s="55" t="str">
        <f>'הגבלה לסכום מבוקש (2)'!W33</f>
        <v/>
      </c>
      <c r="K33" s="431" t="str">
        <f t="shared" si="0"/>
        <v/>
      </c>
      <c r="L33" s="384"/>
      <c r="M33" s="384"/>
      <c r="N33" s="384"/>
      <c r="O33" s="384"/>
      <c r="P33" s="384"/>
      <c r="Q33" s="384"/>
      <c r="R33" s="384"/>
      <c r="S33" s="384"/>
      <c r="T33" s="384"/>
      <c r="U33" s="384"/>
      <c r="V33" s="384"/>
      <c r="W33" s="384"/>
      <c r="X33" s="384"/>
      <c r="Y33" s="384"/>
      <c r="Z33" s="56" t="str">
        <f t="shared" si="2"/>
        <v/>
      </c>
    </row>
    <row r="34" spans="2:26" ht="25.5" customHeight="1" x14ac:dyDescent="0.25">
      <c r="B34" s="57">
        <f t="shared" si="1"/>
        <v>4</v>
      </c>
      <c r="C34" s="349" t="str">
        <f>IF('תנאי סף'!AO34&lt;&gt;1,"",'תנאי סף'!F34)</f>
        <v>יניב ד'אור - אנסמבל נאיה</v>
      </c>
      <c r="D34" s="49">
        <f>IF(C34="","",IF(ייצוב!G34="",$AH$1,ייצוב!G34))</f>
        <v>2.1518381051921224E-2</v>
      </c>
      <c r="E34" s="52">
        <f>IF(C34="","",IF(ייצוב!E34="",$AH$1,ייצוב!E34))</f>
        <v>65368</v>
      </c>
      <c r="F34" s="52">
        <f>IF(B34="","",'התחשיב הבסיסי'!AF34)</f>
        <v>69850.922441208066</v>
      </c>
      <c r="G34" s="49">
        <f>IF(C34="","",'תמיכה מינימלית'!Y34)</f>
        <v>2.240971339814201E-2</v>
      </c>
      <c r="H34" s="53">
        <f>IF(C34="","",'תמיכה מינימלית'!Z34)</f>
        <v>68940.502777501941</v>
      </c>
      <c r="I34" s="58">
        <f>IF($C34="","",'הגבלה לסכום מבוקש (1)'!D34)</f>
        <v>65000</v>
      </c>
      <c r="J34" s="55">
        <f>'הגבלה לסכום מבוקש (2)'!W34</f>
        <v>64999.999999999971</v>
      </c>
      <c r="K34" s="431">
        <f t="shared" si="0"/>
        <v>-368.0000000000291</v>
      </c>
      <c r="L34" s="384"/>
      <c r="M34" s="384"/>
      <c r="N34" s="384"/>
      <c r="O34" s="384"/>
      <c r="P34" s="384"/>
      <c r="Q34" s="384"/>
      <c r="R34" s="384"/>
      <c r="S34" s="384"/>
      <c r="T34" s="384"/>
      <c r="U34" s="384"/>
      <c r="V34" s="384"/>
      <c r="W34" s="384"/>
      <c r="X34" s="384"/>
      <c r="Y34" s="384"/>
      <c r="Z34" s="56">
        <f t="shared" si="2"/>
        <v>-5.6296658915681846E-3</v>
      </c>
    </row>
    <row r="35" spans="2:26" ht="25.5" hidden="1" customHeight="1" x14ac:dyDescent="0.25">
      <c r="B35" s="57" t="str">
        <f t="shared" si="1"/>
        <v/>
      </c>
      <c r="C35" s="349" t="str">
        <f>IF('תנאי סף'!AO35&lt;&gt;1,"",'תנאי סף'!F35)</f>
        <v/>
      </c>
      <c r="D35" s="49" t="str">
        <f>IF(C35="","",IF(ייצוב!G35="",$AH$1,ייצוב!G35))</f>
        <v/>
      </c>
      <c r="E35" s="52" t="str">
        <f>IF(C35="","",IF(ייצוב!E35="",$AH$1,ייצוב!E35))</f>
        <v/>
      </c>
      <c r="F35" s="52" t="str">
        <f>IF(B35="","",'התחשיב הבסיסי'!AF35)</f>
        <v/>
      </c>
      <c r="G35" s="49" t="str">
        <f>IF(C35="","",'תמיכה מינימלית'!Y35)</f>
        <v/>
      </c>
      <c r="H35" s="53" t="str">
        <f>IF(C35="","",'תמיכה מינימלית'!Z35)</f>
        <v/>
      </c>
      <c r="I35" s="58" t="str">
        <f>IF($C35="","",'הגבלה לסכום מבוקש (1)'!D35)</f>
        <v/>
      </c>
      <c r="J35" s="55" t="str">
        <f>'הגבלה לסכום מבוקש (2)'!W35</f>
        <v/>
      </c>
      <c r="K35" s="431" t="str">
        <f t="shared" si="0"/>
        <v/>
      </c>
      <c r="L35" s="384"/>
      <c r="M35" s="384"/>
      <c r="N35" s="384"/>
      <c r="O35" s="384"/>
      <c r="P35" s="384"/>
      <c r="Q35" s="384"/>
      <c r="R35" s="384"/>
      <c r="S35" s="384"/>
      <c r="T35" s="384"/>
      <c r="U35" s="384"/>
      <c r="V35" s="384"/>
      <c r="W35" s="384"/>
      <c r="X35" s="384"/>
      <c r="Y35" s="384"/>
      <c r="Z35" s="56" t="str">
        <f t="shared" si="2"/>
        <v/>
      </c>
    </row>
    <row r="36" spans="2:26" ht="25.5" customHeight="1" x14ac:dyDescent="0.25">
      <c r="B36" s="57">
        <f t="shared" si="1"/>
        <v>6</v>
      </c>
      <c r="C36" s="349" t="str">
        <f>IF('תנאי סף'!AO36&lt;&gt;1,"",'תנאי סף'!F36)</f>
        <v>הפרויקט הקאמרי הישראלי</v>
      </c>
      <c r="D36" s="49">
        <f>IF(C36="","",IF(ייצוב!G36="",$AH$1,ייצוב!G36))</f>
        <v>2.8918534124482555E-2</v>
      </c>
      <c r="E36" s="52">
        <f>IF(C36="","",IF(ייצוב!E36="",$AH$1,ייצוב!E36))</f>
        <v>87848</v>
      </c>
      <c r="F36" s="52">
        <f>IF(B36="","",'התחשיב הבסיסי'!AF36)</f>
        <v>73088.966976452968</v>
      </c>
      <c r="G36" s="49">
        <f>IF(C36="","",'תמיכה מינימלית'!Y36)</f>
        <v>2.6692967095939081E-2</v>
      </c>
      <c r="H36" s="53">
        <f>IF(C36="","",'תמיכה מינימלית'!Z36)</f>
        <v>82117.363106032819</v>
      </c>
      <c r="I36" s="58">
        <f>IF($C36="","",'הגבלה לסכום מבוקש (1)'!D36)</f>
        <v>95000</v>
      </c>
      <c r="J36" s="55">
        <f>'הגבלה לסכום מבוקש (2)'!W36</f>
        <v>85314.896794804052</v>
      </c>
      <c r="K36" s="431">
        <f t="shared" si="0"/>
        <v>-2533.1032051959482</v>
      </c>
      <c r="L36" s="384"/>
      <c r="M36" s="384"/>
      <c r="N36" s="384"/>
      <c r="O36" s="384"/>
      <c r="P36" s="384"/>
      <c r="Q36" s="384"/>
      <c r="R36" s="384"/>
      <c r="S36" s="384"/>
      <c r="T36" s="384"/>
      <c r="U36" s="384"/>
      <c r="V36" s="384"/>
      <c r="W36" s="384"/>
      <c r="X36" s="384"/>
      <c r="Y36" s="384"/>
      <c r="Z36" s="56">
        <f t="shared" si="2"/>
        <v>-2.8835069724933389E-2</v>
      </c>
    </row>
    <row r="37" spans="2:26" ht="25.5" customHeight="1" x14ac:dyDescent="0.25">
      <c r="B37" s="57">
        <f t="shared" si="1"/>
        <v>7</v>
      </c>
      <c r="C37" s="349" t="str">
        <f>IF('תנאי סף'!AO37&lt;&gt;1,"",'תנאי סף'!F37)</f>
        <v>מארש דונדורמה</v>
      </c>
      <c r="D37" s="49">
        <f>IF(C37="","",IF(ייצוב!G37="",$AH$1,ייצוב!G37))</f>
        <v>4.2794479512142936E-2</v>
      </c>
      <c r="E37" s="52">
        <f>IF(C37="","",IF(ייצוב!E37="",$AH$1,ייצוב!E37))</f>
        <v>130000</v>
      </c>
      <c r="F37" s="52">
        <f>IF(B37="","",'התחשיב הבסיסי'!AF37)</f>
        <v>138505.62598915596</v>
      </c>
      <c r="G37" s="49">
        <f>IF(C37="","",'תמיכה מינימלית'!Y37)</f>
        <v>4.4499616351688906E-2</v>
      </c>
      <c r="H37" s="53">
        <f>IF(C37="","",'תמיכה מינימלית'!Z37)</f>
        <v>136897.15125699615</v>
      </c>
      <c r="I37" s="58">
        <f>IF($C37="","",'הגבלה לסכום מבוקש (1)'!D37)</f>
        <v>130000</v>
      </c>
      <c r="J37" s="55">
        <f>'הגבלה לסכום מבוקש (2)'!W37</f>
        <v>129999.99999999994</v>
      </c>
      <c r="K37" s="431">
        <f t="shared" si="0"/>
        <v>-5.8207660913467407E-11</v>
      </c>
      <c r="L37" s="384"/>
      <c r="M37" s="384"/>
      <c r="N37" s="384"/>
      <c r="O37" s="384"/>
      <c r="P37" s="384"/>
      <c r="Q37" s="384"/>
      <c r="R37" s="384"/>
      <c r="S37" s="384"/>
      <c r="T37" s="384"/>
      <c r="U37" s="384"/>
      <c r="V37" s="384"/>
      <c r="W37" s="384"/>
      <c r="X37" s="384"/>
      <c r="Y37" s="384"/>
      <c r="Z37" s="56">
        <f t="shared" si="2"/>
        <v>-4.4775123779590311E-16</v>
      </c>
    </row>
    <row r="38" spans="2:26" ht="25.5" customHeight="1" x14ac:dyDescent="0.25">
      <c r="B38" s="57">
        <f t="shared" si="1"/>
        <v>8</v>
      </c>
      <c r="C38" s="349" t="str">
        <f>IF('תנאי סף'!AO38&lt;&gt;1,"",'תנאי סף'!F38)</f>
        <v>להקת מורין נהדר</v>
      </c>
      <c r="D38" s="49">
        <f>IF(C38="","",IF(ייצוב!G38="",$AH$1,ייצוב!G38))</f>
        <v>1.2672103760153403E-2</v>
      </c>
      <c r="E38" s="52">
        <f>IF(C38="","",IF(ייצוב!E38="",$AH$1,ייצוב!E38))</f>
        <v>38495</v>
      </c>
      <c r="F38" s="52">
        <f>IF(B38="","",'התחשיב הבסיסי'!AF38)</f>
        <v>23376.354086621737</v>
      </c>
      <c r="G38" s="49">
        <f>IF(C38="","",'תמיכה מינימלית'!Y38)</f>
        <v>1.0271849877679012E-2</v>
      </c>
      <c r="H38" s="53">
        <f>IF(C38="","",'תמיכה מינימלית'!Z38)</f>
        <v>31599.979992645749</v>
      </c>
      <c r="I38" s="58">
        <f>IF($C38="","",'הגבלה לסכום מבוקש (1)'!D38)</f>
        <v>50000</v>
      </c>
      <c r="J38" s="55">
        <f>'הגבלה לסכום מבוקש (2)'!W38</f>
        <v>32830.438409345188</v>
      </c>
      <c r="K38" s="431">
        <f t="shared" si="0"/>
        <v>-5664.5615906548119</v>
      </c>
      <c r="L38" s="384"/>
      <c r="M38" s="384"/>
      <c r="N38" s="384"/>
      <c r="O38" s="384"/>
      <c r="P38" s="384"/>
      <c r="Q38" s="384"/>
      <c r="R38" s="384"/>
      <c r="S38" s="384"/>
      <c r="T38" s="384"/>
      <c r="U38" s="384"/>
      <c r="V38" s="384"/>
      <c r="W38" s="384"/>
      <c r="X38" s="384"/>
      <c r="Y38" s="384"/>
      <c r="Z38" s="56">
        <f t="shared" si="2"/>
        <v>-0.14715058035211875</v>
      </c>
    </row>
    <row r="39" spans="2:26" ht="25.5" hidden="1" customHeight="1" x14ac:dyDescent="0.25">
      <c r="B39" s="57" t="str">
        <f t="shared" si="1"/>
        <v/>
      </c>
      <c r="C39" s="349" t="str">
        <f>IF('תנאי סף'!AO39&lt;&gt;1,"",'תנאי סף'!F39)</f>
        <v/>
      </c>
      <c r="D39" s="49" t="str">
        <f>IF(C39="","",IF(ייצוב!G39="",$AH$1,ייצוב!G39))</f>
        <v/>
      </c>
      <c r="E39" s="52" t="str">
        <f>IF(C39="","",IF(ייצוב!E39="",$AH$1,ייצוב!E39))</f>
        <v/>
      </c>
      <c r="F39" s="52" t="str">
        <f>IF(B39="","",'התחשיב הבסיסי'!AF39)</f>
        <v/>
      </c>
      <c r="G39" s="49" t="str">
        <f>IF(C39="","",'תמיכה מינימלית'!Y39)</f>
        <v/>
      </c>
      <c r="H39" s="53" t="str">
        <f>IF(C39="","",'תמיכה מינימלית'!Z39)</f>
        <v/>
      </c>
      <c r="I39" s="58" t="str">
        <f>IF($C39="","",'הגבלה לסכום מבוקש (1)'!D39)</f>
        <v/>
      </c>
      <c r="J39" s="55" t="str">
        <f>'הגבלה לסכום מבוקש (2)'!W39</f>
        <v/>
      </c>
      <c r="K39" s="431" t="str">
        <f t="shared" si="0"/>
        <v/>
      </c>
      <c r="L39" s="384"/>
      <c r="M39" s="384"/>
      <c r="N39" s="384"/>
      <c r="O39" s="384"/>
      <c r="P39" s="384"/>
      <c r="Q39" s="384"/>
      <c r="R39" s="384"/>
      <c r="S39" s="384"/>
      <c r="T39" s="384"/>
      <c r="U39" s="384"/>
      <c r="V39" s="384"/>
      <c r="W39" s="384"/>
      <c r="X39" s="384"/>
      <c r="Y39" s="384"/>
      <c r="Z39" s="56" t="str">
        <f t="shared" si="2"/>
        <v/>
      </c>
    </row>
    <row r="40" spans="2:26" ht="25.5" customHeight="1" x14ac:dyDescent="0.25">
      <c r="B40" s="57">
        <f t="shared" si="1"/>
        <v>10</v>
      </c>
      <c r="C40" s="349" t="str">
        <f>IF('תנאי סף'!AO40&lt;&gt;1,"",'תנאי סף'!F40)</f>
        <v>אנסמבל גלעד אפרת</v>
      </c>
      <c r="D40" s="49">
        <f>IF(C40="","",IF(ייצוב!G40="",$AH$1,ייצוב!G40))</f>
        <v>1.7566804651430734E-2</v>
      </c>
      <c r="E40" s="52">
        <f>IF(C40="","",IF(ייצוב!E40="",$AH$1,ייצוב!E40))</f>
        <v>53364</v>
      </c>
      <c r="F40" s="52">
        <f>IF(B40="","",'התחשיב הבסיסי'!AF40)</f>
        <v>71629.493463397448</v>
      </c>
      <c r="G40" s="49">
        <f>IF(C40="","",'תמיכה מינימלית'!Y40)</f>
        <v>2.0700286780588044E-2</v>
      </c>
      <c r="H40" s="53">
        <f>IF(C40="","",'תמיכה מינימלית'!Z40)</f>
        <v>63681.6791423373</v>
      </c>
      <c r="I40" s="58">
        <f>IF($C40="","",'הגבלה לסכום מבוקש (1)'!D40)</f>
        <v>65000</v>
      </c>
      <c r="J40" s="55">
        <f>'הגבלה לסכום מבוקש (2)'!W40</f>
        <v>64999.999999999971</v>
      </c>
      <c r="K40" s="431">
        <f t="shared" si="0"/>
        <v>11635.999999999971</v>
      </c>
      <c r="L40" s="384"/>
      <c r="M40" s="384"/>
      <c r="N40" s="384"/>
      <c r="O40" s="384"/>
      <c r="P40" s="384"/>
      <c r="Q40" s="384"/>
      <c r="R40" s="384"/>
      <c r="S40" s="384"/>
      <c r="T40" s="384"/>
      <c r="U40" s="384"/>
      <c r="V40" s="384"/>
      <c r="W40" s="384"/>
      <c r="X40" s="384"/>
      <c r="Y40" s="384"/>
      <c r="Z40" s="56">
        <f t="shared" si="2"/>
        <v>0.21804962146765555</v>
      </c>
    </row>
    <row r="41" spans="2:26" ht="25.5" customHeight="1" x14ac:dyDescent="0.25">
      <c r="B41" s="57">
        <f t="shared" si="1"/>
        <v>11</v>
      </c>
      <c r="C41" s="349" t="str">
        <f>IF('תנאי סף'!AO41&lt;&gt;1,"",'תנאי סף'!F41)</f>
        <v>רביעיית כרמל</v>
      </c>
      <c r="D41" s="49">
        <f>IF(C41="","",IF(ייצוב!G41="",$AH$1,ייצוב!G41))</f>
        <v>3.9443671766342142E-2</v>
      </c>
      <c r="E41" s="52">
        <f>IF(C41="","",IF(ייצוב!E41="",$AH$1,ייצוב!E41))</f>
        <v>119821</v>
      </c>
      <c r="F41" s="52">
        <f>IF(B41="","",'התחשיב הבסיסי'!AF41)</f>
        <v>136015.45057223123</v>
      </c>
      <c r="G41" s="49">
        <f>IF(C41="","",'תמיכה מינימלית'!Y41)</f>
        <v>4.2391480829945635E-2</v>
      </c>
      <c r="H41" s="53">
        <f>IF(C41="","",'תמיכה מינימלית'!Z41)</f>
        <v>130411.75270637736</v>
      </c>
      <c r="I41" s="58">
        <f>IF($C41="","",'הגבלה לסכום מבוקש (1)'!D41)</f>
        <v>128000</v>
      </c>
      <c r="J41" s="55">
        <f>'הגבלה לסכום מבוקש (2)'!W41</f>
        <v>127999.99999999994</v>
      </c>
      <c r="K41" s="431">
        <f t="shared" si="0"/>
        <v>8178.9999999999418</v>
      </c>
      <c r="L41" s="384"/>
      <c r="M41" s="384"/>
      <c r="N41" s="384"/>
      <c r="O41" s="384"/>
      <c r="P41" s="384"/>
      <c r="Q41" s="384"/>
      <c r="R41" s="384"/>
      <c r="S41" s="384"/>
      <c r="T41" s="384"/>
      <c r="U41" s="384"/>
      <c r="V41" s="384"/>
      <c r="W41" s="384"/>
      <c r="X41" s="384"/>
      <c r="Y41" s="384"/>
      <c r="Z41" s="56">
        <f t="shared" si="2"/>
        <v>6.8260154730806308E-2</v>
      </c>
    </row>
    <row r="42" spans="2:26" ht="25.5" customHeight="1" x14ac:dyDescent="0.25">
      <c r="B42" s="57">
        <f t="shared" si="1"/>
        <v>12</v>
      </c>
      <c r="C42" s="349" t="str">
        <f>IF('תנאי סף'!AO42&lt;&gt;1,"",'תנאי סף'!F42)</f>
        <v>שורולה</v>
      </c>
      <c r="D42" s="49">
        <f>IF(C42="","",IF(ייצוב!G42="",$AH$1,ייצוב!G42))</f>
        <v>1.1764860794495971E-2</v>
      </c>
      <c r="E42" s="52">
        <f>IF(C42="","",IF(ייצוב!E42="",$AH$1,ייצוב!E42))</f>
        <v>35739</v>
      </c>
      <c r="F42" s="52">
        <f>IF(B42="","",'התחשיב הבסיסי'!AF42)</f>
        <v>39413.96463892288</v>
      </c>
      <c r="G42" s="49">
        <f>IF(C42="","",'תמיכה מינימלית'!Y42)</f>
        <v>1.2453796711568346E-2</v>
      </c>
      <c r="H42" s="53">
        <f>IF(C42="","",'תמיכה מינימלית'!Z42)</f>
        <v>38312.449228177378</v>
      </c>
      <c r="I42" s="58">
        <f>IF($C42="","",'הגבלה לסכום מבוקש (1)'!D42)</f>
        <v>55000</v>
      </c>
      <c r="J42" s="55">
        <f>'הגבלה לסכום מבוקש (2)'!W42</f>
        <v>39804.281679595129</v>
      </c>
      <c r="K42" s="431">
        <f t="shared" si="0"/>
        <v>4065.2816795951294</v>
      </c>
      <c r="L42" s="384"/>
      <c r="M42" s="384"/>
      <c r="N42" s="384"/>
      <c r="O42" s="384"/>
      <c r="P42" s="384"/>
      <c r="Q42" s="384"/>
      <c r="R42" s="384"/>
      <c r="S42" s="384"/>
      <c r="T42" s="384"/>
      <c r="U42" s="384"/>
      <c r="V42" s="384"/>
      <c r="W42" s="384"/>
      <c r="X42" s="384"/>
      <c r="Y42" s="384"/>
      <c r="Z42" s="56">
        <f t="shared" si="2"/>
        <v>0.11374917260122358</v>
      </c>
    </row>
    <row r="43" spans="2:26" ht="25.5" hidden="1" customHeight="1" x14ac:dyDescent="0.25">
      <c r="B43" s="57" t="str">
        <f t="shared" si="1"/>
        <v/>
      </c>
      <c r="C43" s="349" t="str">
        <f>IF('תנאי סף'!AO43&lt;&gt;1,"",'תנאי סף'!F43)</f>
        <v/>
      </c>
      <c r="D43" s="49" t="str">
        <f>IF(C43="","",IF(ייצוב!G43="",$AH$1,ייצוב!G43))</f>
        <v/>
      </c>
      <c r="E43" s="52" t="str">
        <f>IF(C43="","",IF(ייצוב!E43="",$AH$1,ייצוב!E43))</f>
        <v/>
      </c>
      <c r="F43" s="52" t="str">
        <f>IF(B43="","",'התחשיב הבסיסי'!AF43)</f>
        <v/>
      </c>
      <c r="G43" s="49" t="str">
        <f>IF(C43="","",'תמיכה מינימלית'!Y43)</f>
        <v/>
      </c>
      <c r="H43" s="53" t="str">
        <f>IF(C43="","",'תמיכה מינימלית'!Z43)</f>
        <v/>
      </c>
      <c r="I43" s="58" t="str">
        <f>IF($C43="","",'הגבלה לסכום מבוקש (1)'!D43)</f>
        <v/>
      </c>
      <c r="J43" s="55" t="str">
        <f>'הגבלה לסכום מבוקש (2)'!W43</f>
        <v/>
      </c>
      <c r="K43" s="431" t="str">
        <f t="shared" si="0"/>
        <v/>
      </c>
      <c r="L43" s="384"/>
      <c r="M43" s="384"/>
      <c r="N43" s="384"/>
      <c r="O43" s="384"/>
      <c r="P43" s="384"/>
      <c r="Q43" s="384"/>
      <c r="R43" s="384"/>
      <c r="S43" s="384"/>
      <c r="T43" s="384"/>
      <c r="U43" s="384"/>
      <c r="V43" s="384"/>
      <c r="W43" s="384"/>
      <c r="X43" s="384"/>
      <c r="Y43" s="384"/>
      <c r="Z43" s="56" t="str">
        <f t="shared" si="2"/>
        <v/>
      </c>
    </row>
    <row r="44" spans="2:26" ht="25.5" hidden="1" customHeight="1" x14ac:dyDescent="0.25">
      <c r="B44" s="57" t="str">
        <f t="shared" si="1"/>
        <v/>
      </c>
      <c r="C44" s="349" t="str">
        <f>IF('תנאי סף'!AO44&lt;&gt;1,"",'תנאי סף'!F44)</f>
        <v/>
      </c>
      <c r="D44" s="49" t="str">
        <f>IF(C44="","",IF(ייצוב!G44="",$AH$1,ייצוב!G44))</f>
        <v/>
      </c>
      <c r="E44" s="52" t="str">
        <f>IF(C44="","",IF(ייצוב!E44="",$AH$1,ייצוב!E44))</f>
        <v/>
      </c>
      <c r="F44" s="52" t="str">
        <f>IF(B44="","",'התחשיב הבסיסי'!AF44)</f>
        <v/>
      </c>
      <c r="G44" s="49" t="str">
        <f>IF(C44="","",'תמיכה מינימלית'!Y44)</f>
        <v/>
      </c>
      <c r="H44" s="53" t="str">
        <f>IF(C44="","",'תמיכה מינימלית'!Z44)</f>
        <v/>
      </c>
      <c r="I44" s="58" t="str">
        <f>IF($C44="","",'הגבלה לסכום מבוקש (1)'!D44)</f>
        <v/>
      </c>
      <c r="J44" s="55" t="str">
        <f>'הגבלה לסכום מבוקש (2)'!W44</f>
        <v/>
      </c>
      <c r="K44" s="431" t="str">
        <f t="shared" si="0"/>
        <v/>
      </c>
      <c r="L44" s="384"/>
      <c r="M44" s="384"/>
      <c r="N44" s="384"/>
      <c r="O44" s="384"/>
      <c r="P44" s="384"/>
      <c r="Q44" s="384"/>
      <c r="R44" s="384"/>
      <c r="S44" s="384"/>
      <c r="T44" s="384"/>
      <c r="U44" s="384"/>
      <c r="V44" s="384"/>
      <c r="W44" s="384"/>
      <c r="X44" s="384"/>
      <c r="Y44" s="384"/>
      <c r="Z44" s="56" t="str">
        <f t="shared" si="2"/>
        <v/>
      </c>
    </row>
    <row r="45" spans="2:26" ht="25.5" customHeight="1" x14ac:dyDescent="0.25">
      <c r="B45" s="57" t="str">
        <f t="shared" si="1"/>
        <v/>
      </c>
      <c r="C45" s="349" t="str">
        <f>IF('תנאי סף'!AO45&lt;&gt;1,"",'תנאי סף'!F45)</f>
        <v/>
      </c>
      <c r="D45" s="49" t="str">
        <f>IF(C45="","",IF(ייצוב!G45="",$AH$1,ייצוב!G45))</f>
        <v/>
      </c>
      <c r="E45" s="52" t="str">
        <f>IF(C45="","",IF(ייצוב!E45="",$AH$1,ייצוב!E45))</f>
        <v/>
      </c>
      <c r="F45" s="52" t="str">
        <f>IF(B45="","",'התחשיב הבסיסי'!AF45)</f>
        <v/>
      </c>
      <c r="G45" s="49" t="str">
        <f>IF(C45="","",'תמיכה מינימלית'!Y45)</f>
        <v/>
      </c>
      <c r="H45" s="53" t="str">
        <f>IF(C45="","",'תמיכה מינימלית'!Z45)</f>
        <v/>
      </c>
      <c r="I45" s="58" t="str">
        <f>IF($C45="","",'הגבלה לסכום מבוקש (1)'!D45)</f>
        <v/>
      </c>
      <c r="J45" s="55" t="str">
        <f>'הגבלה לסכום מבוקש (2)'!W45</f>
        <v/>
      </c>
      <c r="K45" s="431" t="str">
        <f t="shared" si="0"/>
        <v/>
      </c>
      <c r="L45" s="384"/>
      <c r="M45" s="384"/>
      <c r="N45" s="384"/>
      <c r="O45" s="384"/>
      <c r="P45" s="384"/>
      <c r="Q45" s="384"/>
      <c r="R45" s="384"/>
      <c r="S45" s="384"/>
      <c r="T45" s="384"/>
      <c r="U45" s="384"/>
      <c r="V45" s="384"/>
      <c r="W45" s="384"/>
      <c r="X45" s="384"/>
      <c r="Y45" s="384"/>
      <c r="Z45" s="56" t="str">
        <f t="shared" si="2"/>
        <v/>
      </c>
    </row>
    <row r="46" spans="2:26" ht="25.5" customHeight="1" x14ac:dyDescent="0.25">
      <c r="B46" s="57" t="str">
        <f t="shared" si="1"/>
        <v/>
      </c>
      <c r="C46" s="349" t="str">
        <f>IF('תנאי סף'!AO46&lt;&gt;1,"",'תנאי סף'!F46)</f>
        <v/>
      </c>
      <c r="D46" s="49" t="str">
        <f>IF(C46="","",IF(ייצוב!G46="",$AH$1,ייצוב!G46))</f>
        <v/>
      </c>
      <c r="E46" s="52" t="str">
        <f>IF(C46="","",IF(ייצוב!E46="",$AH$1,ייצוב!E46))</f>
        <v/>
      </c>
      <c r="F46" s="52" t="str">
        <f>IF(B46="","",'התחשיב הבסיסי'!AF46)</f>
        <v/>
      </c>
      <c r="G46" s="49" t="str">
        <f>IF(C46="","",'תמיכה מינימלית'!Y46)</f>
        <v/>
      </c>
      <c r="H46" s="53" t="str">
        <f>IF(C46="","",'תמיכה מינימלית'!Z46)</f>
        <v/>
      </c>
      <c r="I46" s="58" t="str">
        <f>IF($C46="","",'הגבלה לסכום מבוקש (1)'!D46)</f>
        <v/>
      </c>
      <c r="J46" s="55" t="str">
        <f>'הגבלה לסכום מבוקש (2)'!W46</f>
        <v/>
      </c>
      <c r="K46" s="431" t="str">
        <f t="shared" si="0"/>
        <v/>
      </c>
      <c r="L46" s="384"/>
      <c r="M46" s="384"/>
      <c r="N46" s="384"/>
      <c r="O46" s="384"/>
      <c r="P46" s="384"/>
      <c r="Q46" s="384"/>
      <c r="R46" s="384"/>
      <c r="S46" s="384"/>
      <c r="T46" s="384"/>
      <c r="U46" s="384"/>
      <c r="V46" s="384"/>
      <c r="W46" s="384"/>
      <c r="X46" s="384"/>
      <c r="Y46" s="384"/>
      <c r="Z46" s="56" t="str">
        <f t="shared" si="2"/>
        <v/>
      </c>
    </row>
    <row r="47" spans="2:26" ht="25.5" customHeight="1" x14ac:dyDescent="0.25">
      <c r="B47" s="57">
        <f t="shared" si="1"/>
        <v>17</v>
      </c>
      <c r="C47" s="349" t="str">
        <f>IF('תנאי סף'!AO47&lt;&gt;1,"",'תנאי סף'!F47)</f>
        <v>הרכב עמית פרידמן</v>
      </c>
      <c r="D47" s="49">
        <f>IF(C47="","",IF(ייצוב!G47="",$AH$1,ייצוב!G47))</f>
        <v>2.1397239756071468E-2</v>
      </c>
      <c r="E47" s="52">
        <f>IF(C47="","",IF(ייצוב!E47="",$AH$1,ייצוב!E47))</f>
        <v>65000</v>
      </c>
      <c r="F47" s="52">
        <f>IF(B47="","",'התחשיב הבסיסי'!AF47)</f>
        <v>82971.243866289384</v>
      </c>
      <c r="G47" s="49">
        <f>IF(C47="","",'תמיכה מינימלית'!Y47)</f>
        <v>2.4509474112920249E-2</v>
      </c>
      <c r="H47" s="53">
        <f>IF(C47="","",'תמיכה מינימלית'!Z47)</f>
        <v>75400.137348342134</v>
      </c>
      <c r="I47" s="58">
        <f>IF($C47="","",'הגבלה לסכום מבוקש (1)'!D47)</f>
        <v>70000</v>
      </c>
      <c r="J47" s="55">
        <f>'הגבלה לסכום מבוקש (2)'!W47</f>
        <v>69999.999999999956</v>
      </c>
      <c r="K47" s="431">
        <f t="shared" si="0"/>
        <v>4999.9999999999563</v>
      </c>
      <c r="L47" s="384"/>
      <c r="M47" s="384"/>
      <c r="N47" s="384"/>
      <c r="O47" s="384"/>
      <c r="P47" s="384"/>
      <c r="Q47" s="384"/>
      <c r="R47" s="384"/>
      <c r="S47" s="384"/>
      <c r="T47" s="384"/>
      <c r="U47" s="384"/>
      <c r="V47" s="384"/>
      <c r="W47" s="384"/>
      <c r="X47" s="384"/>
      <c r="Y47" s="384"/>
      <c r="Z47" s="56">
        <f t="shared" si="2"/>
        <v>7.6923076923076247E-2</v>
      </c>
    </row>
    <row r="48" spans="2:26" ht="25.5" hidden="1" customHeight="1" x14ac:dyDescent="0.25">
      <c r="B48" s="57" t="str">
        <f t="shared" si="1"/>
        <v/>
      </c>
      <c r="C48" s="349" t="str">
        <f>IF('תנאי סף'!AO48&lt;&gt;1,"",'תנאי סף'!F48)</f>
        <v/>
      </c>
      <c r="D48" s="49" t="str">
        <f>IF(C48="","",IF(ייצוב!G48="",$AH$1,ייצוב!G48))</f>
        <v/>
      </c>
      <c r="E48" s="52" t="str">
        <f>IF(C48="","",IF(ייצוב!E48="",$AH$1,ייצוב!E48))</f>
        <v/>
      </c>
      <c r="F48" s="52" t="str">
        <f>IF(B48="","",'התחשיב הבסיסי'!AF48)</f>
        <v/>
      </c>
      <c r="G48" s="49" t="str">
        <f>IF(C48="","",'תמיכה מינימלית'!Y48)</f>
        <v/>
      </c>
      <c r="H48" s="53" t="str">
        <f>IF(C48="","",'תמיכה מינימלית'!Z48)</f>
        <v/>
      </c>
      <c r="I48" s="58" t="str">
        <f>IF($C48="","",'הגבלה לסכום מבוקש (1)'!D48)</f>
        <v/>
      </c>
      <c r="J48" s="55" t="str">
        <f>'הגבלה לסכום מבוקש (2)'!W48</f>
        <v/>
      </c>
      <c r="K48" s="431" t="str">
        <f t="shared" si="0"/>
        <v/>
      </c>
      <c r="L48" s="384"/>
      <c r="M48" s="384"/>
      <c r="N48" s="384"/>
      <c r="O48" s="384"/>
      <c r="P48" s="384"/>
      <c r="Q48" s="384"/>
      <c r="R48" s="384"/>
      <c r="S48" s="384"/>
      <c r="T48" s="384"/>
      <c r="U48" s="384"/>
      <c r="V48" s="384"/>
      <c r="W48" s="384"/>
      <c r="X48" s="384"/>
      <c r="Y48" s="384"/>
      <c r="Z48" s="56" t="str">
        <f t="shared" si="2"/>
        <v/>
      </c>
    </row>
    <row r="49" spans="2:26" ht="25.5" hidden="1" customHeight="1" x14ac:dyDescent="0.25">
      <c r="B49" s="57" t="str">
        <f t="shared" si="1"/>
        <v/>
      </c>
      <c r="C49" s="349" t="str">
        <f>IF('תנאי סף'!AO49&lt;&gt;1,"",'תנאי סף'!F49)</f>
        <v/>
      </c>
      <c r="D49" s="49" t="str">
        <f>IF(C49="","",IF(ייצוב!G49="",$AH$1,ייצוב!G49))</f>
        <v/>
      </c>
      <c r="E49" s="52" t="str">
        <f>IF(C49="","",IF(ייצוב!E49="",$AH$1,ייצוב!E49))</f>
        <v/>
      </c>
      <c r="F49" s="52" t="str">
        <f>IF(B49="","",'התחשיב הבסיסי'!AF49)</f>
        <v/>
      </c>
      <c r="G49" s="49" t="str">
        <f>IF(C49="","",'תמיכה מינימלית'!Y49)</f>
        <v/>
      </c>
      <c r="H49" s="53" t="str">
        <f>IF(C49="","",'תמיכה מינימלית'!Z49)</f>
        <v/>
      </c>
      <c r="I49" s="58" t="str">
        <f>IF($C49="","",'הגבלה לסכום מבוקש (1)'!D49)</f>
        <v/>
      </c>
      <c r="J49" s="55" t="str">
        <f>'הגבלה לסכום מבוקש (2)'!W49</f>
        <v/>
      </c>
      <c r="K49" s="431" t="str">
        <f t="shared" si="0"/>
        <v/>
      </c>
      <c r="L49" s="384"/>
      <c r="M49" s="384"/>
      <c r="N49" s="384"/>
      <c r="O49" s="384"/>
      <c r="P49" s="384"/>
      <c r="Q49" s="384"/>
      <c r="R49" s="384"/>
      <c r="S49" s="384"/>
      <c r="T49" s="384"/>
      <c r="U49" s="384"/>
      <c r="V49" s="384"/>
      <c r="W49" s="384"/>
      <c r="X49" s="384"/>
      <c r="Y49" s="384"/>
      <c r="Z49" s="56" t="str">
        <f t="shared" si="2"/>
        <v/>
      </c>
    </row>
    <row r="50" spans="2:26" ht="25.5" hidden="1" customHeight="1" x14ac:dyDescent="0.25">
      <c r="B50" s="57" t="str">
        <f t="shared" si="1"/>
        <v/>
      </c>
      <c r="C50" s="349" t="str">
        <f>IF('תנאי סף'!AO50&lt;&gt;1,"",'תנאי סף'!F50)</f>
        <v/>
      </c>
      <c r="D50" s="49" t="str">
        <f>IF(C50="","",IF(ייצוב!G50="",$AH$1,ייצוב!G50))</f>
        <v/>
      </c>
      <c r="E50" s="52" t="str">
        <f>IF(C50="","",IF(ייצוב!E50="",$AH$1,ייצוב!E50))</f>
        <v/>
      </c>
      <c r="F50" s="52" t="str">
        <f>IF(B50="","",'התחשיב הבסיסי'!AF50)</f>
        <v/>
      </c>
      <c r="G50" s="49" t="str">
        <f>IF(C50="","",'תמיכה מינימלית'!Y50)</f>
        <v/>
      </c>
      <c r="H50" s="53" t="str">
        <f>IF(C50="","",'תמיכה מינימלית'!Z50)</f>
        <v/>
      </c>
      <c r="I50" s="58" t="str">
        <f>IF($C50="","",'הגבלה לסכום מבוקש (1)'!D50)</f>
        <v/>
      </c>
      <c r="J50" s="55" t="str">
        <f>'הגבלה לסכום מבוקש (2)'!W50</f>
        <v/>
      </c>
      <c r="K50" s="431" t="str">
        <f t="shared" si="0"/>
        <v/>
      </c>
      <c r="L50" s="384"/>
      <c r="M50" s="384"/>
      <c r="N50" s="384"/>
      <c r="O50" s="384"/>
      <c r="P50" s="384"/>
      <c r="Q50" s="384"/>
      <c r="R50" s="384"/>
      <c r="S50" s="384"/>
      <c r="T50" s="384"/>
      <c r="U50" s="384"/>
      <c r="V50" s="384"/>
      <c r="W50" s="384"/>
      <c r="X50" s="384"/>
      <c r="Y50" s="384"/>
      <c r="Z50" s="56" t="str">
        <f t="shared" si="2"/>
        <v/>
      </c>
    </row>
    <row r="51" spans="2:26" ht="25.5" customHeight="1" x14ac:dyDescent="0.25">
      <c r="B51" s="57">
        <f t="shared" si="1"/>
        <v>21</v>
      </c>
      <c r="C51" s="349" t="str">
        <f>IF('תנאי סף'!AO51&lt;&gt;1,"",'תנאי סף'!F51)</f>
        <v>חמישיית תל אביב לכלי נשיפה</v>
      </c>
      <c r="D51" s="49">
        <f>IF(C51="","",IF(ייצוב!G51="",$AH$1,ייצוב!G51))</f>
        <v>2.6335064315164882E-2</v>
      </c>
      <c r="E51" s="52">
        <f>IF(C51="","",IF(ייצוב!E51="",$AH$1,ייצוב!E51))</f>
        <v>80000</v>
      </c>
      <c r="F51" s="52">
        <f>IF(B51="","",'התחשיב הבסיסי'!AF51)</f>
        <v>119708.57310548451</v>
      </c>
      <c r="G51" s="49">
        <f>IF(C51="","",'תמיכה מינימלית'!Y51)</f>
        <v>3.3062907430663084E-2</v>
      </c>
      <c r="H51" s="53">
        <f>IF(C51="","",'תמיכה מינימלית'!Z51)</f>
        <v>101713.6373437467</v>
      </c>
      <c r="I51" s="58">
        <f>IF($C51="","",'הגבלה לסכום מבוקש (1)'!D51)</f>
        <v>90000</v>
      </c>
      <c r="J51" s="55">
        <f>'הגבלה לסכום מבוקש (2)'!W51</f>
        <v>89999.999999999956</v>
      </c>
      <c r="K51" s="431">
        <f t="shared" si="0"/>
        <v>9999.9999999999563</v>
      </c>
      <c r="L51" s="384"/>
      <c r="M51" s="384"/>
      <c r="N51" s="384"/>
      <c r="O51" s="384"/>
      <c r="P51" s="384"/>
      <c r="Q51" s="384"/>
      <c r="R51" s="384"/>
      <c r="S51" s="384"/>
      <c r="T51" s="384"/>
      <c r="U51" s="384"/>
      <c r="V51" s="384"/>
      <c r="W51" s="384"/>
      <c r="X51" s="384"/>
      <c r="Y51" s="384"/>
      <c r="Z51" s="56">
        <f t="shared" si="2"/>
        <v>0.12499999999999946</v>
      </c>
    </row>
    <row r="52" spans="2:26" ht="25.5" customHeight="1" x14ac:dyDescent="0.25">
      <c r="B52" s="57">
        <f t="shared" si="1"/>
        <v>22</v>
      </c>
      <c r="C52" s="349" t="str">
        <f>IF('תנאי סף'!AO52&lt;&gt;1,"",'תנאי סף'!F52)</f>
        <v>הרכב אקוט</v>
      </c>
      <c r="D52" s="49">
        <f>IF(C52="","",IF(ייצוב!G52="",$AH$1,ייצוב!G52))</f>
        <v>3.6210713433351714E-2</v>
      </c>
      <c r="E52" s="52">
        <f>IF(C52="","",IF(ייצוב!E52="",$AH$1,ייצוב!E52))</f>
        <v>110000</v>
      </c>
      <c r="F52" s="52">
        <f>IF(B52="","",'התחשיב הבסיסי'!AF52)</f>
        <v>122789.80262563286</v>
      </c>
      <c r="G52" s="49">
        <f>IF(C52="","",'תמיכה מינימלית'!Y52)</f>
        <v>3.8574742892509777E-2</v>
      </c>
      <c r="H52" s="53">
        <f>IF(C52="","",'תמיכה מינימלית'!Z52)</f>
        <v>118670.06606800163</v>
      </c>
      <c r="I52" s="58">
        <f>IF($C52="","",'הגבלה לסכום מבוקש (1)'!D52)</f>
        <v>120000</v>
      </c>
      <c r="J52" s="55">
        <f>'הגבלה לסכום מבוקש (2)'!W52</f>
        <v>119999.99999999996</v>
      </c>
      <c r="K52" s="431">
        <f t="shared" si="0"/>
        <v>9999.9999999999563</v>
      </c>
      <c r="L52" s="384"/>
      <c r="M52" s="384"/>
      <c r="N52" s="384"/>
      <c r="O52" s="384"/>
      <c r="P52" s="384"/>
      <c r="Q52" s="384"/>
      <c r="R52" s="384"/>
      <c r="S52" s="384"/>
      <c r="T52" s="384"/>
      <c r="U52" s="384"/>
      <c r="V52" s="384"/>
      <c r="W52" s="384"/>
      <c r="X52" s="384"/>
      <c r="Y52" s="384"/>
      <c r="Z52" s="56">
        <f t="shared" si="2"/>
        <v>9.0909090909090509E-2</v>
      </c>
    </row>
    <row r="53" spans="2:26" ht="25.5" customHeight="1" x14ac:dyDescent="0.25">
      <c r="B53" s="57">
        <f t="shared" si="1"/>
        <v>23</v>
      </c>
      <c r="C53" s="349" t="str">
        <f>IF('תנאי סף'!AO53&lt;&gt;1,"",'תנאי סף'!F53)</f>
        <v>שלישיית עתר</v>
      </c>
      <c r="D53" s="49">
        <f>IF(C53="","",IF(ייצוב!G53="",$AH$1,ייצוב!G53))</f>
        <v>2.3043181275769271E-2</v>
      </c>
      <c r="E53" s="52">
        <f>IF(C53="","",IF(ייצוב!E53="",$AH$1,ייצוב!E53))</f>
        <v>70000</v>
      </c>
      <c r="F53" s="52">
        <f>IF(B53="","",'התחשיב הבסיסי'!AF53)</f>
        <v>89185.024907023675</v>
      </c>
      <c r="G53" s="49">
        <f>IF(C53="","",'תמיכה מינימלית'!Y53)</f>
        <v>2.6367043222531469E-2</v>
      </c>
      <c r="H53" s="53">
        <f>IF(C53="","",'תמיכה מינימלית'!Z53)</f>
        <v>81114.701657369471</v>
      </c>
      <c r="I53" s="58">
        <f>IF($C53="","",'הגבלה לסכום מבוקש (1)'!D53)</f>
        <v>75000</v>
      </c>
      <c r="J53" s="55">
        <f>'הגבלה לסכום מבוקש (2)'!W53</f>
        <v>74999.999999999956</v>
      </c>
      <c r="K53" s="431">
        <f t="shared" si="0"/>
        <v>4999.9999999999563</v>
      </c>
      <c r="L53" s="384"/>
      <c r="M53" s="384"/>
      <c r="N53" s="384"/>
      <c r="O53" s="384"/>
      <c r="P53" s="384"/>
      <c r="Q53" s="384"/>
      <c r="R53" s="384"/>
      <c r="S53" s="384"/>
      <c r="T53" s="384"/>
      <c r="U53" s="384"/>
      <c r="V53" s="384"/>
      <c r="W53" s="384"/>
      <c r="X53" s="384"/>
      <c r="Y53" s="384"/>
      <c r="Z53" s="56">
        <f t="shared" si="2"/>
        <v>7.14285714285708E-2</v>
      </c>
    </row>
    <row r="54" spans="2:26" ht="25.5" customHeight="1" x14ac:dyDescent="0.25">
      <c r="B54" s="57" t="str">
        <f t="shared" si="1"/>
        <v/>
      </c>
      <c r="C54" s="349" t="str">
        <f>IF('תנאי סף'!AO54&lt;&gt;1,"",'תנאי סף'!F54)</f>
        <v/>
      </c>
      <c r="D54" s="49" t="str">
        <f>IF(C54="","",IF(ייצוב!G54="",$AH$1,ייצוב!G54))</f>
        <v/>
      </c>
      <c r="E54" s="52" t="str">
        <f>IF(C54="","",IF(ייצוב!E54="",$AH$1,ייצוב!E54))</f>
        <v/>
      </c>
      <c r="F54" s="52" t="str">
        <f>IF(B54="","",'התחשיב הבסיסי'!AF54)</f>
        <v/>
      </c>
      <c r="G54" s="49" t="str">
        <f>IF(C54="","",'תמיכה מינימלית'!Y54)</f>
        <v/>
      </c>
      <c r="H54" s="53" t="str">
        <f>IF(C54="","",'תמיכה מינימלית'!Z54)</f>
        <v/>
      </c>
      <c r="I54" s="58" t="str">
        <f>IF($C54="","",'הגבלה לסכום מבוקש (1)'!D54)</f>
        <v/>
      </c>
      <c r="J54" s="55" t="str">
        <f>'הגבלה לסכום מבוקש (2)'!W54</f>
        <v/>
      </c>
      <c r="K54" s="431" t="str">
        <f t="shared" si="0"/>
        <v/>
      </c>
      <c r="L54" s="384"/>
      <c r="M54" s="384"/>
      <c r="N54" s="384"/>
      <c r="O54" s="384"/>
      <c r="P54" s="384"/>
      <c r="Q54" s="384"/>
      <c r="R54" s="384"/>
      <c r="S54" s="384"/>
      <c r="T54" s="384"/>
      <c r="U54" s="384"/>
      <c r="V54" s="384"/>
      <c r="W54" s="384"/>
      <c r="X54" s="384"/>
      <c r="Y54" s="384"/>
      <c r="Z54" s="56" t="str">
        <f t="shared" si="2"/>
        <v/>
      </c>
    </row>
    <row r="55" spans="2:26" ht="25.5" hidden="1" customHeight="1" x14ac:dyDescent="0.25">
      <c r="B55" s="57" t="str">
        <f t="shared" si="1"/>
        <v/>
      </c>
      <c r="C55" s="349" t="str">
        <f>IF('תנאי סף'!AO55&lt;&gt;1,"",'תנאי סף'!F55)</f>
        <v/>
      </c>
      <c r="D55" s="49" t="str">
        <f>IF(C55="","",IF(ייצוב!G55="",$AH$1,ייצוב!G55))</f>
        <v/>
      </c>
      <c r="E55" s="52" t="str">
        <f>IF(C55="","",IF(ייצוב!E55="",$AH$1,ייצוב!E55))</f>
        <v/>
      </c>
      <c r="F55" s="52" t="str">
        <f>IF(B55="","",'התחשיב הבסיסי'!AF55)</f>
        <v/>
      </c>
      <c r="G55" s="49" t="str">
        <f>IF(C55="","",'תמיכה מינימלית'!Y55)</f>
        <v/>
      </c>
      <c r="H55" s="53" t="str">
        <f>IF(C55="","",'תמיכה מינימלית'!Z55)</f>
        <v/>
      </c>
      <c r="I55" s="58" t="str">
        <f>IF($C55="","",'הגבלה לסכום מבוקש (1)'!D55)</f>
        <v/>
      </c>
      <c r="J55" s="55" t="str">
        <f>'הגבלה לסכום מבוקש (2)'!W55</f>
        <v/>
      </c>
      <c r="K55" s="431" t="str">
        <f t="shared" si="0"/>
        <v/>
      </c>
      <c r="L55" s="384"/>
      <c r="M55" s="384"/>
      <c r="N55" s="384"/>
      <c r="O55" s="384"/>
      <c r="P55" s="384"/>
      <c r="Q55" s="384"/>
      <c r="R55" s="384"/>
      <c r="S55" s="384"/>
      <c r="T55" s="384"/>
      <c r="U55" s="384"/>
      <c r="V55" s="384"/>
      <c r="W55" s="384"/>
      <c r="X55" s="384"/>
      <c r="Y55" s="384"/>
      <c r="Z55" s="56" t="str">
        <f t="shared" si="2"/>
        <v/>
      </c>
    </row>
    <row r="56" spans="2:26" ht="25.5" customHeight="1" x14ac:dyDescent="0.25">
      <c r="B56" s="57">
        <f t="shared" si="1"/>
        <v>26</v>
      </c>
      <c r="C56" s="349" t="str">
        <f>IF('תנאי סף'!AO56&lt;&gt;1,"",'תנאי סף'!F56)</f>
        <v>אנסמבל מצו</v>
      </c>
      <c r="D56" s="49">
        <f>IF(C56="","",IF(ייצוב!G56="",$AH$1,ייצוב!G56))</f>
        <v>2.4689122795467078E-2</v>
      </c>
      <c r="E56" s="52">
        <f>IF(C56="","",IF(ייצוב!E56="",$AH$1,ייצוב!E56))</f>
        <v>75000</v>
      </c>
      <c r="F56" s="52">
        <f>IF(B56="","",'התחשיב הבסיסי'!AF56)</f>
        <v>104490.5333938034</v>
      </c>
      <c r="G56" s="49">
        <f>IF(C56="","",'תמיכה מינימלית'!Y56)</f>
        <v>2.9722179146534716E-2</v>
      </c>
      <c r="H56" s="53">
        <f>IF(C56="","",'תמיכה מינימלית'!Z56)</f>
        <v>91436.33109448757</v>
      </c>
      <c r="I56" s="58">
        <f>IF($C56="","",'הגבלה לסכום מבוקש (1)'!D56)</f>
        <v>130000</v>
      </c>
      <c r="J56" s="55">
        <f>'הגבלה לסכום מבוקש (2)'!W56</f>
        <v>94996.732183776621</v>
      </c>
      <c r="K56" s="431">
        <f t="shared" si="0"/>
        <v>19996.732183776621</v>
      </c>
      <c r="L56" s="384"/>
      <c r="M56" s="384"/>
      <c r="N56" s="384"/>
      <c r="O56" s="384"/>
      <c r="P56" s="384"/>
      <c r="Q56" s="384"/>
      <c r="R56" s="384"/>
      <c r="S56" s="384"/>
      <c r="T56" s="384"/>
      <c r="U56" s="384"/>
      <c r="V56" s="384"/>
      <c r="W56" s="384"/>
      <c r="X56" s="384"/>
      <c r="Y56" s="384"/>
      <c r="Z56" s="56">
        <f t="shared" si="2"/>
        <v>0.26662309578368826</v>
      </c>
    </row>
    <row r="57" spans="2:26" ht="25.5" customHeight="1" x14ac:dyDescent="0.25">
      <c r="B57" s="57" t="str">
        <f t="shared" si="1"/>
        <v/>
      </c>
      <c r="C57" s="349" t="str">
        <f>IF('תנאי סף'!AO57&lt;&gt;1,"",'תנאי סף'!F57)</f>
        <v/>
      </c>
      <c r="D57" s="49" t="str">
        <f>IF(C57="","",IF(ייצוב!G57="",$AH$1,ייצוב!G57))</f>
        <v/>
      </c>
      <c r="E57" s="52" t="str">
        <f>IF(C57="","",IF(ייצוב!E57="",$AH$1,ייצוב!E57))</f>
        <v/>
      </c>
      <c r="F57" s="52" t="str">
        <f>IF(B57="","",'התחשיב הבסיסי'!AF57)</f>
        <v/>
      </c>
      <c r="G57" s="49" t="str">
        <f>IF(C57="","",'תמיכה מינימלית'!Y57)</f>
        <v/>
      </c>
      <c r="H57" s="53" t="str">
        <f>IF(C57="","",'תמיכה מינימלית'!Z57)</f>
        <v/>
      </c>
      <c r="I57" s="58" t="str">
        <f>IF($C57="","",'הגבלה לסכום מבוקש (1)'!D57)</f>
        <v/>
      </c>
      <c r="J57" s="55" t="str">
        <f>'הגבלה לסכום מבוקש (2)'!W57</f>
        <v/>
      </c>
      <c r="K57" s="431" t="str">
        <f t="shared" si="0"/>
        <v/>
      </c>
      <c r="L57" s="384"/>
      <c r="M57" s="384"/>
      <c r="N57" s="384"/>
      <c r="O57" s="384"/>
      <c r="P57" s="384"/>
      <c r="Q57" s="384"/>
      <c r="R57" s="384"/>
      <c r="S57" s="384"/>
      <c r="T57" s="384"/>
      <c r="U57" s="384"/>
      <c r="V57" s="384"/>
      <c r="W57" s="384"/>
      <c r="X57" s="384"/>
      <c r="Y57" s="384"/>
      <c r="Z57" s="56" t="str">
        <f t="shared" si="2"/>
        <v/>
      </c>
    </row>
    <row r="58" spans="2:26" ht="25.5" customHeight="1" x14ac:dyDescent="0.25">
      <c r="B58" s="57">
        <f t="shared" si="1"/>
        <v>28</v>
      </c>
      <c r="C58" s="349" t="str">
        <f>IF('תנאי סף'!AO58&lt;&gt;1,"",'תנאי סף'!F58)</f>
        <v>תמיכה שותפת- קבוצת מוסיקה נובה</v>
      </c>
      <c r="D58" s="49">
        <f>IF(C58="","",IF(ייצוב!G58="",$AH$1,ייצוב!G58))</f>
        <v>3.0859099176206269E-2</v>
      </c>
      <c r="E58" s="52">
        <f>IF(C58="","",IF(ייצוב!E58="",$AH$1,ייצוב!E58))</f>
        <v>93743</v>
      </c>
      <c r="F58" s="52">
        <f>IF(B58="","",'התחשיב הבסיסי'!AF58)</f>
        <v>76560.578234520246</v>
      </c>
      <c r="G58" s="49">
        <f>IF(C58="","",'תמיכה מינימלית'!Y58)</f>
        <v>2.8248147833048541E-2</v>
      </c>
      <c r="H58" s="53">
        <f>IF(C58="","",'תמיכה מינימלית'!Z58)</f>
        <v>86901.669804712044</v>
      </c>
      <c r="I58" s="58">
        <f>IF($C58="","",'הגבלה לסכום מבוקש (1)'!D58)</f>
        <v>150000</v>
      </c>
      <c r="J58" s="55">
        <f>'הגבלה לסכום מבוקש (2)'!W58</f>
        <v>90285.497612872947</v>
      </c>
      <c r="K58" s="431">
        <f t="shared" si="0"/>
        <v>-3457.5023871270532</v>
      </c>
      <c r="L58" s="384"/>
      <c r="M58" s="384"/>
      <c r="N58" s="384"/>
      <c r="O58" s="384"/>
      <c r="P58" s="384"/>
      <c r="Q58" s="384"/>
      <c r="R58" s="384"/>
      <c r="S58" s="384"/>
      <c r="T58" s="384"/>
      <c r="U58" s="384"/>
      <c r="V58" s="384"/>
      <c r="W58" s="384"/>
      <c r="X58" s="384"/>
      <c r="Y58" s="384"/>
      <c r="Z58" s="56">
        <f t="shared" si="2"/>
        <v>-3.6882779376882044E-2</v>
      </c>
    </row>
    <row r="59" spans="2:26" ht="25.5" hidden="1" customHeight="1" x14ac:dyDescent="0.25">
      <c r="B59" s="57" t="str">
        <f t="shared" si="1"/>
        <v/>
      </c>
      <c r="C59" s="349" t="str">
        <f>IF('תנאי סף'!AO59&lt;&gt;1,"",'תנאי סף'!F59)</f>
        <v/>
      </c>
      <c r="D59" s="49" t="str">
        <f>IF(C59="","",IF(ייצוב!G59="",$AH$1,ייצוב!G59))</f>
        <v/>
      </c>
      <c r="E59" s="52" t="str">
        <f>IF(C59="","",IF(ייצוב!E59="",$AH$1,ייצוב!E59))</f>
        <v/>
      </c>
      <c r="F59" s="52" t="str">
        <f>IF(B59="","",'התחשיב הבסיסי'!AF59)</f>
        <v/>
      </c>
      <c r="G59" s="49" t="str">
        <f>IF(C59="","",'תמיכה מינימלית'!Y59)</f>
        <v/>
      </c>
      <c r="H59" s="53" t="str">
        <f>IF(C59="","",'תמיכה מינימלית'!Z59)</f>
        <v/>
      </c>
      <c r="I59" s="58" t="str">
        <f>IF($C59="","",'הגבלה לסכום מבוקש (1)'!D59)</f>
        <v/>
      </c>
      <c r="J59" s="55" t="str">
        <f>'הגבלה לסכום מבוקש (2)'!W59</f>
        <v/>
      </c>
      <c r="K59" s="431" t="str">
        <f t="shared" si="0"/>
        <v/>
      </c>
      <c r="L59" s="384"/>
      <c r="M59" s="384"/>
      <c r="N59" s="384"/>
      <c r="O59" s="384"/>
      <c r="P59" s="384"/>
      <c r="Q59" s="384"/>
      <c r="R59" s="384"/>
      <c r="S59" s="384"/>
      <c r="T59" s="384"/>
      <c r="U59" s="384"/>
      <c r="V59" s="384"/>
      <c r="W59" s="384"/>
      <c r="X59" s="384"/>
      <c r="Y59" s="384"/>
      <c r="Z59" s="56" t="str">
        <f t="shared" si="2"/>
        <v/>
      </c>
    </row>
    <row r="60" spans="2:26" ht="25.5" hidden="1" customHeight="1" x14ac:dyDescent="0.25">
      <c r="B60" s="57" t="str">
        <f t="shared" si="1"/>
        <v/>
      </c>
      <c r="C60" s="349" t="str">
        <f>IF('תנאי סף'!AO60&lt;&gt;1,"",'תנאי סף'!F60)</f>
        <v/>
      </c>
      <c r="D60" s="49" t="str">
        <f>IF(C60="","",IF(ייצוב!G60="",$AH$1,ייצוב!G60))</f>
        <v/>
      </c>
      <c r="E60" s="52" t="str">
        <f>IF(C60="","",IF(ייצוב!E60="",$AH$1,ייצוב!E60))</f>
        <v/>
      </c>
      <c r="F60" s="52" t="str">
        <f>IF(B60="","",'התחשיב הבסיסי'!AF60)</f>
        <v/>
      </c>
      <c r="G60" s="49" t="str">
        <f>IF(C60="","",'תמיכה מינימלית'!Y60)</f>
        <v/>
      </c>
      <c r="H60" s="53" t="str">
        <f>IF(C60="","",'תמיכה מינימלית'!Z60)</f>
        <v/>
      </c>
      <c r="I60" s="58" t="str">
        <f>IF($C60="","",'הגבלה לסכום מבוקש (1)'!D60)</f>
        <v/>
      </c>
      <c r="J60" s="55" t="str">
        <f>'הגבלה לסכום מבוקש (2)'!W60</f>
        <v/>
      </c>
      <c r="K60" s="431" t="str">
        <f t="shared" si="0"/>
        <v/>
      </c>
      <c r="L60" s="384"/>
      <c r="M60" s="384"/>
      <c r="N60" s="384"/>
      <c r="O60" s="384"/>
      <c r="P60" s="384"/>
      <c r="Q60" s="384"/>
      <c r="R60" s="384"/>
      <c r="S60" s="384"/>
      <c r="T60" s="384"/>
      <c r="U60" s="384"/>
      <c r="V60" s="384"/>
      <c r="W60" s="384"/>
      <c r="X60" s="384"/>
      <c r="Y60" s="384"/>
      <c r="Z60" s="56" t="str">
        <f t="shared" si="2"/>
        <v/>
      </c>
    </row>
    <row r="61" spans="2:26" ht="25.5" hidden="1" customHeight="1" x14ac:dyDescent="0.25">
      <c r="B61" s="57" t="str">
        <f t="shared" si="1"/>
        <v/>
      </c>
      <c r="C61" s="349" t="str">
        <f>IF('תנאי סף'!AO61&lt;&gt;1,"",'תנאי סף'!F61)</f>
        <v/>
      </c>
      <c r="D61" s="49" t="str">
        <f>IF(C61="","",IF(ייצוב!G61="",$AH$1,ייצוב!G61))</f>
        <v/>
      </c>
      <c r="E61" s="52" t="str">
        <f>IF(C61="","",IF(ייצוב!E61="",$AH$1,ייצוב!E61))</f>
        <v/>
      </c>
      <c r="F61" s="52" t="str">
        <f>IF(B61="","",'התחשיב הבסיסי'!AF61)</f>
        <v/>
      </c>
      <c r="G61" s="49" t="str">
        <f>IF(C61="","",'תמיכה מינימלית'!Y61)</f>
        <v/>
      </c>
      <c r="H61" s="53" t="str">
        <f>IF(C61="","",'תמיכה מינימלית'!Z61)</f>
        <v/>
      </c>
      <c r="I61" s="58" t="str">
        <f>IF($C61="","",'הגבלה לסכום מבוקש (1)'!D61)</f>
        <v/>
      </c>
      <c r="J61" s="55" t="str">
        <f>'הגבלה לסכום מבוקש (2)'!W61</f>
        <v/>
      </c>
      <c r="K61" s="431" t="str">
        <f t="shared" si="0"/>
        <v/>
      </c>
      <c r="L61" s="384"/>
      <c r="M61" s="384"/>
      <c r="N61" s="384"/>
      <c r="O61" s="384"/>
      <c r="P61" s="384"/>
      <c r="Q61" s="384"/>
      <c r="R61" s="384"/>
      <c r="S61" s="384"/>
      <c r="T61" s="384"/>
      <c r="U61" s="384"/>
      <c r="V61" s="384"/>
      <c r="W61" s="384"/>
      <c r="X61" s="384"/>
      <c r="Y61" s="384"/>
      <c r="Z61" s="56" t="str">
        <f t="shared" si="2"/>
        <v/>
      </c>
    </row>
    <row r="62" spans="2:26" ht="25.5" hidden="1" customHeight="1" x14ac:dyDescent="0.25">
      <c r="B62" s="57" t="str">
        <f t="shared" si="1"/>
        <v/>
      </c>
      <c r="C62" s="349" t="str">
        <f>IF('תנאי סף'!AO62&lt;&gt;1,"",'תנאי סף'!F62)</f>
        <v/>
      </c>
      <c r="D62" s="49" t="str">
        <f>IF(C62="","",IF(ייצוב!G62="",$AH$1,ייצוב!G62))</f>
        <v/>
      </c>
      <c r="E62" s="52" t="str">
        <f>IF(C62="","",IF(ייצוב!E62="",$AH$1,ייצוב!E62))</f>
        <v/>
      </c>
      <c r="F62" s="52" t="str">
        <f>IF(B62="","",'התחשיב הבסיסי'!AF62)</f>
        <v/>
      </c>
      <c r="G62" s="49" t="str">
        <f>IF(C62="","",'תמיכה מינימלית'!Y62)</f>
        <v/>
      </c>
      <c r="H62" s="53" t="str">
        <f>IF(C62="","",'תמיכה מינימלית'!Z62)</f>
        <v/>
      </c>
      <c r="I62" s="58" t="str">
        <f>IF($C62="","",'הגבלה לסכום מבוקש (1)'!D62)</f>
        <v/>
      </c>
      <c r="J62" s="55" t="str">
        <f>'הגבלה לסכום מבוקש (2)'!W62</f>
        <v/>
      </c>
      <c r="K62" s="431" t="str">
        <f t="shared" si="0"/>
        <v/>
      </c>
      <c r="L62" s="384"/>
      <c r="M62" s="384"/>
      <c r="N62" s="384"/>
      <c r="O62" s="384"/>
      <c r="P62" s="384"/>
      <c r="Q62" s="384"/>
      <c r="R62" s="384"/>
      <c r="S62" s="384"/>
      <c r="T62" s="384"/>
      <c r="U62" s="384"/>
      <c r="V62" s="384"/>
      <c r="W62" s="384"/>
      <c r="X62" s="384"/>
      <c r="Y62" s="384"/>
      <c r="Z62" s="56" t="str">
        <f t="shared" si="2"/>
        <v/>
      </c>
    </row>
    <row r="63" spans="2:26" ht="25.5" hidden="1" customHeight="1" x14ac:dyDescent="0.25">
      <c r="B63" s="57" t="str">
        <f t="shared" si="1"/>
        <v/>
      </c>
      <c r="C63" s="349" t="str">
        <f>IF('תנאי סף'!AO63&lt;&gt;1,"",'תנאי סף'!F63)</f>
        <v/>
      </c>
      <c r="D63" s="49" t="str">
        <f>IF(C63="","",IF(ייצוב!G63="",$AH$1,ייצוב!G63))</f>
        <v/>
      </c>
      <c r="E63" s="52" t="str">
        <f>IF(C63="","",IF(ייצוב!E63="",$AH$1,ייצוב!E63))</f>
        <v/>
      </c>
      <c r="F63" s="52" t="str">
        <f>IF(B63="","",'התחשיב הבסיסי'!AF63)</f>
        <v/>
      </c>
      <c r="G63" s="49" t="str">
        <f>IF(C63="","",'תמיכה מינימלית'!Y63)</f>
        <v/>
      </c>
      <c r="H63" s="53" t="str">
        <f>IF(C63="","",'תמיכה מינימלית'!Z63)</f>
        <v/>
      </c>
      <c r="I63" s="58" t="str">
        <f>IF($C63="","",'הגבלה לסכום מבוקש (1)'!D63)</f>
        <v/>
      </c>
      <c r="J63" s="55" t="str">
        <f>'הגבלה לסכום מבוקש (2)'!W63</f>
        <v/>
      </c>
      <c r="K63" s="431" t="str">
        <f t="shared" ref="K63:K94" si="3">IFERROR(IF(C63="","",J63-E63),$AH$1)</f>
        <v/>
      </c>
      <c r="L63" s="384"/>
      <c r="M63" s="384"/>
      <c r="N63" s="384"/>
      <c r="O63" s="384"/>
      <c r="P63" s="384"/>
      <c r="Q63" s="384"/>
      <c r="R63" s="384"/>
      <c r="S63" s="384"/>
      <c r="T63" s="384"/>
      <c r="U63" s="384"/>
      <c r="V63" s="384"/>
      <c r="W63" s="384"/>
      <c r="X63" s="384"/>
      <c r="Y63" s="384"/>
      <c r="Z63" s="56" t="str">
        <f t="shared" si="2"/>
        <v/>
      </c>
    </row>
    <row r="64" spans="2:26" ht="25.5" hidden="1" customHeight="1" x14ac:dyDescent="0.25">
      <c r="B64" s="57" t="str">
        <f t="shared" si="1"/>
        <v/>
      </c>
      <c r="C64" s="349" t="str">
        <f>IF('תנאי סף'!AO64&lt;&gt;1,"",'תנאי סף'!F64)</f>
        <v/>
      </c>
      <c r="D64" s="49" t="str">
        <f>IF(C64="","",IF(ייצוב!G64="",$AH$1,ייצוב!G64))</f>
        <v/>
      </c>
      <c r="E64" s="52" t="str">
        <f>IF(C64="","",IF(ייצוב!E64="",$AH$1,ייצוב!E64))</f>
        <v/>
      </c>
      <c r="F64" s="52" t="str">
        <f>IF(B64="","",'התחשיב הבסיסי'!AF64)</f>
        <v/>
      </c>
      <c r="G64" s="49" t="str">
        <f>IF(C64="","",'תמיכה מינימלית'!Y64)</f>
        <v/>
      </c>
      <c r="H64" s="53" t="str">
        <f>IF(C64="","",'תמיכה מינימלית'!Z64)</f>
        <v/>
      </c>
      <c r="I64" s="58" t="str">
        <f>IF($C64="","",'הגבלה לסכום מבוקש (1)'!D64)</f>
        <v/>
      </c>
      <c r="J64" s="55" t="str">
        <f>'הגבלה לסכום מבוקש (2)'!W64</f>
        <v/>
      </c>
      <c r="K64" s="431" t="str">
        <f t="shared" si="3"/>
        <v/>
      </c>
      <c r="L64" s="384"/>
      <c r="M64" s="384"/>
      <c r="N64" s="384"/>
      <c r="O64" s="384"/>
      <c r="P64" s="384"/>
      <c r="Q64" s="384"/>
      <c r="R64" s="384"/>
      <c r="S64" s="384"/>
      <c r="T64" s="384"/>
      <c r="U64" s="384"/>
      <c r="V64" s="384"/>
      <c r="W64" s="384"/>
      <c r="X64" s="384"/>
      <c r="Y64" s="384"/>
      <c r="Z64" s="56" t="str">
        <f t="shared" si="2"/>
        <v/>
      </c>
    </row>
    <row r="65" spans="2:26" ht="25.5" customHeight="1" x14ac:dyDescent="0.25">
      <c r="B65" s="57">
        <f t="shared" si="1"/>
        <v>35</v>
      </c>
      <c r="C65" s="349" t="str">
        <f>IF('תנאי סף'!AO65&lt;&gt;1,"",'תנאי סף'!F65)</f>
        <v>אנסמבל מיתר</v>
      </c>
      <c r="D65" s="49">
        <f>IF(C65="","",IF(ייצוב!G65="",$AH$1,ייצוב!G65))</f>
        <v>5.5152208442034056E-2</v>
      </c>
      <c r="E65" s="52">
        <f>IF(C65="","",IF(ייצוב!E65="",$AH$1,ייצוב!E65))</f>
        <v>167540</v>
      </c>
      <c r="F65" s="52">
        <f>IF(B65="","",'התחשיב הבסיסי'!AF65)</f>
        <v>222896.40901361848</v>
      </c>
      <c r="G65" s="49">
        <f>IF(C65="","",'תמיכה מינימלית'!Y65)</f>
        <v>6.5955554279840345E-2</v>
      </c>
      <c r="H65" s="53">
        <f>IF(C65="","",'תמיכה מינימלית'!Z65)</f>
        <v>202903.49065320959</v>
      </c>
      <c r="I65" s="58">
        <f>IF($C65="","",'הגבלה לסכום מבוקש (1)'!D65)</f>
        <v>298738</v>
      </c>
      <c r="J65" s="55">
        <f>'הגבלה לסכום מבוקש (2)'!W65</f>
        <v>210804.2648913592</v>
      </c>
      <c r="K65" s="431">
        <f t="shared" si="3"/>
        <v>43264.264891359198</v>
      </c>
      <c r="L65" s="384"/>
      <c r="M65" s="384"/>
      <c r="N65" s="384"/>
      <c r="O65" s="384"/>
      <c r="P65" s="384"/>
      <c r="Q65" s="384"/>
      <c r="R65" s="384"/>
      <c r="S65" s="384"/>
      <c r="T65" s="384"/>
      <c r="U65" s="384"/>
      <c r="V65" s="384"/>
      <c r="W65" s="384"/>
      <c r="X65" s="384"/>
      <c r="Y65" s="384"/>
      <c r="Z65" s="56">
        <f t="shared" si="2"/>
        <v>0.25823245130332578</v>
      </c>
    </row>
    <row r="66" spans="2:26" ht="25.5" hidden="1" customHeight="1" x14ac:dyDescent="0.25">
      <c r="B66" s="57" t="str">
        <f t="shared" si="1"/>
        <v/>
      </c>
      <c r="C66" s="349" t="str">
        <f>IF('תנאי סף'!AO66&lt;&gt;1,"",'תנאי סף'!F66)</f>
        <v/>
      </c>
      <c r="D66" s="49" t="str">
        <f>IF(C66="","",IF(ייצוב!G66="",$AH$1,ייצוב!G66))</f>
        <v/>
      </c>
      <c r="E66" s="52" t="str">
        <f>IF(C66="","",IF(ייצוב!E66="",$AH$1,ייצוב!E66))</f>
        <v/>
      </c>
      <c r="F66" s="52" t="str">
        <f>IF(B66="","",'התחשיב הבסיסי'!AF66)</f>
        <v/>
      </c>
      <c r="G66" s="49" t="str">
        <f>IF(C66="","",'תמיכה מינימלית'!Y66)</f>
        <v/>
      </c>
      <c r="H66" s="53" t="str">
        <f>IF(C66="","",'תמיכה מינימלית'!Z66)</f>
        <v/>
      </c>
      <c r="I66" s="58" t="str">
        <f>IF($C66="","",'הגבלה לסכום מבוקש (1)'!D66)</f>
        <v/>
      </c>
      <c r="J66" s="55" t="str">
        <f>'הגבלה לסכום מבוקש (2)'!W66</f>
        <v/>
      </c>
      <c r="K66" s="431" t="str">
        <f t="shared" si="3"/>
        <v/>
      </c>
      <c r="L66" s="384"/>
      <c r="M66" s="384"/>
      <c r="N66" s="384"/>
      <c r="O66" s="384"/>
      <c r="P66" s="384"/>
      <c r="Q66" s="384"/>
      <c r="R66" s="384"/>
      <c r="S66" s="384"/>
      <c r="T66" s="384"/>
      <c r="U66" s="384"/>
      <c r="V66" s="384"/>
      <c r="W66" s="384"/>
      <c r="X66" s="384"/>
      <c r="Y66" s="384"/>
      <c r="Z66" s="56" t="str">
        <f t="shared" si="2"/>
        <v/>
      </c>
    </row>
    <row r="67" spans="2:26" ht="25.5" customHeight="1" x14ac:dyDescent="0.25">
      <c r="B67" s="57">
        <f t="shared" si="1"/>
        <v>37</v>
      </c>
      <c r="C67" s="349" t="str">
        <f>IF('תנאי סף'!AO67&lt;&gt;1,"",'תנאי סף'!F67)</f>
        <v>אנסמבל ארז נטף</v>
      </c>
      <c r="D67" s="49">
        <f>IF(C67="","",IF(ייצוב!G67="",$AH$1,ייצוב!G67))</f>
        <v>2.4743768053921044E-2</v>
      </c>
      <c r="E67" s="52">
        <f>IF(C67="","",IF(ייצוב!E67="",$AH$1,ייצוב!E67))</f>
        <v>75166</v>
      </c>
      <c r="F67" s="52">
        <f>IF(B67="","",'התחשיב הבסיסי'!AF67)</f>
        <v>107250.70326735787</v>
      </c>
      <c r="G67" s="49">
        <f>IF(C67="","",'תמיכה מינימלית'!Y67)</f>
        <v>3.0204517964474761E-2</v>
      </c>
      <c r="H67" s="53">
        <f>IF(C67="","",'תמיכה מינימלית'!Z67)</f>
        <v>92920.182316817329</v>
      </c>
      <c r="I67" s="58">
        <f>IF($C67="","",'הגבלה לסכום מבוקש (1)'!D67)</f>
        <v>85000</v>
      </c>
      <c r="J67" s="55">
        <f>'הגבלה לסכום מבוקש (2)'!W67</f>
        <v>84999.999999999956</v>
      </c>
      <c r="K67" s="431">
        <f t="shared" si="3"/>
        <v>9833.9999999999563</v>
      </c>
      <c r="L67" s="384"/>
      <c r="M67" s="384"/>
      <c r="N67" s="384"/>
      <c r="O67" s="384"/>
      <c r="P67" s="384"/>
      <c r="Q67" s="384"/>
      <c r="R67" s="384"/>
      <c r="S67" s="384"/>
      <c r="T67" s="384"/>
      <c r="U67" s="384"/>
      <c r="V67" s="384"/>
      <c r="W67" s="384"/>
      <c r="X67" s="384"/>
      <c r="Y67" s="384"/>
      <c r="Z67" s="56">
        <f t="shared" si="2"/>
        <v>0.1308304286512513</v>
      </c>
    </row>
    <row r="68" spans="2:26" ht="25.5" hidden="1" customHeight="1" x14ac:dyDescent="0.25">
      <c r="B68" s="57" t="str">
        <f t="shared" si="1"/>
        <v/>
      </c>
      <c r="C68" s="349" t="str">
        <f>IF('תנאי סף'!AO68&lt;&gt;1,"",'תנאי סף'!F68)</f>
        <v/>
      </c>
      <c r="D68" s="49" t="str">
        <f>IF(C68="","",IF(ייצוב!G68="",$AH$1,ייצוב!G68))</f>
        <v/>
      </c>
      <c r="E68" s="52" t="str">
        <f>IF(C68="","",IF(ייצוב!E68="",$AH$1,ייצוב!E68))</f>
        <v/>
      </c>
      <c r="F68" s="52" t="str">
        <f>IF(B68="","",'התחשיב הבסיסי'!AF68)</f>
        <v/>
      </c>
      <c r="G68" s="49" t="str">
        <f>IF(C68="","",'תמיכה מינימלית'!Y68)</f>
        <v/>
      </c>
      <c r="H68" s="53" t="str">
        <f>IF(C68="","",'תמיכה מינימלית'!Z68)</f>
        <v/>
      </c>
      <c r="I68" s="58" t="str">
        <f>IF($C68="","",'הגבלה לסכום מבוקש (1)'!D68)</f>
        <v/>
      </c>
      <c r="J68" s="55" t="str">
        <f>'הגבלה לסכום מבוקש (2)'!W68</f>
        <v/>
      </c>
      <c r="K68" s="431" t="str">
        <f t="shared" si="3"/>
        <v/>
      </c>
      <c r="L68" s="384"/>
      <c r="M68" s="384"/>
      <c r="N68" s="384"/>
      <c r="O68" s="384"/>
      <c r="P68" s="384"/>
      <c r="Q68" s="384"/>
      <c r="R68" s="384"/>
      <c r="S68" s="384"/>
      <c r="T68" s="384"/>
      <c r="U68" s="384"/>
      <c r="V68" s="384"/>
      <c r="W68" s="384"/>
      <c r="X68" s="384"/>
      <c r="Y68" s="384"/>
      <c r="Z68" s="56" t="str">
        <f t="shared" si="2"/>
        <v/>
      </c>
    </row>
    <row r="69" spans="2:26" ht="25.5" hidden="1" customHeight="1" x14ac:dyDescent="0.25">
      <c r="B69" s="57" t="str">
        <f t="shared" si="1"/>
        <v/>
      </c>
      <c r="C69" s="241" t="str">
        <f>IF('תנאי סף'!AO69&lt;&gt;1,"",'תנאי סף'!F69)</f>
        <v/>
      </c>
      <c r="D69" s="49" t="str">
        <f>IF(C69="","",IF(ייצוב!G69="",$AH$1,ייצוב!G69))</f>
        <v/>
      </c>
      <c r="E69" s="52" t="str">
        <f>IF(C69="","",IF(ייצוב!E69="",$AH$1,ייצוב!E69))</f>
        <v/>
      </c>
      <c r="F69" s="52" t="str">
        <f>IF(B69="","",'התחשיב הבסיסי'!AF69)</f>
        <v/>
      </c>
      <c r="G69" s="49" t="str">
        <f>IF(C69="","",'תמיכה מינימלית'!Y69)</f>
        <v/>
      </c>
      <c r="H69" s="53" t="str">
        <f>IF(C69="","",'תמיכה מינימלית'!Z69)</f>
        <v/>
      </c>
      <c r="I69" s="58" t="str">
        <f>IF($C69="","",'הגבלה לסכום מבוקש (1)'!D69)</f>
        <v/>
      </c>
      <c r="J69" s="55" t="str">
        <f>'הגבלה לסכום מבוקש (2)'!W69</f>
        <v/>
      </c>
      <c r="K69" s="431" t="str">
        <f t="shared" si="3"/>
        <v/>
      </c>
      <c r="L69" s="384"/>
      <c r="M69" s="384"/>
      <c r="N69" s="384"/>
      <c r="O69" s="384"/>
      <c r="P69" s="384"/>
      <c r="Q69" s="384"/>
      <c r="R69" s="384"/>
      <c r="S69" s="384"/>
      <c r="T69" s="384"/>
      <c r="U69" s="384"/>
      <c r="V69" s="384"/>
      <c r="W69" s="384"/>
      <c r="X69" s="384"/>
      <c r="Y69" s="384"/>
      <c r="Z69" s="56" t="str">
        <f t="shared" si="2"/>
        <v/>
      </c>
    </row>
    <row r="70" spans="2:26" ht="25.5" customHeight="1" x14ac:dyDescent="0.25">
      <c r="B70" s="57">
        <f t="shared" si="1"/>
        <v>40</v>
      </c>
      <c r="C70" s="241" t="str">
        <f>IF('תנאי סף'!AO70&lt;&gt;1,"",'תנאי סף'!F70)</f>
        <v>תו המשווה (ע"ר)</v>
      </c>
      <c r="D70" s="49">
        <f>IF(C70="","",IF(ייצוב!G70="",$AH$1,ייצוב!G70))</f>
        <v>3.3535070898930958E-2</v>
      </c>
      <c r="E70" s="52">
        <f>IF(C70="","",IF(ייצוב!E70="",$AH$1,ייצוב!E70))</f>
        <v>101872</v>
      </c>
      <c r="F70" s="52">
        <f>IF(B70="","",'התחשיב הבסיסי'!AF70)</f>
        <v>109880.12338750485</v>
      </c>
      <c r="G70" s="49">
        <f>IF(C70="","",'תמיכה מינימלית'!Y70)</f>
        <v>3.579430923609072E-2</v>
      </c>
      <c r="H70" s="53">
        <f>IF(C70="","",'תמיכה מינימלית'!Z70)</f>
        <v>110116.43172170471</v>
      </c>
      <c r="I70" s="58">
        <f>IF($C70="","",'הגבלה לסכום מבוקש (1)'!D70)</f>
        <v>400000</v>
      </c>
      <c r="J70" s="55">
        <f>'הגבלה לסכום מבוקש (2)'!W70</f>
        <v>114404.20944372902</v>
      </c>
      <c r="K70" s="431">
        <f t="shared" si="3"/>
        <v>12532.209443729022</v>
      </c>
      <c r="L70" s="384"/>
      <c r="M70" s="384"/>
      <c r="N70" s="384"/>
      <c r="O70" s="384"/>
      <c r="P70" s="384"/>
      <c r="Q70" s="384"/>
      <c r="R70" s="384"/>
      <c r="S70" s="384"/>
      <c r="T70" s="384"/>
      <c r="U70" s="384"/>
      <c r="V70" s="384"/>
      <c r="W70" s="384"/>
      <c r="X70" s="384"/>
      <c r="Y70" s="384"/>
      <c r="Z70" s="56">
        <f t="shared" si="2"/>
        <v>0.12301917547244602</v>
      </c>
    </row>
    <row r="71" spans="2:26" ht="25.5" hidden="1" customHeight="1" x14ac:dyDescent="0.25">
      <c r="B71" s="57" t="str">
        <f t="shared" si="1"/>
        <v/>
      </c>
      <c r="C71" s="241" t="str">
        <f>IF('תנאי סף'!AO71&lt;&gt;1,"",'תנאי סף'!F71)</f>
        <v/>
      </c>
      <c r="D71" s="49" t="str">
        <f>IF(C71="","",IF(ייצוב!G71="",$AH$1,ייצוב!G71))</f>
        <v/>
      </c>
      <c r="E71" s="52" t="str">
        <f>IF(C71="","",IF(ייצוב!E71="",$AH$1,ייצוב!E71))</f>
        <v/>
      </c>
      <c r="F71" s="52" t="str">
        <f>IF(B71="","",'התחשיב הבסיסי'!AF71)</f>
        <v/>
      </c>
      <c r="G71" s="49" t="str">
        <f>IF(C71="","",'תמיכה מינימלית'!Y71)</f>
        <v/>
      </c>
      <c r="H71" s="53" t="str">
        <f>IF(C71="","",'תמיכה מינימלית'!Z71)</f>
        <v/>
      </c>
      <c r="I71" s="58" t="str">
        <f>IF($C71="","",'הגבלה לסכום מבוקש (1)'!D71)</f>
        <v/>
      </c>
      <c r="J71" s="55" t="str">
        <f>'הגבלה לסכום מבוקש (2)'!W71</f>
        <v/>
      </c>
      <c r="K71" s="431" t="str">
        <f t="shared" si="3"/>
        <v/>
      </c>
      <c r="L71" s="384"/>
      <c r="M71" s="384"/>
      <c r="N71" s="384"/>
      <c r="O71" s="384"/>
      <c r="P71" s="384"/>
      <c r="Q71" s="384"/>
      <c r="R71" s="384"/>
      <c r="S71" s="384"/>
      <c r="T71" s="384"/>
      <c r="U71" s="384"/>
      <c r="V71" s="384"/>
      <c r="W71" s="384"/>
      <c r="X71" s="384"/>
      <c r="Y71" s="384"/>
      <c r="Z71" s="56" t="str">
        <f t="shared" si="2"/>
        <v/>
      </c>
    </row>
    <row r="72" spans="2:26" ht="25.5" hidden="1" customHeight="1" x14ac:dyDescent="0.25">
      <c r="B72" s="57" t="str">
        <f t="shared" si="1"/>
        <v/>
      </c>
      <c r="C72" s="241" t="str">
        <f>IF('תנאי סף'!AO72&lt;&gt;1,"",'תנאי סף'!F72)</f>
        <v/>
      </c>
      <c r="D72" s="49" t="str">
        <f>IF(C72="","",IF(ייצוב!G72="",$AH$1,ייצוב!G72))</f>
        <v/>
      </c>
      <c r="E72" s="52" t="str">
        <f>IF(C72="","",IF(ייצוב!E72="",$AH$1,ייצוב!E72))</f>
        <v/>
      </c>
      <c r="F72" s="52" t="str">
        <f>IF(B72="","",'התחשיב הבסיסי'!AF72)</f>
        <v/>
      </c>
      <c r="G72" s="49" t="str">
        <f>IF(C72="","",'תמיכה מינימלית'!Y72)</f>
        <v/>
      </c>
      <c r="H72" s="53" t="str">
        <f>IF(C72="","",'תמיכה מינימלית'!Z72)</f>
        <v/>
      </c>
      <c r="I72" s="58" t="str">
        <f>IF($C72="","",'הגבלה לסכום מבוקש (1)'!D72)</f>
        <v/>
      </c>
      <c r="J72" s="55" t="str">
        <f>'הגבלה לסכום מבוקש (2)'!W72</f>
        <v/>
      </c>
      <c r="K72" s="431" t="str">
        <f t="shared" si="3"/>
        <v/>
      </c>
      <c r="L72" s="384"/>
      <c r="M72" s="384"/>
      <c r="N72" s="384"/>
      <c r="O72" s="384"/>
      <c r="P72" s="384"/>
      <c r="Q72" s="384"/>
      <c r="R72" s="384"/>
      <c r="S72" s="384"/>
      <c r="T72" s="384"/>
      <c r="U72" s="384"/>
      <c r="V72" s="384"/>
      <c r="W72" s="384"/>
      <c r="X72" s="384"/>
      <c r="Y72" s="384"/>
      <c r="Z72" s="56" t="str">
        <f t="shared" si="2"/>
        <v/>
      </c>
    </row>
    <row r="73" spans="2:26" ht="25.5" customHeight="1" x14ac:dyDescent="0.25">
      <c r="B73" s="57">
        <f t="shared" si="1"/>
        <v>43</v>
      </c>
      <c r="C73" s="241" t="str">
        <f>IF('תנאי סף'!AO73&lt;&gt;1,"",'תנאי סף'!F73)</f>
        <v>בר קיימא ואקלקוטנטקט</v>
      </c>
      <c r="D73" s="49">
        <f>IF(C73="","",IF(ייצוב!G73="",$AH$1,ייצוב!G73))</f>
        <v>3.9716898058611977E-2</v>
      </c>
      <c r="E73" s="52">
        <f>IF(C73="","",IF(ייצוב!E73="",$AH$1,ייצוב!E73))</f>
        <v>120651</v>
      </c>
      <c r="F73" s="52">
        <f>IF(B73="","",'התחשיב הבסיסי'!AF73)</f>
        <v>127501.52278039431</v>
      </c>
      <c r="G73" s="49">
        <f>IF(C73="","",'תמיכה מינימלית'!Y73)</f>
        <v>4.1950090927425632E-2</v>
      </c>
      <c r="H73" s="53">
        <f>IF(C73="","",'תמיכה מינימלית'!Z73)</f>
        <v>129053.8753761316</v>
      </c>
      <c r="I73" s="58">
        <f>IF($C73="","",'הגבלה לסכום מבוקש (1)'!D73)</f>
        <v>200000</v>
      </c>
      <c r="J73" s="55">
        <f>'הגבלה לסכום מבוקש (2)'!W73</f>
        <v>134079.05030349543</v>
      </c>
      <c r="K73" s="431">
        <f t="shared" si="3"/>
        <v>13428.050303495431</v>
      </c>
      <c r="L73" s="384"/>
      <c r="M73" s="384"/>
      <c r="N73" s="384"/>
      <c r="O73" s="384"/>
      <c r="P73" s="384"/>
      <c r="Q73" s="384"/>
      <c r="R73" s="384"/>
      <c r="S73" s="384"/>
      <c r="T73" s="384"/>
      <c r="U73" s="384"/>
      <c r="V73" s="384"/>
      <c r="W73" s="384"/>
      <c r="X73" s="384"/>
      <c r="Y73" s="384"/>
      <c r="Z73" s="56">
        <f t="shared" si="2"/>
        <v>0.11129663495118508</v>
      </c>
    </row>
    <row r="74" spans="2:26" ht="25.5" hidden="1" customHeight="1" x14ac:dyDescent="0.25">
      <c r="B74" s="57" t="str">
        <f t="shared" si="1"/>
        <v/>
      </c>
      <c r="C74" s="241" t="str">
        <f>IF('תנאי סף'!AO74&lt;&gt;1,"",'תנאי סף'!F74)</f>
        <v/>
      </c>
      <c r="D74" s="49" t="str">
        <f>IF(C74="","",IF(ייצוב!G74="",$AH$1,ייצוב!G74))</f>
        <v/>
      </c>
      <c r="E74" s="52" t="str">
        <f>IF(C74="","",IF(ייצוב!E74="",$AH$1,ייצוב!E74))</f>
        <v/>
      </c>
      <c r="F74" s="52" t="str">
        <f>IF(B74="","",'התחשיב הבסיסי'!AF74)</f>
        <v/>
      </c>
      <c r="G74" s="49" t="str">
        <f>IF(C74="","",'תמיכה מינימלית'!Y74)</f>
        <v/>
      </c>
      <c r="H74" s="53" t="str">
        <f>IF(C74="","",'תמיכה מינימלית'!Z74)</f>
        <v/>
      </c>
      <c r="I74" s="58" t="str">
        <f>IF($C74="","",'הגבלה לסכום מבוקש (1)'!D74)</f>
        <v/>
      </c>
      <c r="J74" s="55" t="str">
        <f>'הגבלה לסכום מבוקש (2)'!W74</f>
        <v/>
      </c>
      <c r="K74" s="431" t="str">
        <f t="shared" si="3"/>
        <v/>
      </c>
      <c r="L74" s="384"/>
      <c r="M74" s="384"/>
      <c r="N74" s="384"/>
      <c r="O74" s="384"/>
      <c r="P74" s="384"/>
      <c r="Q74" s="384"/>
      <c r="R74" s="384"/>
      <c r="S74" s="384"/>
      <c r="T74" s="384"/>
      <c r="U74" s="384"/>
      <c r="V74" s="384"/>
      <c r="W74" s="384"/>
      <c r="X74" s="384"/>
      <c r="Y74" s="384"/>
      <c r="Z74" s="56" t="str">
        <f t="shared" si="2"/>
        <v/>
      </c>
    </row>
    <row r="75" spans="2:26" ht="25.5" customHeight="1" x14ac:dyDescent="0.25">
      <c r="B75" s="57">
        <f t="shared" si="1"/>
        <v>45</v>
      </c>
      <c r="C75" s="241" t="str">
        <f>IF('תנאי סף'!AO75&lt;&gt;1,"",'תנאי סף'!F75)</f>
        <v>אלקאת התזמורת התימנית</v>
      </c>
      <c r="D75" s="49">
        <f>IF(C75="","",IF(ייצוב!G75="",$AH$1,ייצוב!G75))</f>
        <v>1.8871048711639277E-2</v>
      </c>
      <c r="E75" s="52">
        <f>IF(C75="","",IF(ייצוב!E75="",$AH$1,ייצוב!E75))</f>
        <v>57326</v>
      </c>
      <c r="F75" s="52">
        <f>IF(B75="","",'התחשיב הבסיסי'!AF75)</f>
        <v>77934.699223979856</v>
      </c>
      <c r="G75" s="49">
        <f>IF(C75="","",'תמיכה מינימלית'!Y75)</f>
        <v>2.2399766260693739E-2</v>
      </c>
      <c r="H75" s="53">
        <f>IF(C75="","",'תמיכה מינימלית'!Z75)</f>
        <v>68909.901732111612</v>
      </c>
      <c r="I75" s="58">
        <f>IF($C75="","",'הגבלה לסכום מבוקש (1)'!D75)</f>
        <v>500000</v>
      </c>
      <c r="J75" s="55">
        <f>'הגבלה לסכום מבוקש (2)'!W75</f>
        <v>71593.155601257749</v>
      </c>
      <c r="K75" s="431">
        <f t="shared" si="3"/>
        <v>14267.155601257749</v>
      </c>
      <c r="L75" s="384"/>
      <c r="M75" s="384"/>
      <c r="N75" s="384"/>
      <c r="O75" s="384"/>
      <c r="P75" s="384"/>
      <c r="Q75" s="384"/>
      <c r="R75" s="384"/>
      <c r="S75" s="384"/>
      <c r="T75" s="384"/>
      <c r="U75" s="384"/>
      <c r="V75" s="384"/>
      <c r="W75" s="384"/>
      <c r="X75" s="384"/>
      <c r="Y75" s="384"/>
      <c r="Z75" s="56">
        <f t="shared" si="2"/>
        <v>0.24887757040885025</v>
      </c>
    </row>
    <row r="76" spans="2:26" ht="25.5" hidden="1" customHeight="1" x14ac:dyDescent="0.25">
      <c r="B76" s="57" t="str">
        <f t="shared" si="1"/>
        <v/>
      </c>
      <c r="C76" s="241" t="str">
        <f>IF('תנאי סף'!AO76&lt;&gt;1,"",'תנאי סף'!F76)</f>
        <v/>
      </c>
      <c r="D76" s="49" t="str">
        <f>IF(C76="","",IF(ייצוב!G76="",$AH$1,ייצוב!G76))</f>
        <v/>
      </c>
      <c r="E76" s="52" t="str">
        <f>IF(C76="","",IF(ייצוב!E76="",$AH$1,ייצוב!E76))</f>
        <v/>
      </c>
      <c r="F76" s="52" t="str">
        <f>IF(B76="","",'התחשיב הבסיסי'!AF76)</f>
        <v/>
      </c>
      <c r="G76" s="49" t="str">
        <f>IF(C76="","",'תמיכה מינימלית'!Y76)</f>
        <v/>
      </c>
      <c r="H76" s="53" t="str">
        <f>IF(C76="","",'תמיכה מינימלית'!Z76)</f>
        <v/>
      </c>
      <c r="I76" s="58" t="str">
        <f>IF($C76="","",'הגבלה לסכום מבוקש (1)'!D76)</f>
        <v/>
      </c>
      <c r="J76" s="55" t="str">
        <f>'הגבלה לסכום מבוקש (2)'!W76</f>
        <v/>
      </c>
      <c r="K76" s="431" t="str">
        <f t="shared" si="3"/>
        <v/>
      </c>
      <c r="L76" s="384"/>
      <c r="M76" s="384"/>
      <c r="N76" s="384"/>
      <c r="O76" s="384"/>
      <c r="P76" s="384"/>
      <c r="Q76" s="384"/>
      <c r="R76" s="384"/>
      <c r="S76" s="384"/>
      <c r="T76" s="384"/>
      <c r="U76" s="384"/>
      <c r="V76" s="384"/>
      <c r="W76" s="384"/>
      <c r="X76" s="384"/>
      <c r="Y76" s="384"/>
      <c r="Z76" s="56" t="str">
        <f t="shared" si="2"/>
        <v/>
      </c>
    </row>
    <row r="77" spans="2:26" ht="25.5" hidden="1" customHeight="1" x14ac:dyDescent="0.25">
      <c r="B77" s="57" t="str">
        <f t="shared" si="1"/>
        <v/>
      </c>
      <c r="C77" s="241" t="str">
        <f>IF('תנאי סף'!AO77&lt;&gt;1,"",'תנאי סף'!F77)</f>
        <v/>
      </c>
      <c r="D77" s="49" t="str">
        <f>IF(C77="","",IF(ייצוב!G77="",$AH$1,ייצוב!G77))</f>
        <v/>
      </c>
      <c r="E77" s="52" t="str">
        <f>IF(C77="","",IF(ייצוב!E77="",$AH$1,ייצוב!E77))</f>
        <v/>
      </c>
      <c r="F77" s="52" t="str">
        <f>IF(B77="","",'התחשיב הבסיסי'!AF77)</f>
        <v/>
      </c>
      <c r="G77" s="49" t="str">
        <f>IF(C77="","",'תמיכה מינימלית'!Y77)</f>
        <v/>
      </c>
      <c r="H77" s="53" t="str">
        <f>IF(C77="","",'תמיכה מינימלית'!Z77)</f>
        <v/>
      </c>
      <c r="I77" s="58" t="str">
        <f>IF($C77="","",'הגבלה לסכום מבוקש (1)'!D77)</f>
        <v/>
      </c>
      <c r="J77" s="55" t="str">
        <f>'הגבלה לסכום מבוקש (2)'!W77</f>
        <v/>
      </c>
      <c r="K77" s="431" t="str">
        <f t="shared" si="3"/>
        <v/>
      </c>
      <c r="L77" s="384"/>
      <c r="M77" s="384"/>
      <c r="N77" s="384"/>
      <c r="O77" s="384"/>
      <c r="P77" s="384"/>
      <c r="Q77" s="384"/>
      <c r="R77" s="384"/>
      <c r="S77" s="384"/>
      <c r="T77" s="384"/>
      <c r="U77" s="384"/>
      <c r="V77" s="384"/>
      <c r="W77" s="384"/>
      <c r="X77" s="384"/>
      <c r="Y77" s="384"/>
      <c r="Z77" s="56" t="str">
        <f t="shared" si="2"/>
        <v/>
      </c>
    </row>
    <row r="78" spans="2:26" ht="25.5" customHeight="1" x14ac:dyDescent="0.25">
      <c r="B78" s="57">
        <f t="shared" si="1"/>
        <v>48</v>
      </c>
      <c r="C78" s="241" t="str">
        <f>IF('תנאי סף'!AO78&lt;&gt;1,"",'תנאי סף'!F78)</f>
        <v>גיא מינטוס- טריו</v>
      </c>
      <c r="D78" s="49">
        <f>IF(C78="","",IF(ייצוב!G78="",$AH$1,ייצוב!G78))</f>
        <v>2.3043181275769271E-2</v>
      </c>
      <c r="E78" s="52">
        <f>IF(C78="","",IF(ייצוב!E78="",$AH$1,ייצוב!E78))</f>
        <v>70000</v>
      </c>
      <c r="F78" s="52">
        <f>IF(B78="","",'התחשיב הבסיסי'!AF78)</f>
        <v>97444.901073883782</v>
      </c>
      <c r="G78" s="49">
        <f>IF(C78="","",'תמיכה מינימלית'!Y78)</f>
        <v>2.7727589555655182E-2</v>
      </c>
      <c r="H78" s="53">
        <f>IF(C78="","",'תמיכה מינימלית'!Z78)</f>
        <v>85300.24149856226</v>
      </c>
      <c r="I78" s="58">
        <f>IF($C78="","",'הגבלה לסכום מבוקש (1)'!D78)</f>
        <v>85000</v>
      </c>
      <c r="J78" s="55">
        <f>'הגבלה לסכום מבוקש (2)'!W78</f>
        <v>84999.999999999956</v>
      </c>
      <c r="K78" s="431">
        <f t="shared" si="3"/>
        <v>14999.999999999956</v>
      </c>
      <c r="L78" s="384"/>
      <c r="M78" s="384"/>
      <c r="N78" s="384"/>
      <c r="O78" s="384"/>
      <c r="P78" s="384"/>
      <c r="Q78" s="384"/>
      <c r="R78" s="384"/>
      <c r="S78" s="384"/>
      <c r="T78" s="384"/>
      <c r="U78" s="384"/>
      <c r="V78" s="384"/>
      <c r="W78" s="384"/>
      <c r="X78" s="384"/>
      <c r="Y78" s="384"/>
      <c r="Z78" s="56">
        <f t="shared" si="2"/>
        <v>0.21428571428571366</v>
      </c>
    </row>
    <row r="79" spans="2:26" ht="25.5" hidden="1" customHeight="1" x14ac:dyDescent="0.25">
      <c r="B79" s="57" t="str">
        <f t="shared" si="1"/>
        <v/>
      </c>
      <c r="C79" s="241" t="str">
        <f>IF('תנאי סף'!AO79&lt;&gt;1,"",'תנאי סף'!F79)</f>
        <v/>
      </c>
      <c r="D79" s="49" t="str">
        <f>IF(C79="","",IF(ייצוב!G79="",$AH$1,ייצוב!G79))</f>
        <v/>
      </c>
      <c r="E79" s="52" t="str">
        <f>IF(C79="","",IF(ייצוב!E79="",$AH$1,ייצוב!E79))</f>
        <v/>
      </c>
      <c r="F79" s="52" t="str">
        <f>IF(B79="","",'התחשיב הבסיסי'!AF79)</f>
        <v/>
      </c>
      <c r="G79" s="49" t="str">
        <f>IF(C79="","",'תמיכה מינימלית'!Y79)</f>
        <v/>
      </c>
      <c r="H79" s="53" t="str">
        <f>IF(C79="","",'תמיכה מינימלית'!Z79)</f>
        <v/>
      </c>
      <c r="I79" s="58" t="str">
        <f>IF($C79="","",'הגבלה לסכום מבוקש (1)'!D79)</f>
        <v/>
      </c>
      <c r="J79" s="55" t="str">
        <f>'הגבלה לסכום מבוקש (2)'!W79</f>
        <v/>
      </c>
      <c r="K79" s="431" t="str">
        <f t="shared" si="3"/>
        <v/>
      </c>
      <c r="L79" s="384"/>
      <c r="M79" s="384"/>
      <c r="N79" s="384"/>
      <c r="O79" s="384"/>
      <c r="P79" s="384"/>
      <c r="Q79" s="384"/>
      <c r="R79" s="384"/>
      <c r="S79" s="384"/>
      <c r="T79" s="384"/>
      <c r="U79" s="384"/>
      <c r="V79" s="384"/>
      <c r="W79" s="384"/>
      <c r="X79" s="384"/>
      <c r="Y79" s="384"/>
      <c r="Z79" s="56" t="str">
        <f t="shared" si="2"/>
        <v/>
      </c>
    </row>
    <row r="80" spans="2:26" ht="25.5" hidden="1" customHeight="1" x14ac:dyDescent="0.25">
      <c r="B80" s="57" t="str">
        <f t="shared" si="1"/>
        <v/>
      </c>
      <c r="C80" s="241" t="str">
        <f>IF('תנאי סף'!AO80&lt;&gt;1,"",'תנאי סף'!F80)</f>
        <v/>
      </c>
      <c r="D80" s="49" t="str">
        <f>IF(C80="","",IF(ייצוב!G80="",$AH$1,ייצוב!G80))</f>
        <v/>
      </c>
      <c r="E80" s="52" t="str">
        <f>IF(C80="","",IF(ייצוב!E80="",$AH$1,ייצוב!E80))</f>
        <v/>
      </c>
      <c r="F80" s="52" t="str">
        <f>IF(B80="","",'התחשיב הבסיסי'!AF80)</f>
        <v/>
      </c>
      <c r="G80" s="49" t="str">
        <f>IF(C80="","",'תמיכה מינימלית'!Y80)</f>
        <v/>
      </c>
      <c r="H80" s="53" t="str">
        <f>IF(C80="","",'תמיכה מינימלית'!Z80)</f>
        <v/>
      </c>
      <c r="I80" s="58" t="str">
        <f>IF($C80="","",'הגבלה לסכום מבוקש (1)'!D80)</f>
        <v/>
      </c>
      <c r="J80" s="55" t="str">
        <f>'הגבלה לסכום מבוקש (2)'!W80</f>
        <v/>
      </c>
      <c r="K80" s="431" t="str">
        <f t="shared" si="3"/>
        <v/>
      </c>
      <c r="L80" s="384"/>
      <c r="M80" s="384"/>
      <c r="N80" s="384"/>
      <c r="O80" s="384"/>
      <c r="P80" s="384"/>
      <c r="Q80" s="384"/>
      <c r="R80" s="384"/>
      <c r="S80" s="384"/>
      <c r="T80" s="384"/>
      <c r="U80" s="384"/>
      <c r="V80" s="384"/>
      <c r="W80" s="384"/>
      <c r="X80" s="384"/>
      <c r="Y80" s="384"/>
      <c r="Z80" s="56" t="str">
        <f t="shared" si="2"/>
        <v/>
      </c>
    </row>
    <row r="81" spans="2:26" ht="25.5" hidden="1" customHeight="1" x14ac:dyDescent="0.25">
      <c r="B81" s="57" t="str">
        <f t="shared" si="1"/>
        <v/>
      </c>
      <c r="C81" s="241" t="str">
        <f>IF('תנאי סף'!AO81&lt;&gt;1,"",'תנאי סף'!F81)</f>
        <v/>
      </c>
      <c r="D81" s="49" t="str">
        <f>IF(C81="","",IF(ייצוב!G81="",$AH$1,ייצוב!G81))</f>
        <v/>
      </c>
      <c r="E81" s="52" t="str">
        <f>IF(C81="","",IF(ייצוב!E81="",$AH$1,ייצוב!E81))</f>
        <v/>
      </c>
      <c r="F81" s="52" t="str">
        <f>IF(B81="","",'התחשיב הבסיסי'!AF81)</f>
        <v/>
      </c>
      <c r="G81" s="49" t="str">
        <f>IF(C81="","",'תמיכה מינימלית'!Y81)</f>
        <v/>
      </c>
      <c r="H81" s="53" t="str">
        <f>IF(C81="","",'תמיכה מינימלית'!Z81)</f>
        <v/>
      </c>
      <c r="I81" s="58" t="str">
        <f>IF($C81="","",'הגבלה לסכום מבוקש (1)'!D81)</f>
        <v/>
      </c>
      <c r="J81" s="55" t="str">
        <f>'הגבלה לסכום מבוקש (2)'!W81</f>
        <v/>
      </c>
      <c r="K81" s="431" t="str">
        <f t="shared" si="3"/>
        <v/>
      </c>
      <c r="L81" s="384"/>
      <c r="M81" s="384"/>
      <c r="N81" s="384"/>
      <c r="O81" s="384"/>
      <c r="P81" s="384"/>
      <c r="Q81" s="384"/>
      <c r="R81" s="384"/>
      <c r="S81" s="384"/>
      <c r="T81" s="384"/>
      <c r="U81" s="384"/>
      <c r="V81" s="384"/>
      <c r="W81" s="384"/>
      <c r="X81" s="384"/>
      <c r="Y81" s="384"/>
      <c r="Z81" s="56" t="str">
        <f t="shared" si="2"/>
        <v/>
      </c>
    </row>
    <row r="82" spans="2:26" ht="25.5" customHeight="1" x14ac:dyDescent="0.25">
      <c r="B82" s="57">
        <f t="shared" si="1"/>
        <v>52</v>
      </c>
      <c r="C82" s="241" t="str">
        <f>IF('תנאי סף'!AO82&lt;&gt;1,"",'תנאי סף'!F82)</f>
        <v xml:space="preserve">פולקעס - בר-קיימא לתרבות </v>
      </c>
      <c r="D82" s="49">
        <f>IF(C82="","",IF(ייצוב!G82="",$AH$1,ייצוב!G82))</f>
        <v>4.2851429088724476E-2</v>
      </c>
      <c r="E82" s="52">
        <f>IF(C82="","",IF(ייצוב!E82="",$AH$1,ייצוב!E82))</f>
        <v>130173</v>
      </c>
      <c r="F82" s="52">
        <f>IF(B82="","",'התחשיב הבסיסי'!AF82)</f>
        <v>126677.83943480447</v>
      </c>
      <c r="G82" s="49">
        <f>IF(C82="","",'תמיכה מינימלית'!Y82)</f>
        <v>4.3431835424599621E-2</v>
      </c>
      <c r="H82" s="53">
        <f>IF(C82="","",'תמיכה מינימלית'!Z82)</f>
        <v>133612.26524966926</v>
      </c>
      <c r="I82" s="58">
        <f>IF($C82="","",'הגבלה לסכום מבוקש (1)'!D82)</f>
        <v>250000</v>
      </c>
      <c r="J82" s="55">
        <f>'הגבלה לסכום מבוקש (2)'!W82</f>
        <v>138814.93741556923</v>
      </c>
      <c r="K82" s="431">
        <f t="shared" si="3"/>
        <v>8641.9374155692349</v>
      </c>
      <c r="L82" s="384"/>
      <c r="M82" s="384"/>
      <c r="N82" s="384"/>
      <c r="O82" s="384"/>
      <c r="P82" s="384"/>
      <c r="Q82" s="384"/>
      <c r="R82" s="384"/>
      <c r="S82" s="384"/>
      <c r="T82" s="384"/>
      <c r="U82" s="384"/>
      <c r="V82" s="384"/>
      <c r="W82" s="384"/>
      <c r="X82" s="384"/>
      <c r="Y82" s="384"/>
      <c r="Z82" s="56">
        <f t="shared" si="2"/>
        <v>6.6388094424874852E-2</v>
      </c>
    </row>
    <row r="83" spans="2:26" ht="25.5" hidden="1" customHeight="1" x14ac:dyDescent="0.25">
      <c r="B83" s="57" t="str">
        <f t="shared" si="1"/>
        <v/>
      </c>
      <c r="C83" s="241" t="str">
        <f>IF('תנאי סף'!AO83&lt;&gt;1,"",'תנאי סף'!F83)</f>
        <v/>
      </c>
      <c r="D83" s="49" t="str">
        <f>IF(C83="","",IF(ייצוב!G83="",$AH$1,ייצוב!G83))</f>
        <v/>
      </c>
      <c r="E83" s="52" t="str">
        <f>IF(C83="","",IF(ייצוב!E83="",$AH$1,ייצוב!E83))</f>
        <v/>
      </c>
      <c r="F83" s="52" t="str">
        <f>IF(B83="","",'התחשיב הבסיסי'!AF83)</f>
        <v/>
      </c>
      <c r="G83" s="49" t="str">
        <f>IF(C83="","",'תמיכה מינימלית'!Y83)</f>
        <v/>
      </c>
      <c r="H83" s="53" t="str">
        <f>IF(C83="","",'תמיכה מינימלית'!Z83)</f>
        <v/>
      </c>
      <c r="I83" s="58" t="str">
        <f>IF($C83="","",'הגבלה לסכום מבוקש (1)'!D83)</f>
        <v/>
      </c>
      <c r="J83" s="55" t="str">
        <f>'הגבלה לסכום מבוקש (2)'!W83</f>
        <v/>
      </c>
      <c r="K83" s="431" t="str">
        <f t="shared" si="3"/>
        <v/>
      </c>
      <c r="L83" s="384"/>
      <c r="M83" s="384"/>
      <c r="N83" s="384"/>
      <c r="O83" s="384"/>
      <c r="P83" s="384"/>
      <c r="Q83" s="384"/>
      <c r="R83" s="384"/>
      <c r="S83" s="384"/>
      <c r="T83" s="384"/>
      <c r="U83" s="384"/>
      <c r="V83" s="384"/>
      <c r="W83" s="384"/>
      <c r="X83" s="384"/>
      <c r="Y83" s="384"/>
      <c r="Z83" s="56" t="str">
        <f t="shared" si="2"/>
        <v/>
      </c>
    </row>
    <row r="84" spans="2:26" ht="25.5" hidden="1" customHeight="1" x14ac:dyDescent="0.25">
      <c r="B84" s="57" t="str">
        <f t="shared" si="1"/>
        <v/>
      </c>
      <c r="C84" s="241" t="str">
        <f>IF('תנאי סף'!AO84&lt;&gt;1,"",'תנאי סף'!F84)</f>
        <v/>
      </c>
      <c r="D84" s="49" t="str">
        <f>IF(C84="","",IF(ייצוב!G84="",$AH$1,ייצוב!G84))</f>
        <v/>
      </c>
      <c r="E84" s="52" t="str">
        <f>IF(C84="","",IF(ייצוב!E84="",$AH$1,ייצוב!E84))</f>
        <v/>
      </c>
      <c r="F84" s="52" t="str">
        <f>IF(B84="","",'התחשיב הבסיסי'!AF84)</f>
        <v/>
      </c>
      <c r="G84" s="49" t="str">
        <f>IF(C84="","",'תמיכה מינימלית'!Y84)</f>
        <v/>
      </c>
      <c r="H84" s="53" t="str">
        <f>IF(C84="","",'תמיכה מינימלית'!Z84)</f>
        <v/>
      </c>
      <c r="I84" s="58" t="str">
        <f>IF($C84="","",'הגבלה לסכום מבוקש (1)'!D84)</f>
        <v/>
      </c>
      <c r="J84" s="55" t="str">
        <f>'הגבלה לסכום מבוקש (2)'!W84</f>
        <v/>
      </c>
      <c r="K84" s="431" t="str">
        <f t="shared" si="3"/>
        <v/>
      </c>
      <c r="L84" s="384"/>
      <c r="M84" s="384"/>
      <c r="N84" s="384"/>
      <c r="O84" s="384"/>
      <c r="P84" s="384"/>
      <c r="Q84" s="384"/>
      <c r="R84" s="384"/>
      <c r="S84" s="384"/>
      <c r="T84" s="384"/>
      <c r="U84" s="384"/>
      <c r="V84" s="384"/>
      <c r="W84" s="384"/>
      <c r="X84" s="384"/>
      <c r="Y84" s="384"/>
      <c r="Z84" s="56" t="str">
        <f t="shared" si="2"/>
        <v/>
      </c>
    </row>
    <row r="85" spans="2:26" ht="25.5" customHeight="1" x14ac:dyDescent="0.25">
      <c r="B85" s="57">
        <f t="shared" si="1"/>
        <v>55</v>
      </c>
      <c r="C85" s="241" t="str">
        <f>IF('תנאי סף'!AO85&lt;&gt;1,"",'תנאי סף'!F85)</f>
        <v>מכון רננות</v>
      </c>
      <c r="D85" s="49">
        <f>IF(C85="","",IF(ייצוב!G85="",$AH$1,ייצוב!G85))</f>
        <v>1.5080116203471291E-2</v>
      </c>
      <c r="E85" s="52">
        <f>IF(C85="","",IF(ייצוב!E85="",$AH$1,ייצוב!E85))</f>
        <v>45810</v>
      </c>
      <c r="F85" s="52">
        <f>IF(B85="","",'התחשיב הבסיסי'!AF85)</f>
        <v>91269.053806087817</v>
      </c>
      <c r="G85" s="49">
        <f>IF(C85="","",'תמיכה מינימלית'!Y85)</f>
        <v>2.2675183002675365E-2</v>
      </c>
      <c r="H85" s="53">
        <f>IF(C85="","",'תמיכה מינימלית'!Z85)</f>
        <v>69757.184708391404</v>
      </c>
      <c r="I85" s="58">
        <f>IF($C85="","",'הגבלה לסכום מבוקש (1)'!D85)</f>
        <v>60000</v>
      </c>
      <c r="J85" s="55">
        <f>'הגבלה לסכום מבוקש (2)'!W85</f>
        <v>59999.999999999978</v>
      </c>
      <c r="K85" s="431">
        <f t="shared" si="3"/>
        <v>14189.999999999978</v>
      </c>
      <c r="L85" s="384"/>
      <c r="M85" s="384"/>
      <c r="N85" s="384"/>
      <c r="O85" s="384"/>
      <c r="P85" s="384"/>
      <c r="Q85" s="384"/>
      <c r="R85" s="384"/>
      <c r="S85" s="384"/>
      <c r="T85" s="384"/>
      <c r="U85" s="384"/>
      <c r="V85" s="384"/>
      <c r="W85" s="384"/>
      <c r="X85" s="384"/>
      <c r="Y85" s="384"/>
      <c r="Z85" s="56">
        <f t="shared" si="2"/>
        <v>0.30975769482645665</v>
      </c>
    </row>
    <row r="86" spans="2:26" ht="25.5" hidden="1" customHeight="1" x14ac:dyDescent="0.25">
      <c r="B86" s="57" t="str">
        <f t="shared" si="1"/>
        <v/>
      </c>
      <c r="C86" s="241" t="str">
        <f>IF('תנאי סף'!AO86&lt;&gt;1,"",'תנאי סף'!F86)</f>
        <v/>
      </c>
      <c r="D86" s="49" t="str">
        <f>IF(C86="","",IF(ייצוב!G86="",$AH$1,ייצוב!G86))</f>
        <v/>
      </c>
      <c r="E86" s="52" t="str">
        <f>IF(C86="","",IF(ייצוב!E86="",$AH$1,ייצוב!E86))</f>
        <v/>
      </c>
      <c r="F86" s="52" t="str">
        <f>IF(B86="","",'התחשיב הבסיסי'!AF86)</f>
        <v/>
      </c>
      <c r="G86" s="49" t="str">
        <f>IF(C86="","",'תמיכה מינימלית'!Y86)</f>
        <v/>
      </c>
      <c r="H86" s="53" t="str">
        <f>IF(C86="","",'תמיכה מינימלית'!Z86)</f>
        <v/>
      </c>
      <c r="I86" s="58" t="str">
        <f>IF($C86="","",'הגבלה לסכום מבוקש (1)'!D86)</f>
        <v/>
      </c>
      <c r="J86" s="55" t="str">
        <f>'הגבלה לסכום מבוקש (2)'!W86</f>
        <v/>
      </c>
      <c r="K86" s="431" t="str">
        <f t="shared" si="3"/>
        <v/>
      </c>
      <c r="L86" s="384"/>
      <c r="M86" s="384"/>
      <c r="N86" s="384"/>
      <c r="O86" s="384"/>
      <c r="P86" s="384"/>
      <c r="Q86" s="384"/>
      <c r="R86" s="384"/>
      <c r="S86" s="384"/>
      <c r="T86" s="384"/>
      <c r="U86" s="384"/>
      <c r="V86" s="384"/>
      <c r="W86" s="384"/>
      <c r="X86" s="384"/>
      <c r="Y86" s="384"/>
      <c r="Z86" s="56" t="str">
        <f t="shared" si="2"/>
        <v/>
      </c>
    </row>
    <row r="87" spans="2:26" ht="25.5" customHeight="1" x14ac:dyDescent="0.25">
      <c r="B87" s="57">
        <f t="shared" si="1"/>
        <v>57</v>
      </c>
      <c r="C87" s="241" t="str">
        <f>IF('תנאי סף'!AO87&lt;&gt;1,"",'תנאי סף'!F87)</f>
        <v>עמותת מפעל המוזיקה צימבליסטה</v>
      </c>
      <c r="D87" s="49">
        <f>IF(C87="","",IF(ייצוב!G87="",$AH$1,ייצוב!G87))</f>
        <v>2.5042671033898165E-2</v>
      </c>
      <c r="E87" s="52">
        <f>IF(C87="","",IF(ייצוב!E87="",$AH$1,ייצוב!E87))</f>
        <v>76074</v>
      </c>
      <c r="F87" s="52">
        <f>IF(B87="","",'התחשיב הבסיסי'!AF87)</f>
        <v>86216.932652975418</v>
      </c>
      <c r="G87" s="49">
        <f>IF(C87="","",'תמיכה מינימלית'!Y87)</f>
        <v>2.6891350963301572E-2</v>
      </c>
      <c r="H87" s="53">
        <f>IF(C87="","",'תמיכה מינימלית'!Z87)</f>
        <v>82727.664688919162</v>
      </c>
      <c r="I87" s="58">
        <f>IF($C87="","",'הגבלה לסכום מבוקש (1)'!D87)</f>
        <v>500000</v>
      </c>
      <c r="J87" s="55">
        <f>'הגבלה לסכום מבוקש (2)'!W87</f>
        <v>85948.962656008371</v>
      </c>
      <c r="K87" s="431">
        <f t="shared" si="3"/>
        <v>9874.9626560083707</v>
      </c>
      <c r="L87" s="384"/>
      <c r="M87" s="384"/>
      <c r="N87" s="384"/>
      <c r="O87" s="384"/>
      <c r="P87" s="384"/>
      <c r="Q87" s="384"/>
      <c r="R87" s="384"/>
      <c r="S87" s="384"/>
      <c r="T87" s="384"/>
      <c r="U87" s="384"/>
      <c r="V87" s="384"/>
      <c r="W87" s="384"/>
      <c r="X87" s="384"/>
      <c r="Y87" s="384"/>
      <c r="Z87" s="56">
        <f t="shared" si="2"/>
        <v>0.12980732781250323</v>
      </c>
    </row>
    <row r="88" spans="2:26" ht="25.5" hidden="1" customHeight="1" x14ac:dyDescent="0.25">
      <c r="B88" s="57" t="str">
        <f t="shared" si="1"/>
        <v/>
      </c>
      <c r="C88" s="241" t="str">
        <f>IF('תנאי סף'!AO88&lt;&gt;1,"",'תנאי סף'!F88)</f>
        <v/>
      </c>
      <c r="D88" s="49" t="str">
        <f>IF(C88="","",IF(ייצוב!G88="",$AH$1,ייצוב!G88))</f>
        <v/>
      </c>
      <c r="E88" s="52" t="str">
        <f>IF(C88="","",IF(ייצוב!E88="",$AH$1,ייצוב!E88))</f>
        <v/>
      </c>
      <c r="F88" s="52" t="str">
        <f>IF(B88="","",'התחשיב הבסיסי'!AF88)</f>
        <v/>
      </c>
      <c r="G88" s="49" t="str">
        <f>IF(C88="","",'תמיכה מינימלית'!Y88)</f>
        <v/>
      </c>
      <c r="H88" s="53" t="str">
        <f>IF(C88="","",'תמיכה מינימלית'!Z88)</f>
        <v/>
      </c>
      <c r="I88" s="58" t="str">
        <f>IF($C88="","",'הגבלה לסכום מבוקש (1)'!D88)</f>
        <v/>
      </c>
      <c r="J88" s="55" t="str">
        <f>'הגבלה לסכום מבוקש (2)'!W88</f>
        <v/>
      </c>
      <c r="K88" s="431" t="str">
        <f t="shared" si="3"/>
        <v/>
      </c>
      <c r="L88" s="384"/>
      <c r="M88" s="384"/>
      <c r="N88" s="384"/>
      <c r="O88" s="384"/>
      <c r="P88" s="384"/>
      <c r="Q88" s="384"/>
      <c r="R88" s="384"/>
      <c r="S88" s="384"/>
      <c r="T88" s="384"/>
      <c r="U88" s="384"/>
      <c r="V88" s="384"/>
      <c r="W88" s="384"/>
      <c r="X88" s="384"/>
      <c r="Y88" s="384"/>
      <c r="Z88" s="56" t="str">
        <f t="shared" si="2"/>
        <v/>
      </c>
    </row>
    <row r="89" spans="2:26" ht="25.5" customHeight="1" x14ac:dyDescent="0.25">
      <c r="B89" s="57">
        <f t="shared" si="1"/>
        <v>59</v>
      </c>
      <c r="C89" s="241" t="str">
        <f>IF('תנאי סף'!AO89&lt;&gt;1,"",'תנאי סף'!F89)</f>
        <v>העמותה לקידום המוסיקה הערבית</v>
      </c>
      <c r="D89" s="49">
        <f>IF(C89="","",IF(ייצוב!G89="",$AH$1,ייצוב!G89))</f>
        <v>0.10194533828213083</v>
      </c>
      <c r="E89" s="52">
        <f>IF(C89="","",IF(ייצוב!E89="",$AH$1,ייצוב!E89))</f>
        <v>309687</v>
      </c>
      <c r="F89" s="52">
        <f>IF(B89="","",'התחשיב הבסיסי'!AF89)</f>
        <v>102962.84072178406</v>
      </c>
      <c r="G89" s="49">
        <f>IF(C89="","",'תמיכה מינימלית'!Y89)</f>
        <v>6.9991077169312979E-2</v>
      </c>
      <c r="H89" s="53">
        <f>IF(C89="","",'תמיכה מינימלית'!Z89)</f>
        <v>215318.24009812786</v>
      </c>
      <c r="I89" s="58">
        <f>IF($C89="","",'הגבלה לסכום מבוקש (1)'!D89)</f>
        <v>600000</v>
      </c>
      <c r="J89" s="55">
        <f>'הגבלה לסכום מבוקש (2)'!W89</f>
        <v>223702.4270773383</v>
      </c>
      <c r="K89" s="431">
        <f t="shared" si="3"/>
        <v>-85984.572922661697</v>
      </c>
      <c r="L89" s="384"/>
      <c r="M89" s="384"/>
      <c r="N89" s="384"/>
      <c r="O89" s="384"/>
      <c r="P89" s="384"/>
      <c r="Q89" s="384"/>
      <c r="R89" s="384"/>
      <c r="S89" s="384"/>
      <c r="T89" s="384"/>
      <c r="U89" s="384"/>
      <c r="V89" s="384"/>
      <c r="W89" s="384"/>
      <c r="X89" s="384"/>
      <c r="Y89" s="384"/>
      <c r="Z89" s="56">
        <f t="shared" si="2"/>
        <v>-0.27764992693481383</v>
      </c>
    </row>
    <row r="90" spans="2:26" ht="25.5" customHeight="1" x14ac:dyDescent="0.25">
      <c r="B90" s="57">
        <f t="shared" si="1"/>
        <v>60</v>
      </c>
      <c r="C90" s="241" t="str">
        <f>IF('תנאי סף'!AO90&lt;&gt;1,"",'תנאי סף'!F90)</f>
        <v>תמיכה בתזמורת TLV (הערבית יהודית)</v>
      </c>
      <c r="D90" s="49">
        <f>IF(C90="","",IF(ייצוב!G90="",$AH$1,ייצוב!G90))</f>
        <v>4.8568442363242835E-2</v>
      </c>
      <c r="E90" s="52">
        <f>IF(C90="","",IF(ייצוב!E90="",$AH$1,ייצוב!E90))</f>
        <v>147540</v>
      </c>
      <c r="F90" s="52">
        <f>IF(B90="","",'התחשיב הבסיסי'!AF90)</f>
        <v>31956.396617740684</v>
      </c>
      <c r="G90" s="49">
        <f>IF(C90="","",'תמיכה מינימלית'!Y90)</f>
        <v>2.9874940469954647E-2</v>
      </c>
      <c r="H90" s="53">
        <f>IF(C90="","",'תמיכה מינימלית'!Z90)</f>
        <v>91906.280988732964</v>
      </c>
      <c r="I90" s="58">
        <f>IF($C90="","",'הגבלה לסכום מבוקש (1)'!D90)</f>
        <v>150000</v>
      </c>
      <c r="J90" s="55">
        <f>'הגבלה לסכום מבוקש (2)'!W90</f>
        <v>95484.981260582776</v>
      </c>
      <c r="K90" s="431">
        <f t="shared" si="3"/>
        <v>-52055.018739417224</v>
      </c>
      <c r="L90" s="384"/>
      <c r="M90" s="384"/>
      <c r="N90" s="384"/>
      <c r="O90" s="384"/>
      <c r="P90" s="384"/>
      <c r="Q90" s="384"/>
      <c r="R90" s="384"/>
      <c r="S90" s="384"/>
      <c r="T90" s="384"/>
      <c r="U90" s="384"/>
      <c r="V90" s="384"/>
      <c r="W90" s="384"/>
      <c r="X90" s="384"/>
      <c r="Y90" s="384"/>
      <c r="Z90" s="56">
        <f t="shared" si="2"/>
        <v>-0.35281970136517027</v>
      </c>
    </row>
    <row r="91" spans="2:26" ht="25.5" customHeight="1" x14ac:dyDescent="0.25">
      <c r="B91" s="57">
        <f t="shared" si="1"/>
        <v>61</v>
      </c>
      <c r="C91" s="241" t="str">
        <f>IF('תנאי סף'!AO91&lt;&gt;1,"",'תנאי סף'!F91)</f>
        <v>אנסמבל גליל</v>
      </c>
      <c r="D91" s="49">
        <f>IF(C91="","",IF(ייצוב!G91="",$AH$1,ייצוב!G91))</f>
        <v>9.8756491181868303E-3</v>
      </c>
      <c r="E91" s="52">
        <f>IF(C91="","",IF(ייצוב!E91="",$AH$1,ייצוב!E91))</f>
        <v>30000</v>
      </c>
      <c r="F91" s="52">
        <f>IF(B91="","",'התחשיב הבסיסי'!AF91)</f>
        <v>82888.179632255662</v>
      </c>
      <c r="G91" s="49">
        <f>IF(C91="","",'תמיכה מינימלית'!Y91)</f>
        <v>1.9030587282221446E-2</v>
      </c>
      <c r="H91" s="53">
        <f>IF(C91="","",'תמיכה מינימלית'!Z91)</f>
        <v>58545.07070564574</v>
      </c>
      <c r="I91" s="58">
        <f>IF($C91="","",'הגבלה לסכום מבוקש (1)'!D91)</f>
        <v>60000</v>
      </c>
      <c r="J91" s="55">
        <f>'הגבלה לסכום מבוקש (2)'!W91</f>
        <v>59999.999999999978</v>
      </c>
      <c r="K91" s="431">
        <f t="shared" si="3"/>
        <v>29999.999999999978</v>
      </c>
      <c r="L91" s="384"/>
      <c r="M91" s="384"/>
      <c r="N91" s="384"/>
      <c r="O91" s="384"/>
      <c r="P91" s="384"/>
      <c r="Q91" s="384"/>
      <c r="R91" s="384"/>
      <c r="S91" s="384"/>
      <c r="T91" s="384"/>
      <c r="U91" s="384"/>
      <c r="V91" s="384"/>
      <c r="W91" s="384"/>
      <c r="X91" s="384"/>
      <c r="Y91" s="384"/>
      <c r="Z91" s="56">
        <f t="shared" si="2"/>
        <v>0.99999999999999922</v>
      </c>
    </row>
    <row r="92" spans="2:26" ht="25.5" customHeight="1" x14ac:dyDescent="0.25">
      <c r="B92" s="57">
        <f t="shared" si="1"/>
        <v>62</v>
      </c>
      <c r="C92" s="241" t="str">
        <f>IF('תנאי סף'!AO92&lt;&gt;1,"",'תנאי סף'!F92)</f>
        <v>דריה- הרכב אינסטרומנטלי</v>
      </c>
      <c r="D92" s="49">
        <f>IF(C92="","",IF(ייצוב!G92="",$AH$1,ייצוב!G92))</f>
        <v>1.2579931035050325E-2</v>
      </c>
      <c r="E92" s="52">
        <f>IF(C92="","",IF(ייצוב!E92="",$AH$1,ייצוב!E92))</f>
        <v>38215</v>
      </c>
      <c r="F92" s="52">
        <f>IF(B92="","",'התחשיב הבסיסי'!AF92)</f>
        <v>44281.522687860794</v>
      </c>
      <c r="G92" s="49">
        <f>IF(C92="","",'תמיכה מינימלית'!Y92)</f>
        <v>1.3668590616132952E-2</v>
      </c>
      <c r="H92" s="53">
        <f>IF(C92="","",'תמיכה מינימלית'!Z92)</f>
        <v>42049.601107981078</v>
      </c>
      <c r="I92" s="58">
        <f>IF($C92="","",'הגבלה לסכום מבוקש (1)'!D92)</f>
        <v>50000</v>
      </c>
      <c r="J92" s="55">
        <f>'הגבלה לסכום מבוקש (2)'!W92</f>
        <v>43686.952954856002</v>
      </c>
      <c r="K92" s="431">
        <f t="shared" si="3"/>
        <v>5471.9529548560022</v>
      </c>
      <c r="L92" s="384"/>
      <c r="M92" s="384"/>
      <c r="N92" s="384"/>
      <c r="O92" s="384"/>
      <c r="P92" s="384"/>
      <c r="Q92" s="384"/>
      <c r="R92" s="384"/>
      <c r="S92" s="384"/>
      <c r="T92" s="384"/>
      <c r="U92" s="384"/>
      <c r="V92" s="384"/>
      <c r="W92" s="384"/>
      <c r="X92" s="384"/>
      <c r="Y92" s="384"/>
      <c r="Z92" s="56">
        <f t="shared" si="2"/>
        <v>0.14318861585387943</v>
      </c>
    </row>
    <row r="93" spans="2:26" ht="25.5" customHeight="1" x14ac:dyDescent="0.25">
      <c r="B93" s="57">
        <f t="shared" si="1"/>
        <v>63</v>
      </c>
      <c r="C93" s="241" t="str">
        <f>IF('תנאי סף'!AO93&lt;&gt;1,"",'תנאי סף'!F93)</f>
        <v>להקת שלוש</v>
      </c>
      <c r="D93" s="49">
        <f>IF(C93="","",IF(ייצוב!G93="",$AH$1,ייצוב!G93))</f>
        <v>1.4813473677280246E-2</v>
      </c>
      <c r="E93" s="52">
        <f>IF(C93="","",IF(ייצוב!E93="",$AH$1,ייצוב!E93))</f>
        <v>45000</v>
      </c>
      <c r="F93" s="52">
        <f>IF(B93="","",'התחשיב הבסיסי'!AF93)</f>
        <v>51203.318808453208</v>
      </c>
      <c r="G93" s="49">
        <f>IF(C93="","",'תמיכה מינימלית'!Y93)</f>
        <v>1.5940538241915821E-2</v>
      </c>
      <c r="H93" s="53">
        <f>IF(C93="","",'תמיכה מינימלית'!Z93)</f>
        <v>49038.94580966785</v>
      </c>
      <c r="I93" s="58">
        <f>IF($C93="","",'הגבלה לסכום מבוקש (1)'!D93)</f>
        <v>50000</v>
      </c>
      <c r="J93" s="55">
        <f>'הגבלה לסכום מבוקש (2)'!W93</f>
        <v>49999.999999999985</v>
      </c>
      <c r="K93" s="431">
        <f t="shared" si="3"/>
        <v>4999.9999999999854</v>
      </c>
      <c r="L93" s="384"/>
      <c r="M93" s="384"/>
      <c r="N93" s="384"/>
      <c r="O93" s="384"/>
      <c r="P93" s="384"/>
      <c r="Q93" s="384"/>
      <c r="R93" s="384"/>
      <c r="S93" s="384"/>
      <c r="T93" s="384"/>
      <c r="U93" s="384"/>
      <c r="V93" s="384"/>
      <c r="W93" s="384"/>
      <c r="X93" s="384"/>
      <c r="Y93" s="384"/>
      <c r="Z93" s="56">
        <f t="shared" si="2"/>
        <v>0.11111111111111079</v>
      </c>
    </row>
    <row r="94" spans="2:26" ht="25.5" customHeight="1" x14ac:dyDescent="0.25">
      <c r="B94" s="57">
        <f t="shared" si="1"/>
        <v>64</v>
      </c>
      <c r="C94" s="241" t="str">
        <f>IF('תנאי סף'!AO94&lt;&gt;1,"",'תנאי סף'!F94)</f>
        <v>רביעיית טוסקאניני</v>
      </c>
      <c r="D94" s="49">
        <f>IF(C94="","",IF(ייצוב!G94="",$AH$1,ייצוב!G94))</f>
        <v>1.1153228925776268E-2</v>
      </c>
      <c r="E94" s="52">
        <f>IF(C94="","",IF(ייצוב!E94="",$AH$1,ייצוב!E94))</f>
        <v>33881</v>
      </c>
      <c r="F94" s="52">
        <f>IF(B94="","",'התחשיב הבסיסי'!AF94)</f>
        <v>38556.254440092263</v>
      </c>
      <c r="G94" s="49">
        <f>IF(C94="","",'תמיכה מינימלית'!Y94)</f>
        <v>1.2002583649134738E-2</v>
      </c>
      <c r="H94" s="53">
        <f>IF(C94="","",'תמיכה מינימלית'!Z94)</f>
        <v>36924.352252937686</v>
      </c>
      <c r="I94" s="58">
        <f>IF($C94="","",'הגבלה לסכום מבוקש (1)'!D94)</f>
        <v>50000</v>
      </c>
      <c r="J94" s="55">
        <f>'הגבלה לסכום מבוקש (2)'!W94</f>
        <v>38362.134176260908</v>
      </c>
      <c r="K94" s="431">
        <f t="shared" si="3"/>
        <v>4481.1341762609081</v>
      </c>
      <c r="L94" s="384"/>
      <c r="M94" s="384"/>
      <c r="N94" s="384"/>
      <c r="O94" s="384"/>
      <c r="P94" s="384"/>
      <c r="Q94" s="384"/>
      <c r="R94" s="384"/>
      <c r="S94" s="384"/>
      <c r="T94" s="384"/>
      <c r="U94" s="384"/>
      <c r="V94" s="384"/>
      <c r="W94" s="384"/>
      <c r="X94" s="384"/>
      <c r="Y94" s="384"/>
      <c r="Z94" s="56">
        <f t="shared" si="2"/>
        <v>0.13226097742867413</v>
      </c>
    </row>
    <row r="95" spans="2:26" ht="25.5" customHeight="1" x14ac:dyDescent="0.25">
      <c r="B95" s="57">
        <f t="shared" si="1"/>
        <v>65</v>
      </c>
      <c r="C95" s="241" t="str">
        <f>IF('תנאי סף'!AO95&lt;&gt;1,"",'תנאי סף'!F95)</f>
        <v>תקוע-קבוצה מוזיקלית - 'דאפה' 2024</v>
      </c>
      <c r="D95" s="49">
        <f>IF(C95="","",IF(ייצוב!G95="",$AH$1,ייצוב!G95))</f>
        <v>2.8259499139995557E-2</v>
      </c>
      <c r="E95" s="52">
        <f>IF(C95="","",IF(ייצוב!E95="",$AH$1,ייצוב!E95))</f>
        <v>85846</v>
      </c>
      <c r="F95" s="52">
        <f>IF(B95="","",'התחשיב הבסיסי'!AF95)</f>
        <v>108301.0777389849</v>
      </c>
      <c r="G95" s="49">
        <f>IF(C95="","",'תמיכה מינימלית'!Y95)</f>
        <v>3.2802246200186916E-2</v>
      </c>
      <c r="H95" s="53">
        <f>IF(C95="","",'תמיכה מינימלית'!Z95)</f>
        <v>100911.74773613042</v>
      </c>
      <c r="I95" s="58">
        <f>IF($C95="","",'הגבלה לסכום מבוקש (1)'!D95)</f>
        <v>350000</v>
      </c>
      <c r="J95" s="55">
        <f>'הגבלה לסכום מבוקש (2)'!W95</f>
        <v>104841.10811467087</v>
      </c>
      <c r="K95" s="431">
        <f t="shared" ref="K95:K126" si="4">IFERROR(IF(C95="","",J95-E95),$AH$1)</f>
        <v>18995.108114670875</v>
      </c>
      <c r="L95" s="384"/>
      <c r="M95" s="384"/>
      <c r="N95" s="384"/>
      <c r="O95" s="384"/>
      <c r="P95" s="384"/>
      <c r="Q95" s="384"/>
      <c r="R95" s="384"/>
      <c r="S95" s="384"/>
      <c r="T95" s="384"/>
      <c r="U95" s="384"/>
      <c r="V95" s="384"/>
      <c r="W95" s="384"/>
      <c r="X95" s="384"/>
      <c r="Y95" s="384"/>
      <c r="Z95" s="56">
        <f t="shared" si="2"/>
        <v>0.22126957708770209</v>
      </c>
    </row>
    <row r="96" spans="2:26" ht="25.5" customHeight="1" x14ac:dyDescent="0.25">
      <c r="B96" s="57">
        <f t="shared" ref="B96:B130" si="5">IF(C96="","",ROW()-30)</f>
        <v>66</v>
      </c>
      <c r="C96" s="241" t="str">
        <f>IF('תנאי סף'!AO96&lt;&gt;1,"",'תנאי סף'!F96)</f>
        <v>טריו בן חיים</v>
      </c>
      <c r="D96" s="49">
        <f>IF(C96="","",IF(ייצוב!G96="",$AH$1,ייצוב!G96))</f>
        <v>1.5795442387931957E-2</v>
      </c>
      <c r="E96" s="52">
        <f>IF(C96="","",IF(ייצוב!E96="",$AH$1,ייצוב!E96))</f>
        <v>47983</v>
      </c>
      <c r="F96" s="52">
        <f>IF(B96="","",'התחשיב הבסיסי'!AF96)</f>
        <v>35732.614023364287</v>
      </c>
      <c r="G96" s="49">
        <f>IF(C96="","",'תמיכה מינימלית'!Y96)</f>
        <v>1.3889836613613597E-2</v>
      </c>
      <c r="H96" s="53">
        <f>IF(C96="","",'תמיכה מינימלית'!Z96)</f>
        <v>42730.234993512619</v>
      </c>
      <c r="I96" s="58">
        <f>IF($C96="","",'הגבלה לסכום מבוקש (1)'!D96)</f>
        <v>55000</v>
      </c>
      <c r="J96" s="55">
        <f>'הגבלה לסכום מבוקש (2)'!W96</f>
        <v>44394.089758849455</v>
      </c>
      <c r="K96" s="431">
        <f t="shared" si="4"/>
        <v>-3588.9102411505446</v>
      </c>
      <c r="L96" s="384"/>
      <c r="M96" s="384"/>
      <c r="N96" s="384"/>
      <c r="O96" s="384"/>
      <c r="P96" s="384"/>
      <c r="Q96" s="384"/>
      <c r="R96" s="384"/>
      <c r="S96" s="384"/>
      <c r="T96" s="384"/>
      <c r="U96" s="384"/>
      <c r="V96" s="384"/>
      <c r="W96" s="384"/>
      <c r="X96" s="384"/>
      <c r="Y96" s="384"/>
      <c r="Z96" s="56">
        <f t="shared" ref="Z96:Z130" si="6">IFERROR(IF(C96="","",K96/E96),$AI$1)</f>
        <v>-7.4795453413720375E-2</v>
      </c>
    </row>
    <row r="97" spans="2:26" ht="25.5" hidden="1" customHeight="1" x14ac:dyDescent="0.25">
      <c r="B97" s="57" t="str">
        <f t="shared" si="5"/>
        <v/>
      </c>
      <c r="C97" s="241" t="str">
        <f>IF('תנאי סף'!AO97&lt;&gt;1,"",'תנאי סף'!F97)</f>
        <v/>
      </c>
      <c r="D97" s="49" t="str">
        <f>IF(C97="","",IF(ייצוב!G97="",$AH$1,ייצוב!G97))</f>
        <v/>
      </c>
      <c r="E97" s="52" t="str">
        <f>IF(C97="","",IF(ייצוב!E97="",$AH$1,ייצוב!E97))</f>
        <v/>
      </c>
      <c r="F97" s="52" t="str">
        <f>IF(B97="","",'התחשיב הבסיסי'!AF97)</f>
        <v/>
      </c>
      <c r="G97" s="49" t="str">
        <f>IF(C97="","",'תמיכה מינימלית'!Y97)</f>
        <v/>
      </c>
      <c r="H97" s="53" t="str">
        <f>IF(C97="","",'תמיכה מינימלית'!Z97)</f>
        <v/>
      </c>
      <c r="I97" s="58" t="str">
        <f>IF($C97="","",'הגבלה לסכום מבוקש (1)'!D97)</f>
        <v/>
      </c>
      <c r="J97" s="55" t="str">
        <f>'הגבלה לסכום מבוקש (2)'!W97</f>
        <v/>
      </c>
      <c r="K97" s="431" t="str">
        <f t="shared" si="4"/>
        <v/>
      </c>
      <c r="L97" s="384"/>
      <c r="M97" s="384"/>
      <c r="N97" s="384"/>
      <c r="O97" s="384"/>
      <c r="P97" s="384"/>
      <c r="Q97" s="384"/>
      <c r="R97" s="384"/>
      <c r="S97" s="384"/>
      <c r="T97" s="384"/>
      <c r="U97" s="384"/>
      <c r="V97" s="384"/>
      <c r="W97" s="384"/>
      <c r="X97" s="384"/>
      <c r="Y97" s="384"/>
      <c r="Z97" s="56" t="str">
        <f t="shared" si="6"/>
        <v/>
      </c>
    </row>
    <row r="98" spans="2:26" ht="25.5" customHeight="1" x14ac:dyDescent="0.25">
      <c r="B98" s="57">
        <f t="shared" si="5"/>
        <v>68</v>
      </c>
      <c r="C98" s="241" t="str">
        <f>IF('תנאי סף'!AO98&lt;&gt;1,"",'תנאי סף'!F98)</f>
        <v>אמיתי אריכא והפרויקט D1</v>
      </c>
      <c r="D98" s="49">
        <f>IF(C98="","",IF(ייצוב!G98="",$AH$1,ייצוב!G98))</f>
        <v>1.1064677272016526E-2</v>
      </c>
      <c r="E98" s="52">
        <f>IF(C98="","",IF(ייצוב!E98="",$AH$1,ייצוב!E98))</f>
        <v>33612</v>
      </c>
      <c r="F98" s="52">
        <f>IF(B98="","",'התחשיב הבסיסי'!AF98)</f>
        <v>75046.821240290825</v>
      </c>
      <c r="G98" s="49">
        <f>IF(C98="","",'תמיכה מינימלית'!Y98)</f>
        <v>1.7968347467302602E-2</v>
      </c>
      <c r="H98" s="53">
        <f>IF(C98="","",'תמיכה מינימלית'!Z98)</f>
        <v>55277.231192943305</v>
      </c>
      <c r="I98" s="58">
        <f>IF($C98="","",'הגבלה לסכום מבוקש (1)'!D98)</f>
        <v>45000</v>
      </c>
      <c r="J98" s="55">
        <f>'הגבלה לסכום מבוקש (2)'!W98</f>
        <v>44999.999999999978</v>
      </c>
      <c r="K98" s="431">
        <f t="shared" si="4"/>
        <v>11387.999999999978</v>
      </c>
      <c r="L98" s="384"/>
      <c r="M98" s="384"/>
      <c r="N98" s="384"/>
      <c r="O98" s="384"/>
      <c r="P98" s="384"/>
      <c r="Q98" s="384"/>
      <c r="R98" s="384"/>
      <c r="S98" s="384"/>
      <c r="T98" s="384"/>
      <c r="U98" s="384"/>
      <c r="V98" s="384"/>
      <c r="W98" s="384"/>
      <c r="X98" s="384"/>
      <c r="Y98" s="384"/>
      <c r="Z98" s="56">
        <f t="shared" si="6"/>
        <v>0.33880756872545453</v>
      </c>
    </row>
    <row r="99" spans="2:26" ht="15.75" x14ac:dyDescent="0.25">
      <c r="B99" s="57" t="str">
        <f t="shared" si="5"/>
        <v/>
      </c>
      <c r="C99" s="241" t="str">
        <f>IF('תנאי סף'!AO99&lt;&gt;1,"",'תנאי סף'!F99)</f>
        <v/>
      </c>
      <c r="D99" s="49" t="str">
        <f>IF(C99="","",IF(ייצוב!G99="",$AH$1,ייצוב!G99))</f>
        <v/>
      </c>
      <c r="E99" s="52" t="str">
        <f>IF(C99="","",IF(ייצוב!E99="",$AH$1,ייצוב!E99))</f>
        <v/>
      </c>
      <c r="F99" s="52" t="str">
        <f>IF(B99="","",'התחשיב הבסיסי'!AF99)</f>
        <v/>
      </c>
      <c r="G99" s="49" t="str">
        <f>IF(C99="","",'תמיכה מינימלית'!Y99)</f>
        <v/>
      </c>
      <c r="H99" s="53" t="str">
        <f>IF(C99="","",'תמיכה מינימלית'!Z99)</f>
        <v/>
      </c>
      <c r="I99" s="58" t="str">
        <f>IF($C99="","",'הגבלה לסכום מבוקש (1)'!D99)</f>
        <v/>
      </c>
      <c r="J99" s="55" t="str">
        <f>'הגבלה לסכום מבוקש (2)'!W99</f>
        <v/>
      </c>
      <c r="K99" s="431" t="str">
        <f t="shared" si="4"/>
        <v/>
      </c>
      <c r="L99" s="384"/>
      <c r="M99" s="384"/>
      <c r="N99" s="384"/>
      <c r="O99" s="384"/>
      <c r="P99" s="384"/>
      <c r="Q99" s="384"/>
      <c r="R99" s="384"/>
      <c r="S99" s="384"/>
      <c r="T99" s="384"/>
      <c r="U99" s="384"/>
      <c r="V99" s="384"/>
      <c r="W99" s="384"/>
      <c r="X99" s="384"/>
      <c r="Y99" s="384"/>
      <c r="Z99" s="56" t="str">
        <f t="shared" si="6"/>
        <v/>
      </c>
    </row>
    <row r="100" spans="2:26" ht="15.75" x14ac:dyDescent="0.25">
      <c r="B100" s="57" t="str">
        <f t="shared" si="5"/>
        <v/>
      </c>
      <c r="C100" s="241" t="str">
        <f>IF('תנאי סף'!AO100&lt;&gt;1,"",'תנאי סף'!F100)</f>
        <v/>
      </c>
      <c r="D100" s="49" t="str">
        <f>IF(C100="","",IF(ייצוב!G100="",$AH$1,ייצוב!G100))</f>
        <v/>
      </c>
      <c r="E100" s="52" t="str">
        <f>IF(C100="","",IF(ייצוב!E100="",$AH$1,ייצוב!E100))</f>
        <v/>
      </c>
      <c r="F100" s="52" t="str">
        <f>IF(B100="","",'התחשיב הבסיסי'!AF100)</f>
        <v/>
      </c>
      <c r="G100" s="49" t="str">
        <f>IF(C100="","",'תמיכה מינימלית'!Y100)</f>
        <v/>
      </c>
      <c r="H100" s="53" t="str">
        <f>IF(C100="","",'תמיכה מינימלית'!Z100)</f>
        <v/>
      </c>
      <c r="I100" s="58" t="str">
        <f>IF($C100="","",'הגבלה לסכום מבוקש (1)'!D100)</f>
        <v/>
      </c>
      <c r="J100" s="55" t="str">
        <f>'הגבלה לסכום מבוקש (2)'!W100</f>
        <v/>
      </c>
      <c r="K100" s="431" t="str">
        <f t="shared" si="4"/>
        <v/>
      </c>
      <c r="L100" s="384"/>
      <c r="M100" s="384"/>
      <c r="N100" s="384"/>
      <c r="O100" s="384"/>
      <c r="P100" s="384"/>
      <c r="Q100" s="384"/>
      <c r="R100" s="384"/>
      <c r="S100" s="384"/>
      <c r="T100" s="384"/>
      <c r="U100" s="384"/>
      <c r="V100" s="384"/>
      <c r="W100" s="384"/>
      <c r="X100" s="384"/>
      <c r="Y100" s="384"/>
      <c r="Z100" s="56" t="str">
        <f t="shared" si="6"/>
        <v/>
      </c>
    </row>
    <row r="101" spans="2:26" ht="15.75" x14ac:dyDescent="0.25">
      <c r="B101" s="57" t="str">
        <f t="shared" si="5"/>
        <v/>
      </c>
      <c r="C101" s="241" t="str">
        <f>IF('תנאי סף'!AO101&lt;&gt;1,"",'תנאי סף'!F101)</f>
        <v/>
      </c>
      <c r="D101" s="49" t="str">
        <f>IF(C101="","",IF(ייצוב!G101="",$AH$1,ייצוב!G101))</f>
        <v/>
      </c>
      <c r="E101" s="52" t="str">
        <f>IF(C101="","",IF(ייצוב!E101="",$AH$1,ייצוב!E101))</f>
        <v/>
      </c>
      <c r="F101" s="52" t="str">
        <f>IF(B101="","",'התחשיב הבסיסי'!AF101)</f>
        <v/>
      </c>
      <c r="G101" s="49" t="str">
        <f>IF(C101="","",'תמיכה מינימלית'!Y101)</f>
        <v/>
      </c>
      <c r="H101" s="53" t="str">
        <f>IF(C101="","",'תמיכה מינימלית'!Z101)</f>
        <v/>
      </c>
      <c r="I101" s="58" t="str">
        <f>IF($C101="","",'הגבלה לסכום מבוקש (1)'!D101)</f>
        <v/>
      </c>
      <c r="J101" s="55" t="str">
        <f>'הגבלה לסכום מבוקש (2)'!W101</f>
        <v/>
      </c>
      <c r="K101" s="431" t="str">
        <f t="shared" si="4"/>
        <v/>
      </c>
      <c r="L101" s="384"/>
      <c r="M101" s="384"/>
      <c r="N101" s="384"/>
      <c r="O101" s="384"/>
      <c r="P101" s="384"/>
      <c r="Q101" s="384"/>
      <c r="R101" s="384"/>
      <c r="S101" s="384"/>
      <c r="T101" s="384"/>
      <c r="U101" s="384"/>
      <c r="V101" s="384"/>
      <c r="W101" s="384"/>
      <c r="X101" s="384"/>
      <c r="Y101" s="384"/>
      <c r="Z101" s="56" t="str">
        <f t="shared" si="6"/>
        <v/>
      </c>
    </row>
    <row r="102" spans="2:26" ht="15.75" x14ac:dyDescent="0.25">
      <c r="B102" s="57" t="str">
        <f t="shared" si="5"/>
        <v/>
      </c>
      <c r="C102" s="241" t="str">
        <f>IF('תנאי סף'!AO102&lt;&gt;1,"",'תנאי סף'!F102)</f>
        <v/>
      </c>
      <c r="D102" s="49" t="str">
        <f>IF(C102="","",IF(ייצוב!G102="",$AH$1,ייצוב!G102))</f>
        <v/>
      </c>
      <c r="E102" s="52" t="str">
        <f>IF(C102="","",IF(ייצוב!E102="",$AH$1,ייצוב!E102))</f>
        <v/>
      </c>
      <c r="F102" s="52" t="str">
        <f>IF(B102="","",'התחשיב הבסיסי'!AF102)</f>
        <v/>
      </c>
      <c r="G102" s="49" t="str">
        <f>IF(C102="","",'תמיכה מינימלית'!Y102)</f>
        <v/>
      </c>
      <c r="H102" s="53" t="str">
        <f>IF(C102="","",'תמיכה מינימלית'!Z102)</f>
        <v/>
      </c>
      <c r="I102" s="58" t="str">
        <f>IF($C102="","",'הגבלה לסכום מבוקש (1)'!D102)</f>
        <v/>
      </c>
      <c r="J102" s="55" t="str">
        <f>'הגבלה לסכום מבוקש (2)'!W102</f>
        <v/>
      </c>
      <c r="K102" s="431" t="str">
        <f t="shared" si="4"/>
        <v/>
      </c>
      <c r="L102" s="384"/>
      <c r="M102" s="384"/>
      <c r="N102" s="384"/>
      <c r="O102" s="384"/>
      <c r="P102" s="384"/>
      <c r="Q102" s="384"/>
      <c r="R102" s="384"/>
      <c r="S102" s="384"/>
      <c r="T102" s="384"/>
      <c r="U102" s="384"/>
      <c r="V102" s="384"/>
      <c r="W102" s="384"/>
      <c r="X102" s="384"/>
      <c r="Y102" s="384"/>
      <c r="Z102" s="56" t="str">
        <f t="shared" si="6"/>
        <v/>
      </c>
    </row>
    <row r="103" spans="2:26" ht="15.75" x14ac:dyDescent="0.25">
      <c r="B103" s="57" t="str">
        <f t="shared" si="5"/>
        <v/>
      </c>
      <c r="C103" s="241" t="str">
        <f>IF('תנאי סף'!AO103&lt;&gt;1,"",'תנאי סף'!F103)</f>
        <v/>
      </c>
      <c r="D103" s="49" t="str">
        <f>IF(C103="","",IF(ייצוב!G103="",$AH$1,ייצוב!G103))</f>
        <v/>
      </c>
      <c r="E103" s="52" t="str">
        <f>IF(C103="","",IF(ייצוב!E103="",$AH$1,ייצוב!E103))</f>
        <v/>
      </c>
      <c r="F103" s="52" t="str">
        <f>IF(B103="","",'התחשיב הבסיסי'!AF103)</f>
        <v/>
      </c>
      <c r="G103" s="49" t="str">
        <f>IF(C103="","",'תמיכה מינימלית'!Y103)</f>
        <v/>
      </c>
      <c r="H103" s="53" t="str">
        <f>IF(C103="","",'תמיכה מינימלית'!Z103)</f>
        <v/>
      </c>
      <c r="I103" s="58" t="str">
        <f>IF($C103="","",'הגבלה לסכום מבוקש (1)'!D103)</f>
        <v/>
      </c>
      <c r="J103" s="55" t="str">
        <f>'הגבלה לסכום מבוקש (2)'!W103</f>
        <v/>
      </c>
      <c r="K103" s="431" t="str">
        <f t="shared" si="4"/>
        <v/>
      </c>
      <c r="L103" s="384"/>
      <c r="M103" s="384"/>
      <c r="N103" s="384"/>
      <c r="O103" s="384"/>
      <c r="P103" s="384"/>
      <c r="Q103" s="384"/>
      <c r="R103" s="384"/>
      <c r="S103" s="384"/>
      <c r="T103" s="384"/>
      <c r="U103" s="384"/>
      <c r="V103" s="384"/>
      <c r="W103" s="384"/>
      <c r="X103" s="384"/>
      <c r="Y103" s="384"/>
      <c r="Z103" s="56" t="str">
        <f t="shared" si="6"/>
        <v/>
      </c>
    </row>
    <row r="104" spans="2:26" ht="15.75" x14ac:dyDescent="0.25">
      <c r="B104" s="57" t="str">
        <f t="shared" si="5"/>
        <v/>
      </c>
      <c r="C104" s="241" t="str">
        <f>IF('תנאי סף'!AO104&lt;&gt;1,"",'תנאי סף'!F104)</f>
        <v/>
      </c>
      <c r="D104" s="49" t="str">
        <f>IF(C104="","",IF(ייצוב!G104="",$AH$1,ייצוב!G104))</f>
        <v/>
      </c>
      <c r="E104" s="52" t="str">
        <f>IF(C104="","",IF(ייצוב!E104="",$AH$1,ייצוב!E104))</f>
        <v/>
      </c>
      <c r="F104" s="52" t="str">
        <f>IF(B104="","",'התחשיב הבסיסי'!AF104)</f>
        <v/>
      </c>
      <c r="G104" s="49" t="str">
        <f>IF(C104="","",'תמיכה מינימלית'!Y104)</f>
        <v/>
      </c>
      <c r="H104" s="53" t="str">
        <f>IF(C104="","",'תמיכה מינימלית'!Z104)</f>
        <v/>
      </c>
      <c r="I104" s="58" t="str">
        <f>IF($C104="","",'הגבלה לסכום מבוקש (1)'!D104)</f>
        <v/>
      </c>
      <c r="J104" s="55" t="str">
        <f>'הגבלה לסכום מבוקש (2)'!W104</f>
        <v/>
      </c>
      <c r="K104" s="431" t="str">
        <f t="shared" si="4"/>
        <v/>
      </c>
      <c r="L104" s="384"/>
      <c r="M104" s="384"/>
      <c r="N104" s="384"/>
      <c r="O104" s="384"/>
      <c r="P104" s="384"/>
      <c r="Q104" s="384"/>
      <c r="R104" s="384"/>
      <c r="S104" s="384"/>
      <c r="T104" s="384"/>
      <c r="U104" s="384"/>
      <c r="V104" s="384"/>
      <c r="W104" s="384"/>
      <c r="X104" s="384"/>
      <c r="Y104" s="384"/>
      <c r="Z104" s="56" t="str">
        <f t="shared" si="6"/>
        <v/>
      </c>
    </row>
    <row r="105" spans="2:26" ht="15.75" x14ac:dyDescent="0.25">
      <c r="B105" s="57">
        <f t="shared" si="5"/>
        <v>75</v>
      </c>
      <c r="C105" s="241" t="str">
        <f>IF('תנאי סף'!AO105&lt;&gt;1,"",'תנאי סף'!F105)</f>
        <v>לבונטין 7</v>
      </c>
      <c r="D105" s="49">
        <f>IF(C105="","",IF(ייצוב!G105="",$AH$1,ייצוב!G105))</f>
        <v>0</v>
      </c>
      <c r="E105" s="52">
        <f>IF(C105="","",IF(ייצוב!E105="",$AH$1,ייצוב!E105))</f>
        <v>0</v>
      </c>
      <c r="F105" s="52">
        <f>IF(B105="","",'התחשיב הבסיסי'!AF105)</f>
        <v>71158.234002126628</v>
      </c>
      <c r="G105" s="49">
        <f>IF(C105="","",'תמיכה מינימלית'!Y105)</f>
        <v>2.3442015930356278E-2</v>
      </c>
      <c r="H105" s="53">
        <f>IF(C105="","",'תמיכה מינימלית'!Z105)</f>
        <v>72116.244221622357</v>
      </c>
      <c r="I105" s="58">
        <f>IF($C105="","",'הגבלה לסכום מבוקש (1)'!D105)</f>
        <v>100000</v>
      </c>
      <c r="J105" s="55">
        <f>'הגבלה לסכום מבוקש (2)'!W105</f>
        <v>74924.348521178807</v>
      </c>
      <c r="K105" s="431">
        <f t="shared" si="4"/>
        <v>74924.348521178807</v>
      </c>
      <c r="L105" s="384"/>
      <c r="M105" s="384"/>
      <c r="N105" s="384"/>
      <c r="O105" s="384"/>
      <c r="P105" s="384"/>
      <c r="Q105" s="384"/>
      <c r="R105" s="384"/>
      <c r="S105" s="384"/>
      <c r="T105" s="384"/>
      <c r="U105" s="384"/>
      <c r="V105" s="384"/>
      <c r="W105" s="384"/>
      <c r="X105" s="384"/>
      <c r="Y105" s="384"/>
      <c r="Z105" s="56" t="str">
        <f t="shared" si="6"/>
        <v>לא ניתן לחשב</v>
      </c>
    </row>
    <row r="106" spans="2:26" ht="15.75" x14ac:dyDescent="0.25">
      <c r="B106" s="57">
        <f t="shared" si="5"/>
        <v>76</v>
      </c>
      <c r="C106" s="241" t="str">
        <f>IF('תנאי סף'!AO106&lt;&gt;1,"",'תנאי סף'!F106)</f>
        <v>מולטי פיאנו- פליציה בלומנטל</v>
      </c>
      <c r="D106" s="49">
        <f>IF(C106="","",IF(ייצוב!G106="",$AH$1,ייצוב!G106))</f>
        <v>0</v>
      </c>
      <c r="E106" s="52">
        <f>IF(C106="","",IF(ייצוב!E106="",$AH$1,ייצוב!E106))</f>
        <v>0</v>
      </c>
      <c r="F106" s="52">
        <f>IF(B106="","",'התחשיב הבסיסי'!AF106)</f>
        <v>51709.121398301802</v>
      </c>
      <c r="G106" s="49">
        <f>IF(C106="","",'תמיכה מינימלית'!Y106)</f>
        <v>1.7034796669173822E-2</v>
      </c>
      <c r="H106" s="53">
        <f>IF(C106="","",'תמיכה מינימלית'!Z106)</f>
        <v>52405.286324756264</v>
      </c>
      <c r="I106" s="58">
        <f>IF($C106="","",'הגבלה לסכום מבוקש (1)'!D106)</f>
        <v>75000</v>
      </c>
      <c r="J106" s="55">
        <f>'הגבלה לסכום מבוקש (2)'!W106</f>
        <v>54445.873871104297</v>
      </c>
      <c r="K106" s="431">
        <f t="shared" si="4"/>
        <v>54445.873871104297</v>
      </c>
      <c r="L106" s="384"/>
      <c r="M106" s="384"/>
      <c r="N106" s="384"/>
      <c r="O106" s="384"/>
      <c r="P106" s="384"/>
      <c r="Q106" s="384"/>
      <c r="R106" s="384"/>
      <c r="S106" s="384"/>
      <c r="T106" s="384"/>
      <c r="U106" s="384"/>
      <c r="V106" s="384"/>
      <c r="W106" s="384"/>
      <c r="X106" s="384"/>
      <c r="Y106" s="384"/>
      <c r="Z106" s="56" t="str">
        <f t="shared" si="6"/>
        <v>לא ניתן לחשב</v>
      </c>
    </row>
    <row r="107" spans="2:26" ht="15.75" x14ac:dyDescent="0.25">
      <c r="B107" s="57">
        <f t="shared" si="5"/>
        <v>77</v>
      </c>
      <c r="C107" s="241" t="str">
        <f>IF('תנאי סף'!AO107&lt;&gt;1,"",'תנאי סף'!F107)</f>
        <v>ארמון בזמן - העמותה לתרבות רב תחומית</v>
      </c>
      <c r="D107" s="49">
        <f>IF(C107="","",IF(ייצוב!G107="",$AH$1,ייצוב!G107))</f>
        <v>2.1701409748911622E-2</v>
      </c>
      <c r="E107" s="52">
        <f>IF(C107="","",IF(ייצוב!E107="",$AH$1,ייצוב!E107))</f>
        <v>65924</v>
      </c>
      <c r="F107" s="52">
        <f>IF(B107="","",'התחשיב הבסיסי'!AF107)</f>
        <v>72251.04925364838</v>
      </c>
      <c r="G107" s="49">
        <f>IF(C107="","",'תמיכה מינימלית'!Y107)</f>
        <v>2.3355758808991458E-2</v>
      </c>
      <c r="H107" s="53">
        <f>IF(C107="","",'תמיכה מינימלית'!Z107)</f>
        <v>71850.885659940628</v>
      </c>
      <c r="I107" s="58">
        <f>IF($C107="","",'הגבלה לסכום מבוקש (1)'!D107)</f>
        <v>300000</v>
      </c>
      <c r="J107" s="55">
        <f>'הגבלה לסכום מבוקש (2)'!W107</f>
        <v>74648.657273345365</v>
      </c>
      <c r="K107" s="431">
        <f t="shared" si="4"/>
        <v>8724.657273345365</v>
      </c>
      <c r="L107" s="384"/>
      <c r="M107" s="384"/>
      <c r="N107" s="384"/>
      <c r="O107" s="384"/>
      <c r="P107" s="384"/>
      <c r="Q107" s="384"/>
      <c r="R107" s="384"/>
      <c r="S107" s="384"/>
      <c r="T107" s="384"/>
      <c r="U107" s="384"/>
      <c r="V107" s="384"/>
      <c r="W107" s="384"/>
      <c r="X107" s="384"/>
      <c r="Y107" s="384"/>
      <c r="Z107" s="56">
        <f t="shared" si="6"/>
        <v>0.13234417318951164</v>
      </c>
    </row>
    <row r="108" spans="2:26" ht="15.75" x14ac:dyDescent="0.25">
      <c r="B108" s="57" t="str">
        <f t="shared" si="5"/>
        <v/>
      </c>
      <c r="C108" s="241" t="str">
        <f>IF('תנאי סף'!AO108&lt;&gt;1,"",'תנאי סף'!F108)</f>
        <v/>
      </c>
      <c r="D108" s="49" t="str">
        <f>IF(C108="","",IF(ייצוב!G108="",$AH$1,ייצוב!G108))</f>
        <v/>
      </c>
      <c r="E108" s="52" t="str">
        <f>IF(C108="","",IF(ייצוב!E108="",$AH$1,ייצוב!E108))</f>
        <v/>
      </c>
      <c r="F108" s="52" t="str">
        <f>IF(B108="","",'התחשיב הבסיסי'!AF108)</f>
        <v/>
      </c>
      <c r="G108" s="49" t="str">
        <f>IF(C108="","",'תמיכה מינימלית'!Y108)</f>
        <v/>
      </c>
      <c r="H108" s="53" t="str">
        <f>IF(C108="","",'תמיכה מינימלית'!Z108)</f>
        <v/>
      </c>
      <c r="I108" s="58" t="str">
        <f>IF($C108="","",'הגבלה לסכום מבוקש (1)'!D108)</f>
        <v/>
      </c>
      <c r="J108" s="55" t="str">
        <f>'הגבלה לסכום מבוקש (2)'!W108</f>
        <v/>
      </c>
      <c r="K108" s="431" t="str">
        <f t="shared" si="4"/>
        <v/>
      </c>
      <c r="L108" s="384"/>
      <c r="M108" s="384"/>
      <c r="N108" s="384"/>
      <c r="O108" s="384"/>
      <c r="P108" s="384"/>
      <c r="Q108" s="384"/>
      <c r="R108" s="384"/>
      <c r="S108" s="384"/>
      <c r="T108" s="384"/>
      <c r="U108" s="384"/>
      <c r="V108" s="384"/>
      <c r="W108" s="384"/>
      <c r="X108" s="384"/>
      <c r="Y108" s="384"/>
      <c r="Z108" s="56" t="str">
        <f t="shared" si="6"/>
        <v/>
      </c>
    </row>
    <row r="109" spans="2:26" ht="15.75" x14ac:dyDescent="0.25">
      <c r="B109" s="57" t="str">
        <f t="shared" si="5"/>
        <v/>
      </c>
      <c r="C109" s="241" t="str">
        <f>IF('תנאי סף'!AO109&lt;&gt;1,"",'תנאי סף'!F109)</f>
        <v/>
      </c>
      <c r="D109" s="49" t="str">
        <f>IF(C109="","",IF(ייצוב!G109="",$AH$1,ייצוב!G109))</f>
        <v/>
      </c>
      <c r="E109" s="52" t="str">
        <f>IF(C109="","",IF(ייצוב!E109="",$AH$1,ייצוב!E109))</f>
        <v/>
      </c>
      <c r="F109" s="52" t="str">
        <f>IF(B109="","",'התחשיב הבסיסי'!AF109)</f>
        <v/>
      </c>
      <c r="G109" s="49" t="str">
        <f>IF(C109="","",'תמיכה מינימלית'!Y109)</f>
        <v/>
      </c>
      <c r="H109" s="53" t="str">
        <f>IF(C109="","",'תמיכה מינימלית'!Z109)</f>
        <v/>
      </c>
      <c r="I109" s="58" t="str">
        <f>IF($C109="","",'הגבלה לסכום מבוקש (1)'!D109)</f>
        <v/>
      </c>
      <c r="J109" s="55" t="str">
        <f>'הגבלה לסכום מבוקש (2)'!W109</f>
        <v/>
      </c>
      <c r="K109" s="431" t="str">
        <f t="shared" si="4"/>
        <v/>
      </c>
      <c r="L109" s="384"/>
      <c r="M109" s="384"/>
      <c r="N109" s="384"/>
      <c r="O109" s="384"/>
      <c r="P109" s="384"/>
      <c r="Q109" s="384"/>
      <c r="R109" s="384"/>
      <c r="S109" s="384"/>
      <c r="T109" s="384"/>
      <c r="U109" s="384"/>
      <c r="V109" s="384"/>
      <c r="W109" s="384"/>
      <c r="X109" s="384"/>
      <c r="Y109" s="384"/>
      <c r="Z109" s="56" t="str">
        <f t="shared" si="6"/>
        <v/>
      </c>
    </row>
    <row r="110" spans="2:26" ht="15.75" x14ac:dyDescent="0.25">
      <c r="B110" s="57" t="str">
        <f t="shared" si="5"/>
        <v/>
      </c>
      <c r="C110" s="241" t="str">
        <f>IF('תנאי סף'!AO110&lt;&gt;1,"",'תנאי סף'!F110)</f>
        <v/>
      </c>
      <c r="D110" s="49" t="str">
        <f>IF(C110="","",IF(ייצוב!G110="",$AH$1,ייצוב!G110))</f>
        <v/>
      </c>
      <c r="E110" s="52" t="str">
        <f>IF(C110="","",IF(ייצוב!E110="",$AH$1,ייצוב!E110))</f>
        <v/>
      </c>
      <c r="F110" s="52" t="str">
        <f>IF(B110="","",'התחשיב הבסיסי'!AF110)</f>
        <v/>
      </c>
      <c r="G110" s="49" t="str">
        <f>IF(C110="","",'תמיכה מינימלית'!Y110)</f>
        <v/>
      </c>
      <c r="H110" s="53" t="str">
        <f>IF(C110="","",'תמיכה מינימלית'!Z110)</f>
        <v/>
      </c>
      <c r="I110" s="58" t="str">
        <f>IF($C110="","",'הגבלה לסכום מבוקש (1)'!D110)</f>
        <v/>
      </c>
      <c r="J110" s="55" t="str">
        <f>'הגבלה לסכום מבוקש (2)'!W110</f>
        <v/>
      </c>
      <c r="K110" s="431" t="str">
        <f t="shared" si="4"/>
        <v/>
      </c>
      <c r="L110" s="384"/>
      <c r="M110" s="384"/>
      <c r="N110" s="384"/>
      <c r="O110" s="384"/>
      <c r="P110" s="384"/>
      <c r="Q110" s="384"/>
      <c r="R110" s="384"/>
      <c r="S110" s="384"/>
      <c r="T110" s="384"/>
      <c r="U110" s="384"/>
      <c r="V110" s="384"/>
      <c r="W110" s="384"/>
      <c r="X110" s="384"/>
      <c r="Y110" s="384"/>
      <c r="Z110" s="56" t="str">
        <f t="shared" si="6"/>
        <v/>
      </c>
    </row>
    <row r="111" spans="2:26" ht="15.75" x14ac:dyDescent="0.25">
      <c r="B111" s="57" t="str">
        <f t="shared" si="5"/>
        <v/>
      </c>
      <c r="C111" s="241" t="str">
        <f>IF('תנאי סף'!AO111&lt;&gt;1,"",'תנאי סף'!F111)</f>
        <v/>
      </c>
      <c r="D111" s="49" t="str">
        <f>IF(C111="","",IF(ייצוב!G111="",$AH$1,ייצוב!G111))</f>
        <v/>
      </c>
      <c r="E111" s="52" t="str">
        <f>IF(C111="","",IF(ייצוב!E111="",$AH$1,ייצוב!E111))</f>
        <v/>
      </c>
      <c r="F111" s="52" t="str">
        <f>IF(B111="","",'התחשיב הבסיסי'!AF111)</f>
        <v/>
      </c>
      <c r="G111" s="49" t="str">
        <f>IF(C111="","",'תמיכה מינימלית'!Y111)</f>
        <v/>
      </c>
      <c r="H111" s="53" t="str">
        <f>IF(C111="","",'תמיכה מינימלית'!Z111)</f>
        <v/>
      </c>
      <c r="I111" s="58" t="str">
        <f>IF($C111="","",'הגבלה לסכום מבוקש (1)'!D111)</f>
        <v/>
      </c>
      <c r="J111" s="55" t="str">
        <f>'הגבלה לסכום מבוקש (2)'!W111</f>
        <v/>
      </c>
      <c r="K111" s="431" t="str">
        <f t="shared" si="4"/>
        <v/>
      </c>
      <c r="L111" s="384"/>
      <c r="M111" s="384"/>
      <c r="N111" s="384"/>
      <c r="O111" s="384"/>
      <c r="P111" s="384"/>
      <c r="Q111" s="384"/>
      <c r="R111" s="384"/>
      <c r="S111" s="384"/>
      <c r="T111" s="384"/>
      <c r="U111" s="384"/>
      <c r="V111" s="384"/>
      <c r="W111" s="384"/>
      <c r="X111" s="384"/>
      <c r="Y111" s="384"/>
      <c r="Z111" s="56" t="str">
        <f t="shared" si="6"/>
        <v/>
      </c>
    </row>
    <row r="112" spans="2:26" ht="15.75" x14ac:dyDescent="0.25">
      <c r="B112" s="57" t="str">
        <f t="shared" si="5"/>
        <v/>
      </c>
      <c r="C112" s="241" t="str">
        <f>IF('תנאי סף'!AO112&lt;&gt;1,"",'תנאי סף'!F112)</f>
        <v/>
      </c>
      <c r="D112" s="49" t="str">
        <f>IF(C112="","",IF(ייצוב!G112="",$AH$1,ייצוב!G112))</f>
        <v/>
      </c>
      <c r="E112" s="52" t="str">
        <f>IF(C112="","",IF(ייצוב!E112="",$AH$1,ייצוב!E112))</f>
        <v/>
      </c>
      <c r="F112" s="52" t="str">
        <f>IF(B112="","",'התחשיב הבסיסי'!AF112)</f>
        <v/>
      </c>
      <c r="G112" s="49" t="str">
        <f>IF(C112="","",'תמיכה מינימלית'!Y112)</f>
        <v/>
      </c>
      <c r="H112" s="53" t="str">
        <f>IF(C112="","",'תמיכה מינימלית'!Z112)</f>
        <v/>
      </c>
      <c r="I112" s="58" t="str">
        <f>IF($C112="","",'הגבלה לסכום מבוקש (1)'!D112)</f>
        <v/>
      </c>
      <c r="J112" s="55" t="str">
        <f>'הגבלה לסכום מבוקש (2)'!W112</f>
        <v/>
      </c>
      <c r="K112" s="431" t="str">
        <f t="shared" si="4"/>
        <v/>
      </c>
      <c r="L112" s="384"/>
      <c r="M112" s="384"/>
      <c r="N112" s="384"/>
      <c r="O112" s="384"/>
      <c r="P112" s="384"/>
      <c r="Q112" s="384"/>
      <c r="R112" s="384"/>
      <c r="S112" s="384"/>
      <c r="T112" s="384"/>
      <c r="U112" s="384"/>
      <c r="V112" s="384"/>
      <c r="W112" s="384"/>
      <c r="X112" s="384"/>
      <c r="Y112" s="384"/>
      <c r="Z112" s="56" t="str">
        <f t="shared" si="6"/>
        <v/>
      </c>
    </row>
    <row r="113" spans="2:26" ht="15.75" x14ac:dyDescent="0.25">
      <c r="B113" s="57" t="str">
        <f t="shared" si="5"/>
        <v/>
      </c>
      <c r="C113" s="241" t="str">
        <f>IF('תנאי סף'!AO113&lt;&gt;1,"",'תנאי סף'!F113)</f>
        <v/>
      </c>
      <c r="D113" s="49" t="str">
        <f>IF(C113="","",IF(ייצוב!G113="",$AH$1,ייצוב!G113))</f>
        <v/>
      </c>
      <c r="E113" s="52" t="str">
        <f>IF(C113="","",IF(ייצוב!E113="",$AH$1,ייצוב!E113))</f>
        <v/>
      </c>
      <c r="F113" s="52" t="str">
        <f>IF(B113="","",'התחשיב הבסיסי'!AF113)</f>
        <v/>
      </c>
      <c r="G113" s="49" t="str">
        <f>IF(C113="","",'תמיכה מינימלית'!Y113)</f>
        <v/>
      </c>
      <c r="H113" s="53" t="str">
        <f>IF(C113="","",'תמיכה מינימלית'!Z113)</f>
        <v/>
      </c>
      <c r="I113" s="58" t="str">
        <f>IF($C113="","",'הגבלה לסכום מבוקש (1)'!D113)</f>
        <v/>
      </c>
      <c r="J113" s="55" t="str">
        <f>'הגבלה לסכום מבוקש (2)'!W113</f>
        <v/>
      </c>
      <c r="K113" s="431" t="str">
        <f t="shared" si="4"/>
        <v/>
      </c>
      <c r="L113" s="384"/>
      <c r="M113" s="384"/>
      <c r="N113" s="384"/>
      <c r="O113" s="384"/>
      <c r="P113" s="384"/>
      <c r="Q113" s="384"/>
      <c r="R113" s="384"/>
      <c r="S113" s="384"/>
      <c r="T113" s="384"/>
      <c r="U113" s="384"/>
      <c r="V113" s="384"/>
      <c r="W113" s="384"/>
      <c r="X113" s="384"/>
      <c r="Y113" s="384"/>
      <c r="Z113" s="56" t="str">
        <f t="shared" si="6"/>
        <v/>
      </c>
    </row>
    <row r="114" spans="2:26" ht="15.75" x14ac:dyDescent="0.25">
      <c r="B114" s="57" t="str">
        <f t="shared" si="5"/>
        <v/>
      </c>
      <c r="C114" s="241" t="str">
        <f>IF('תנאי סף'!AO114&lt;&gt;1,"",'תנאי סף'!F114)</f>
        <v/>
      </c>
      <c r="D114" s="49" t="str">
        <f>IF(C114="","",IF(ייצוב!G114="",$AH$1,ייצוב!G114))</f>
        <v/>
      </c>
      <c r="E114" s="52" t="str">
        <f>IF(C114="","",IF(ייצוב!E114="",$AH$1,ייצוב!E114))</f>
        <v/>
      </c>
      <c r="F114" s="52" t="str">
        <f>IF(B114="","",'התחשיב הבסיסי'!AF114)</f>
        <v/>
      </c>
      <c r="G114" s="49" t="str">
        <f>IF(C114="","",'תמיכה מינימלית'!Y114)</f>
        <v/>
      </c>
      <c r="H114" s="53" t="str">
        <f>IF(C114="","",'תמיכה מינימלית'!Z114)</f>
        <v/>
      </c>
      <c r="I114" s="58" t="str">
        <f>IF($C114="","",'הגבלה לסכום מבוקש (1)'!D114)</f>
        <v/>
      </c>
      <c r="J114" s="55" t="str">
        <f>'הגבלה לסכום מבוקש (2)'!W114</f>
        <v/>
      </c>
      <c r="K114" s="431" t="str">
        <f t="shared" si="4"/>
        <v/>
      </c>
      <c r="L114" s="384"/>
      <c r="M114" s="384"/>
      <c r="N114" s="384"/>
      <c r="O114" s="384"/>
      <c r="P114" s="384"/>
      <c r="Q114" s="384"/>
      <c r="R114" s="384"/>
      <c r="S114" s="384"/>
      <c r="T114" s="384"/>
      <c r="U114" s="384"/>
      <c r="V114" s="384"/>
      <c r="W114" s="384"/>
      <c r="X114" s="384"/>
      <c r="Y114" s="384"/>
      <c r="Z114" s="56" t="str">
        <f t="shared" si="6"/>
        <v/>
      </c>
    </row>
    <row r="115" spans="2:26" ht="15.75" x14ac:dyDescent="0.25">
      <c r="B115" s="57" t="str">
        <f t="shared" si="5"/>
        <v/>
      </c>
      <c r="C115" s="241" t="str">
        <f>IF('תנאי סף'!AO115&lt;&gt;1,"",'תנאי סף'!F115)</f>
        <v/>
      </c>
      <c r="D115" s="49" t="str">
        <f>IF(C115="","",IF(ייצוב!G115="",$AH$1,ייצוב!G115))</f>
        <v/>
      </c>
      <c r="E115" s="52" t="str">
        <f>IF(C115="","",IF(ייצוב!E115="",$AH$1,ייצוב!E115))</f>
        <v/>
      </c>
      <c r="F115" s="52" t="str">
        <f>IF(B115="","",'התחשיב הבסיסי'!AF115)</f>
        <v/>
      </c>
      <c r="G115" s="49" t="str">
        <f>IF(C115="","",'תמיכה מינימלית'!Y115)</f>
        <v/>
      </c>
      <c r="H115" s="53" t="str">
        <f>IF(C115="","",'תמיכה מינימלית'!Z115)</f>
        <v/>
      </c>
      <c r="I115" s="58" t="str">
        <f>IF($C115="","",'הגבלה לסכום מבוקש (1)'!D115)</f>
        <v/>
      </c>
      <c r="J115" s="55" t="str">
        <f>'הגבלה לסכום מבוקש (2)'!W115</f>
        <v/>
      </c>
      <c r="K115" s="431" t="str">
        <f t="shared" si="4"/>
        <v/>
      </c>
      <c r="L115" s="384"/>
      <c r="M115" s="384"/>
      <c r="N115" s="384"/>
      <c r="O115" s="384"/>
      <c r="P115" s="384"/>
      <c r="Q115" s="384"/>
      <c r="R115" s="384"/>
      <c r="S115" s="384"/>
      <c r="T115" s="384"/>
      <c r="U115" s="384"/>
      <c r="V115" s="384"/>
      <c r="W115" s="384"/>
      <c r="X115" s="384"/>
      <c r="Y115" s="384"/>
      <c r="Z115" s="56" t="str">
        <f t="shared" si="6"/>
        <v/>
      </c>
    </row>
    <row r="116" spans="2:26" ht="15.75" x14ac:dyDescent="0.25">
      <c r="B116" s="57" t="str">
        <f t="shared" si="5"/>
        <v/>
      </c>
      <c r="C116" s="241" t="str">
        <f>IF('תנאי סף'!AO116&lt;&gt;1,"",'תנאי סף'!F116)</f>
        <v/>
      </c>
      <c r="D116" s="49" t="str">
        <f>IF(C116="","",IF(ייצוב!G116="",$AH$1,ייצוב!G116))</f>
        <v/>
      </c>
      <c r="E116" s="52" t="str">
        <f>IF(C116="","",IF(ייצוב!E116="",$AH$1,ייצוב!E116))</f>
        <v/>
      </c>
      <c r="F116" s="52" t="str">
        <f>IF(B116="","",'התחשיב הבסיסי'!AF116)</f>
        <v/>
      </c>
      <c r="G116" s="49" t="str">
        <f>IF(C116="","",'תמיכה מינימלית'!Y116)</f>
        <v/>
      </c>
      <c r="H116" s="53" t="str">
        <f>IF(C116="","",'תמיכה מינימלית'!Z116)</f>
        <v/>
      </c>
      <c r="I116" s="58" t="str">
        <f>IF($C116="","",'הגבלה לסכום מבוקש (1)'!D116)</f>
        <v/>
      </c>
      <c r="J116" s="55" t="str">
        <f>'הגבלה לסכום מבוקש (2)'!W116</f>
        <v/>
      </c>
      <c r="K116" s="431" t="str">
        <f t="shared" si="4"/>
        <v/>
      </c>
      <c r="L116" s="384"/>
      <c r="M116" s="384"/>
      <c r="N116" s="384"/>
      <c r="O116" s="384"/>
      <c r="P116" s="384"/>
      <c r="Q116" s="384"/>
      <c r="R116" s="384"/>
      <c r="S116" s="384"/>
      <c r="T116" s="384"/>
      <c r="U116" s="384"/>
      <c r="V116" s="384"/>
      <c r="W116" s="384"/>
      <c r="X116" s="384"/>
      <c r="Y116" s="384"/>
      <c r="Z116" s="56" t="str">
        <f t="shared" si="6"/>
        <v/>
      </c>
    </row>
    <row r="117" spans="2:26" ht="15.75" x14ac:dyDescent="0.25">
      <c r="B117" s="57" t="str">
        <f t="shared" si="5"/>
        <v/>
      </c>
      <c r="C117" s="241" t="str">
        <f>IF('תנאי סף'!AO117&lt;&gt;1,"",'תנאי סף'!F117)</f>
        <v/>
      </c>
      <c r="D117" s="49" t="str">
        <f>IF(C117="","",IF(ייצוב!G117="",$AH$1,ייצוב!G117))</f>
        <v/>
      </c>
      <c r="E117" s="52" t="str">
        <f>IF(C117="","",IF(ייצוב!E117="",$AH$1,ייצוב!E117))</f>
        <v/>
      </c>
      <c r="F117" s="52" t="str">
        <f>IF(B117="","",'התחשיב הבסיסי'!AF117)</f>
        <v/>
      </c>
      <c r="G117" s="49" t="str">
        <f>IF(C117="","",'תמיכה מינימלית'!Y117)</f>
        <v/>
      </c>
      <c r="H117" s="53" t="str">
        <f>IF(C117="","",'תמיכה מינימלית'!Z117)</f>
        <v/>
      </c>
      <c r="I117" s="58" t="str">
        <f>IF($C117="","",'הגבלה לסכום מבוקש (1)'!D117)</f>
        <v/>
      </c>
      <c r="J117" s="55" t="str">
        <f>'הגבלה לסכום מבוקש (2)'!W117</f>
        <v/>
      </c>
      <c r="K117" s="431" t="str">
        <f t="shared" si="4"/>
        <v/>
      </c>
      <c r="L117" s="384"/>
      <c r="M117" s="384"/>
      <c r="N117" s="384"/>
      <c r="O117" s="384"/>
      <c r="P117" s="384"/>
      <c r="Q117" s="384"/>
      <c r="R117" s="384"/>
      <c r="S117" s="384"/>
      <c r="T117" s="384"/>
      <c r="U117" s="384"/>
      <c r="V117" s="384"/>
      <c r="W117" s="384"/>
      <c r="X117" s="384"/>
      <c r="Y117" s="384"/>
      <c r="Z117" s="56" t="str">
        <f t="shared" si="6"/>
        <v/>
      </c>
    </row>
    <row r="118" spans="2:26" ht="15.75" x14ac:dyDescent="0.25">
      <c r="B118" s="57" t="str">
        <f t="shared" si="5"/>
        <v/>
      </c>
      <c r="C118" s="241" t="str">
        <f>IF('תנאי סף'!AO118&lt;&gt;1,"",'תנאי סף'!F118)</f>
        <v/>
      </c>
      <c r="D118" s="49" t="str">
        <f>IF(C118="","",IF(ייצוב!G118="",$AH$1,ייצוב!G118))</f>
        <v/>
      </c>
      <c r="E118" s="52" t="str">
        <f>IF(C118="","",IF(ייצוב!E118="",$AH$1,ייצוב!E118))</f>
        <v/>
      </c>
      <c r="F118" s="52" t="str">
        <f>IF(B118="","",'התחשיב הבסיסי'!AF118)</f>
        <v/>
      </c>
      <c r="G118" s="49" t="str">
        <f>IF(C118="","",'תמיכה מינימלית'!Y118)</f>
        <v/>
      </c>
      <c r="H118" s="53" t="str">
        <f>IF(C118="","",'תמיכה מינימלית'!Z118)</f>
        <v/>
      </c>
      <c r="I118" s="58" t="str">
        <f>IF($C118="","",'הגבלה לסכום מבוקש (1)'!D118)</f>
        <v/>
      </c>
      <c r="J118" s="55" t="str">
        <f>'הגבלה לסכום מבוקש (2)'!W118</f>
        <v/>
      </c>
      <c r="K118" s="431" t="str">
        <f t="shared" si="4"/>
        <v/>
      </c>
      <c r="L118" s="384"/>
      <c r="M118" s="384"/>
      <c r="N118" s="384"/>
      <c r="O118" s="384"/>
      <c r="P118" s="384"/>
      <c r="Q118" s="384"/>
      <c r="R118" s="384"/>
      <c r="S118" s="384"/>
      <c r="T118" s="384"/>
      <c r="U118" s="384"/>
      <c r="V118" s="384"/>
      <c r="W118" s="384"/>
      <c r="X118" s="384"/>
      <c r="Y118" s="384"/>
      <c r="Z118" s="56" t="str">
        <f t="shared" si="6"/>
        <v/>
      </c>
    </row>
    <row r="119" spans="2:26" ht="15.75" x14ac:dyDescent="0.25">
      <c r="B119" s="57" t="str">
        <f t="shared" si="5"/>
        <v/>
      </c>
      <c r="C119" s="241" t="str">
        <f>IF('תנאי סף'!AO119&lt;&gt;1,"",'תנאי סף'!F119)</f>
        <v/>
      </c>
      <c r="D119" s="49" t="str">
        <f>IF(C119="","",IF(ייצוב!G119="",$AH$1,ייצוב!G119))</f>
        <v/>
      </c>
      <c r="E119" s="52" t="str">
        <f>IF(C119="","",IF(ייצוב!E119="",$AH$1,ייצוב!E119))</f>
        <v/>
      </c>
      <c r="F119" s="52" t="str">
        <f>IF(B119="","",'התחשיב הבסיסי'!AF119)</f>
        <v/>
      </c>
      <c r="G119" s="49" t="str">
        <f>IF(C119="","",'תמיכה מינימלית'!Y119)</f>
        <v/>
      </c>
      <c r="H119" s="53" t="str">
        <f>IF(C119="","",'תמיכה מינימלית'!Z119)</f>
        <v/>
      </c>
      <c r="I119" s="58" t="str">
        <f>IF($C119="","",'הגבלה לסכום מבוקש (1)'!D119)</f>
        <v/>
      </c>
      <c r="J119" s="55" t="str">
        <f>'הגבלה לסכום מבוקש (2)'!W119</f>
        <v/>
      </c>
      <c r="K119" s="431" t="str">
        <f t="shared" si="4"/>
        <v/>
      </c>
      <c r="L119" s="384"/>
      <c r="M119" s="384"/>
      <c r="N119" s="384"/>
      <c r="O119" s="384"/>
      <c r="P119" s="384"/>
      <c r="Q119" s="384"/>
      <c r="R119" s="384"/>
      <c r="S119" s="384"/>
      <c r="T119" s="384"/>
      <c r="U119" s="384"/>
      <c r="V119" s="384"/>
      <c r="W119" s="384"/>
      <c r="X119" s="384"/>
      <c r="Y119" s="384"/>
      <c r="Z119" s="56" t="str">
        <f t="shared" si="6"/>
        <v/>
      </c>
    </row>
    <row r="120" spans="2:26" ht="15.75" x14ac:dyDescent="0.25">
      <c r="B120" s="57" t="str">
        <f t="shared" si="5"/>
        <v/>
      </c>
      <c r="C120" s="241" t="str">
        <f>IF('תנאי סף'!AO120&lt;&gt;1,"",'תנאי סף'!F120)</f>
        <v/>
      </c>
      <c r="D120" s="49" t="str">
        <f>IF(C120="","",IF(ייצוב!G120="",$AH$1,ייצוב!G120))</f>
        <v/>
      </c>
      <c r="E120" s="52" t="str">
        <f>IF(C120="","",IF(ייצוב!E120="",$AH$1,ייצוב!E120))</f>
        <v/>
      </c>
      <c r="F120" s="52" t="str">
        <f>IF(B120="","",'התחשיב הבסיסי'!AF120)</f>
        <v/>
      </c>
      <c r="G120" s="49" t="str">
        <f>IF(C120="","",'תמיכה מינימלית'!Y120)</f>
        <v/>
      </c>
      <c r="H120" s="53" t="str">
        <f>IF(C120="","",'תמיכה מינימלית'!Z120)</f>
        <v/>
      </c>
      <c r="I120" s="58" t="str">
        <f>IF($C120="","",'הגבלה לסכום מבוקש (1)'!D120)</f>
        <v/>
      </c>
      <c r="J120" s="55" t="str">
        <f>'הגבלה לסכום מבוקש (2)'!W120</f>
        <v/>
      </c>
      <c r="K120" s="431" t="str">
        <f t="shared" si="4"/>
        <v/>
      </c>
      <c r="L120" s="384"/>
      <c r="M120" s="384"/>
      <c r="N120" s="384"/>
      <c r="O120" s="384"/>
      <c r="P120" s="384"/>
      <c r="Q120" s="384"/>
      <c r="R120" s="384"/>
      <c r="S120" s="384"/>
      <c r="T120" s="384"/>
      <c r="U120" s="384"/>
      <c r="V120" s="384"/>
      <c r="W120" s="384"/>
      <c r="X120" s="384"/>
      <c r="Y120" s="384"/>
      <c r="Z120" s="56" t="str">
        <f t="shared" si="6"/>
        <v/>
      </c>
    </row>
    <row r="121" spans="2:26" ht="15.75" x14ac:dyDescent="0.25">
      <c r="B121" s="57" t="str">
        <f t="shared" si="5"/>
        <v/>
      </c>
      <c r="C121" s="241" t="str">
        <f>IF('תנאי סף'!AO121&lt;&gt;1,"",'תנאי סף'!F121)</f>
        <v/>
      </c>
      <c r="D121" s="49" t="str">
        <f>IF(C121="","",IF(ייצוב!G121="",$AH$1,ייצוב!G121))</f>
        <v/>
      </c>
      <c r="E121" s="52" t="str">
        <f>IF(C121="","",IF(ייצוב!E121="",$AH$1,ייצוב!E121))</f>
        <v/>
      </c>
      <c r="F121" s="52" t="str">
        <f>IF(B121="","",'התחשיב הבסיסי'!AF121)</f>
        <v/>
      </c>
      <c r="G121" s="49" t="str">
        <f>IF(C121="","",'תמיכה מינימלית'!Y121)</f>
        <v/>
      </c>
      <c r="H121" s="53" t="str">
        <f>IF(C121="","",'תמיכה מינימלית'!Z121)</f>
        <v/>
      </c>
      <c r="I121" s="58" t="str">
        <f>IF($C121="","",'הגבלה לסכום מבוקש (1)'!D121)</f>
        <v/>
      </c>
      <c r="J121" s="55" t="str">
        <f>'הגבלה לסכום מבוקש (2)'!W121</f>
        <v/>
      </c>
      <c r="K121" s="431" t="str">
        <f t="shared" si="4"/>
        <v/>
      </c>
      <c r="L121" s="384"/>
      <c r="M121" s="384"/>
      <c r="N121" s="384"/>
      <c r="O121" s="384"/>
      <c r="P121" s="384"/>
      <c r="Q121" s="384"/>
      <c r="R121" s="384"/>
      <c r="S121" s="384"/>
      <c r="T121" s="384"/>
      <c r="U121" s="384"/>
      <c r="V121" s="384"/>
      <c r="W121" s="384"/>
      <c r="X121" s="384"/>
      <c r="Y121" s="384"/>
      <c r="Z121" s="56" t="str">
        <f t="shared" si="6"/>
        <v/>
      </c>
    </row>
    <row r="122" spans="2:26" ht="15.75" x14ac:dyDescent="0.25">
      <c r="B122" s="57" t="str">
        <f t="shared" si="5"/>
        <v/>
      </c>
      <c r="C122" s="241" t="str">
        <f>IF('תנאי סף'!AO122&lt;&gt;1,"",'תנאי סף'!F122)</f>
        <v/>
      </c>
      <c r="D122" s="49" t="str">
        <f>IF(C122="","",IF(ייצוב!G122="",$AH$1,ייצוב!G122))</f>
        <v/>
      </c>
      <c r="E122" s="52" t="str">
        <f>IF(C122="","",IF(ייצוב!E122="",$AH$1,ייצוב!E122))</f>
        <v/>
      </c>
      <c r="F122" s="52" t="str">
        <f>IF(B122="","",'התחשיב הבסיסי'!AF122)</f>
        <v/>
      </c>
      <c r="G122" s="49" t="str">
        <f>IF(C122="","",'תמיכה מינימלית'!Y122)</f>
        <v/>
      </c>
      <c r="H122" s="53" t="str">
        <f>IF(C122="","",'תמיכה מינימלית'!Z122)</f>
        <v/>
      </c>
      <c r="I122" s="58" t="str">
        <f>IF($C122="","",'הגבלה לסכום מבוקש (1)'!D122)</f>
        <v/>
      </c>
      <c r="J122" s="55" t="str">
        <f>'הגבלה לסכום מבוקש (2)'!W122</f>
        <v/>
      </c>
      <c r="K122" s="431" t="str">
        <f t="shared" si="4"/>
        <v/>
      </c>
      <c r="L122" s="384"/>
      <c r="M122" s="384"/>
      <c r="N122" s="384"/>
      <c r="O122" s="384"/>
      <c r="P122" s="384"/>
      <c r="Q122" s="384"/>
      <c r="R122" s="384"/>
      <c r="S122" s="384"/>
      <c r="T122" s="384"/>
      <c r="U122" s="384"/>
      <c r="V122" s="384"/>
      <c r="W122" s="384"/>
      <c r="X122" s="384"/>
      <c r="Y122" s="384"/>
      <c r="Z122" s="56" t="str">
        <f t="shared" si="6"/>
        <v/>
      </c>
    </row>
    <row r="123" spans="2:26" ht="15.75" x14ac:dyDescent="0.25">
      <c r="B123" s="57" t="str">
        <f t="shared" si="5"/>
        <v/>
      </c>
      <c r="C123" s="241" t="str">
        <f>IF('תנאי סף'!AO123&lt;&gt;1,"",'תנאי סף'!F123)</f>
        <v/>
      </c>
      <c r="D123" s="49" t="str">
        <f>IF(C123="","",IF(ייצוב!G123="",$AH$1,ייצוב!G123))</f>
        <v/>
      </c>
      <c r="E123" s="52" t="str">
        <f>IF(C123="","",IF(ייצוב!E123="",$AH$1,ייצוב!E123))</f>
        <v/>
      </c>
      <c r="F123" s="52" t="str">
        <f>IF(B123="","",'התחשיב הבסיסי'!AF123)</f>
        <v/>
      </c>
      <c r="G123" s="49" t="str">
        <f>IF(C123="","",'תמיכה מינימלית'!Y123)</f>
        <v/>
      </c>
      <c r="H123" s="53" t="str">
        <f>IF(C123="","",'תמיכה מינימלית'!Z123)</f>
        <v/>
      </c>
      <c r="I123" s="58" t="str">
        <f>IF($C123="","",'הגבלה לסכום מבוקש (1)'!D123)</f>
        <v/>
      </c>
      <c r="J123" s="55" t="str">
        <f>'הגבלה לסכום מבוקש (2)'!W123</f>
        <v/>
      </c>
      <c r="K123" s="431" t="str">
        <f t="shared" si="4"/>
        <v/>
      </c>
      <c r="L123" s="384"/>
      <c r="M123" s="384"/>
      <c r="N123" s="384"/>
      <c r="O123" s="384"/>
      <c r="P123" s="384"/>
      <c r="Q123" s="384"/>
      <c r="R123" s="384"/>
      <c r="S123" s="384"/>
      <c r="T123" s="384"/>
      <c r="U123" s="384"/>
      <c r="V123" s="384"/>
      <c r="W123" s="384"/>
      <c r="X123" s="384"/>
      <c r="Y123" s="384"/>
      <c r="Z123" s="56" t="str">
        <f t="shared" si="6"/>
        <v/>
      </c>
    </row>
    <row r="124" spans="2:26" ht="15.75" x14ac:dyDescent="0.25">
      <c r="B124" s="57" t="str">
        <f t="shared" si="5"/>
        <v/>
      </c>
      <c r="C124" s="241" t="str">
        <f>IF('תנאי סף'!AO124&lt;&gt;1,"",'תנאי סף'!F124)</f>
        <v/>
      </c>
      <c r="D124" s="49" t="str">
        <f>IF(C124="","",IF(ייצוב!G124="",$AH$1,ייצוב!G124))</f>
        <v/>
      </c>
      <c r="E124" s="52" t="str">
        <f>IF(C124="","",IF(ייצוב!E124="",$AH$1,ייצוב!E124))</f>
        <v/>
      </c>
      <c r="F124" s="52" t="str">
        <f>IF(B124="","",'התחשיב הבסיסי'!AF124)</f>
        <v/>
      </c>
      <c r="G124" s="49" t="str">
        <f>IF(C124="","",'תמיכה מינימלית'!Y124)</f>
        <v/>
      </c>
      <c r="H124" s="53" t="str">
        <f>IF(C124="","",'תמיכה מינימלית'!Z124)</f>
        <v/>
      </c>
      <c r="I124" s="58" t="str">
        <f>IF($C124="","",'הגבלה לסכום מבוקש (1)'!D124)</f>
        <v/>
      </c>
      <c r="J124" s="55" t="str">
        <f>'הגבלה לסכום מבוקש (2)'!W124</f>
        <v/>
      </c>
      <c r="K124" s="431" t="str">
        <f t="shared" si="4"/>
        <v/>
      </c>
      <c r="L124" s="384"/>
      <c r="M124" s="384"/>
      <c r="N124" s="384"/>
      <c r="O124" s="384"/>
      <c r="P124" s="384"/>
      <c r="Q124" s="384"/>
      <c r="R124" s="384"/>
      <c r="S124" s="384"/>
      <c r="T124" s="384"/>
      <c r="U124" s="384"/>
      <c r="V124" s="384"/>
      <c r="W124" s="384"/>
      <c r="X124" s="384"/>
      <c r="Y124" s="384"/>
      <c r="Z124" s="56" t="str">
        <f t="shared" si="6"/>
        <v/>
      </c>
    </row>
    <row r="125" spans="2:26" ht="15.75" x14ac:dyDescent="0.25">
      <c r="B125" s="57" t="str">
        <f t="shared" si="5"/>
        <v/>
      </c>
      <c r="C125" s="241" t="str">
        <f>IF('תנאי סף'!AO125&lt;&gt;1,"",'תנאי סף'!F125)</f>
        <v/>
      </c>
      <c r="D125" s="49" t="str">
        <f>IF(C125="","",IF(ייצוב!G125="",$AH$1,ייצוב!G125))</f>
        <v/>
      </c>
      <c r="E125" s="52" t="str">
        <f>IF(C125="","",IF(ייצוב!E125="",$AH$1,ייצוב!E125))</f>
        <v/>
      </c>
      <c r="F125" s="52" t="str">
        <f>IF(B125="","",'התחשיב הבסיסי'!AF125)</f>
        <v/>
      </c>
      <c r="G125" s="49" t="str">
        <f>IF(C125="","",'תמיכה מינימלית'!Y125)</f>
        <v/>
      </c>
      <c r="H125" s="53" t="str">
        <f>IF(C125="","",'תמיכה מינימלית'!Z125)</f>
        <v/>
      </c>
      <c r="I125" s="58" t="str">
        <f>IF($C125="","",'הגבלה לסכום מבוקש (1)'!D125)</f>
        <v/>
      </c>
      <c r="J125" s="55" t="str">
        <f>'הגבלה לסכום מבוקש (2)'!W125</f>
        <v/>
      </c>
      <c r="K125" s="431" t="str">
        <f t="shared" si="4"/>
        <v/>
      </c>
      <c r="L125" s="384"/>
      <c r="M125" s="384"/>
      <c r="N125" s="384"/>
      <c r="O125" s="384"/>
      <c r="P125" s="384"/>
      <c r="Q125" s="384"/>
      <c r="R125" s="384"/>
      <c r="S125" s="384"/>
      <c r="T125" s="384"/>
      <c r="U125" s="384"/>
      <c r="V125" s="384"/>
      <c r="W125" s="384"/>
      <c r="X125" s="384"/>
      <c r="Y125" s="384"/>
      <c r="Z125" s="56" t="str">
        <f t="shared" si="6"/>
        <v/>
      </c>
    </row>
    <row r="126" spans="2:26" ht="15.75" x14ac:dyDescent="0.25">
      <c r="B126" s="57" t="str">
        <f t="shared" si="5"/>
        <v/>
      </c>
      <c r="C126" s="241" t="str">
        <f>IF('תנאי סף'!AO126&lt;&gt;1,"",'תנאי סף'!F126)</f>
        <v/>
      </c>
      <c r="D126" s="49" t="str">
        <f>IF(C126="","",IF(ייצוב!G126="",$AH$1,ייצוב!G126))</f>
        <v/>
      </c>
      <c r="E126" s="52" t="str">
        <f>IF(C126="","",IF(ייצוב!E126="",$AH$1,ייצוב!E126))</f>
        <v/>
      </c>
      <c r="F126" s="52" t="str">
        <f>IF(B126="","",'התחשיב הבסיסי'!AF126)</f>
        <v/>
      </c>
      <c r="G126" s="49" t="str">
        <f>IF(C126="","",'תמיכה מינימלית'!Y126)</f>
        <v/>
      </c>
      <c r="H126" s="53" t="str">
        <f>IF(C126="","",'תמיכה מינימלית'!Z126)</f>
        <v/>
      </c>
      <c r="I126" s="58" t="str">
        <f>IF($C126="","",'הגבלה לסכום מבוקש (1)'!D126)</f>
        <v/>
      </c>
      <c r="J126" s="55" t="str">
        <f>'הגבלה לסכום מבוקש (2)'!W126</f>
        <v/>
      </c>
      <c r="K126" s="431" t="str">
        <f t="shared" si="4"/>
        <v/>
      </c>
      <c r="L126" s="384"/>
      <c r="M126" s="384"/>
      <c r="N126" s="384"/>
      <c r="O126" s="384"/>
      <c r="P126" s="384"/>
      <c r="Q126" s="384"/>
      <c r="R126" s="384"/>
      <c r="S126" s="384"/>
      <c r="T126" s="384"/>
      <c r="U126" s="384"/>
      <c r="V126" s="384"/>
      <c r="W126" s="384"/>
      <c r="X126" s="384"/>
      <c r="Y126" s="384"/>
      <c r="Z126" s="56" t="str">
        <f t="shared" si="6"/>
        <v/>
      </c>
    </row>
    <row r="127" spans="2:26" ht="15.75" x14ac:dyDescent="0.25">
      <c r="B127" s="57" t="str">
        <f t="shared" si="5"/>
        <v/>
      </c>
      <c r="C127" s="241" t="str">
        <f>IF('תנאי סף'!AO127&lt;&gt;1,"",'תנאי סף'!F127)</f>
        <v/>
      </c>
      <c r="D127" s="49" t="str">
        <f>IF(C127="","",IF(ייצוב!G127="",$AH$1,ייצוב!G127))</f>
        <v/>
      </c>
      <c r="E127" s="52" t="str">
        <f>IF(C127="","",IF(ייצוב!E127="",$AH$1,ייצוב!E127))</f>
        <v/>
      </c>
      <c r="F127" s="52" t="str">
        <f>IF(B127="","",'התחשיב הבסיסי'!AF127)</f>
        <v/>
      </c>
      <c r="G127" s="49" t="str">
        <f>IF(C127="","",'תמיכה מינימלית'!Y127)</f>
        <v/>
      </c>
      <c r="H127" s="53" t="str">
        <f>IF(C127="","",'תמיכה מינימלית'!Z127)</f>
        <v/>
      </c>
      <c r="I127" s="58" t="str">
        <f>IF($C127="","",'הגבלה לסכום מבוקש (1)'!D127)</f>
        <v/>
      </c>
      <c r="J127" s="55" t="str">
        <f>'הגבלה לסכום מבוקש (2)'!W127</f>
        <v/>
      </c>
      <c r="K127" s="431" t="str">
        <f>IFERROR(IF(C127="","",J127-E127),$AH$1)</f>
        <v/>
      </c>
      <c r="L127" s="384"/>
      <c r="M127" s="384"/>
      <c r="N127" s="384"/>
      <c r="O127" s="384"/>
      <c r="P127" s="384"/>
      <c r="Q127" s="384"/>
      <c r="R127" s="384"/>
      <c r="S127" s="384"/>
      <c r="T127" s="384"/>
      <c r="U127" s="384"/>
      <c r="V127" s="384"/>
      <c r="W127" s="384"/>
      <c r="X127" s="384"/>
      <c r="Y127" s="384"/>
      <c r="Z127" s="56" t="str">
        <f t="shared" si="6"/>
        <v/>
      </c>
    </row>
    <row r="128" spans="2:26" ht="15.75" x14ac:dyDescent="0.25">
      <c r="B128" s="57" t="str">
        <f t="shared" si="5"/>
        <v/>
      </c>
      <c r="C128" s="241" t="str">
        <f>IF('תנאי סף'!AO128&lt;&gt;1,"",'תנאי סף'!F128)</f>
        <v/>
      </c>
      <c r="D128" s="49" t="str">
        <f>IF(C128="","",IF(ייצוב!G128="",$AH$1,ייצוב!G128))</f>
        <v/>
      </c>
      <c r="E128" s="52" t="str">
        <f>IF(C128="","",IF(ייצוב!E128="",$AH$1,ייצוב!E128))</f>
        <v/>
      </c>
      <c r="F128" s="52" t="str">
        <f>IF(B128="","",'התחשיב הבסיסי'!AF128)</f>
        <v/>
      </c>
      <c r="G128" s="49" t="str">
        <f>IF(C128="","",'תמיכה מינימלית'!Y128)</f>
        <v/>
      </c>
      <c r="H128" s="53" t="str">
        <f>IF(C128="","",'תמיכה מינימלית'!Z128)</f>
        <v/>
      </c>
      <c r="I128" s="58" t="str">
        <f>IF($C128="","",'הגבלה לסכום מבוקש (1)'!D128)</f>
        <v/>
      </c>
      <c r="J128" s="55" t="str">
        <f>'הגבלה לסכום מבוקש (2)'!W128</f>
        <v/>
      </c>
      <c r="K128" s="431" t="str">
        <f>IFERROR(IF(C128="","",J128-E128),$AH$1)</f>
        <v/>
      </c>
      <c r="L128" s="384"/>
      <c r="M128" s="384"/>
      <c r="N128" s="384"/>
      <c r="O128" s="384"/>
      <c r="P128" s="384"/>
      <c r="Q128" s="384"/>
      <c r="R128" s="384"/>
      <c r="S128" s="384"/>
      <c r="T128" s="384"/>
      <c r="U128" s="384"/>
      <c r="V128" s="384"/>
      <c r="W128" s="384"/>
      <c r="X128" s="384"/>
      <c r="Y128" s="384"/>
      <c r="Z128" s="56" t="str">
        <f t="shared" si="6"/>
        <v/>
      </c>
    </row>
    <row r="129" spans="2:26" ht="15.75" x14ac:dyDescent="0.25">
      <c r="B129" s="57" t="str">
        <f t="shared" si="5"/>
        <v/>
      </c>
      <c r="C129" s="241" t="str">
        <f>IF('תנאי סף'!AO129&lt;&gt;1,"",'תנאי סף'!F129)</f>
        <v/>
      </c>
      <c r="D129" s="49" t="str">
        <f>IF(C129="","",IF(ייצוב!G129="",$AH$1,ייצוב!G129))</f>
        <v/>
      </c>
      <c r="E129" s="52" t="str">
        <f>IF(C129="","",IF(ייצוב!E129="",$AH$1,ייצוב!E129))</f>
        <v/>
      </c>
      <c r="F129" s="52" t="str">
        <f>IF(B129="","",'התחשיב הבסיסי'!AF129)</f>
        <v/>
      </c>
      <c r="G129" s="49" t="str">
        <f>IF(C129="","",'תמיכה מינימלית'!Y129)</f>
        <v/>
      </c>
      <c r="H129" s="53" t="str">
        <f>IF(C129="","",'תמיכה מינימלית'!Z129)</f>
        <v/>
      </c>
      <c r="I129" s="58" t="str">
        <f>IF($C129="","",'הגבלה לסכום מבוקש (1)'!D129)</f>
        <v/>
      </c>
      <c r="J129" s="55" t="str">
        <f>'הגבלה לסכום מבוקש (2)'!W129</f>
        <v/>
      </c>
      <c r="K129" s="431" t="str">
        <f>IFERROR(IF(C129="","",J129-E129),$AH$1)</f>
        <v/>
      </c>
      <c r="L129" s="384"/>
      <c r="M129" s="384"/>
      <c r="N129" s="384"/>
      <c r="O129" s="384"/>
      <c r="P129" s="384"/>
      <c r="Q129" s="384"/>
      <c r="R129" s="384"/>
      <c r="S129" s="384"/>
      <c r="T129" s="384"/>
      <c r="U129" s="384"/>
      <c r="V129" s="384"/>
      <c r="W129" s="384"/>
      <c r="X129" s="384"/>
      <c r="Y129" s="384"/>
      <c r="Z129" s="56" t="str">
        <f t="shared" si="6"/>
        <v/>
      </c>
    </row>
    <row r="130" spans="2:26" ht="16.5" thickBot="1" x14ac:dyDescent="0.3">
      <c r="B130" s="59" t="str">
        <f t="shared" si="5"/>
        <v/>
      </c>
      <c r="C130" s="241" t="str">
        <f>IF('תנאי סף'!AO130&lt;&gt;1,"",'תנאי סף'!F130)</f>
        <v/>
      </c>
      <c r="D130" s="60" t="str">
        <f>IF(C130="","",IF(ייצוב!G130="",$AH$1,ייצוב!G130))</f>
        <v/>
      </c>
      <c r="E130" s="60" t="str">
        <f>IF(C130="","",IF(ייצוב!E130="",$AH$1,ייצוב!E130))</f>
        <v/>
      </c>
      <c r="F130" s="60" t="str">
        <f>IF(B130="","",'התחשיב הבסיסי'!AF130)</f>
        <v/>
      </c>
      <c r="G130" s="49" t="str">
        <f>IF(C130="","",'תמיכה מינימלית'!Y130)</f>
        <v/>
      </c>
      <c r="H130" s="53" t="str">
        <f>IF(C130="","",'תמיכה מינימלית'!Z130)</f>
        <v/>
      </c>
      <c r="I130" s="61" t="str">
        <f>IF($C130="","",'הגבלה לסכום מבוקש (1)'!D130)</f>
        <v/>
      </c>
      <c r="J130" s="61" t="str">
        <f>'הגבלה לסכום מבוקש (2)'!W130</f>
        <v/>
      </c>
      <c r="K130" s="62" t="str">
        <f>IFERROR(IF(C130="","",J130-E130),$AH$1)</f>
        <v/>
      </c>
      <c r="L130" s="60"/>
      <c r="M130" s="60"/>
      <c r="N130" s="60"/>
      <c r="O130" s="60"/>
      <c r="P130" s="60"/>
      <c r="Q130" s="60"/>
      <c r="R130" s="60"/>
      <c r="S130" s="60"/>
      <c r="T130" s="60"/>
      <c r="U130" s="60"/>
      <c r="V130" s="60"/>
      <c r="W130" s="60"/>
      <c r="X130" s="60"/>
      <c r="Y130" s="60"/>
      <c r="Z130" s="56" t="str">
        <f t="shared" si="6"/>
        <v/>
      </c>
    </row>
    <row r="131" spans="2:26" ht="19.5" thickBot="1" x14ac:dyDescent="0.35">
      <c r="B131" s="629" t="s">
        <v>77</v>
      </c>
      <c r="C131" s="630"/>
      <c r="D131" s="63"/>
      <c r="E131" s="64">
        <f t="shared" ref="E131:K131" si="7">SUM(E31:E130)</f>
        <v>2796678</v>
      </c>
      <c r="F131" s="64">
        <f t="shared" si="7"/>
        <v>3076367.0000000019</v>
      </c>
      <c r="G131" s="63">
        <f t="shared" si="7"/>
        <v>0.99999999999999956</v>
      </c>
      <c r="H131" s="65">
        <f t="shared" si="7"/>
        <v>3076367</v>
      </c>
      <c r="I131" s="65">
        <f t="shared" si="7"/>
        <v>5581738</v>
      </c>
      <c r="J131" s="65">
        <f t="shared" si="7"/>
        <v>3076366.9999999991</v>
      </c>
      <c r="K131" s="65">
        <f t="shared" si="7"/>
        <v>279688.99999999919</v>
      </c>
      <c r="L131" s="66"/>
      <c r="M131" s="66"/>
      <c r="N131" s="66"/>
      <c r="O131" s="66"/>
      <c r="P131" s="66"/>
      <c r="Q131" s="66"/>
      <c r="R131" s="66"/>
      <c r="S131" s="66"/>
      <c r="T131" s="66"/>
      <c r="U131" s="66"/>
      <c r="V131" s="66"/>
      <c r="W131" s="66"/>
      <c r="X131" s="66"/>
      <c r="Y131" s="66"/>
      <c r="Z131" s="67"/>
    </row>
  </sheetData>
  <sheetProtection algorithmName="SHA-512" hashValue="2X9ueFeo6T/UdoQX3kWs7buKafL0FHqgMOQN5do4z2weBhzNKQt4PtcnUUaRs8hVlrCSwB72I17iUM8W+wZFfQ==" saltValue="i+mGcvIF3HOe00PIdgAsYg==" spinCount="100000" sheet="1" scenarios="1" formatCells="0" formatColumns="0" formatRows="0" autoFilter="0"/>
  <mergeCells count="13">
    <mergeCell ref="K29:K30"/>
    <mergeCell ref="Z29:Z30"/>
    <mergeCell ref="B131:C131"/>
    <mergeCell ref="B28:Z28"/>
    <mergeCell ref="B29:B30"/>
    <mergeCell ref="C29:C30"/>
    <mergeCell ref="D29:D30"/>
    <mergeCell ref="E29:E30"/>
    <mergeCell ref="F29:F30"/>
    <mergeCell ref="G29:G30"/>
    <mergeCell ref="H29:H30"/>
    <mergeCell ref="I29:I30"/>
    <mergeCell ref="J29:J30"/>
  </mergeCells>
  <conditionalFormatting sqref="B31:B130 C1:C2 E1:E2">
    <cfRule type="containsBlanks" dxfId="61" priority="25">
      <formula>LEN(TRIM(B1))=0</formula>
    </cfRule>
  </conditionalFormatting>
  <conditionalFormatting sqref="B31:Z130">
    <cfRule type="expression" dxfId="60" priority="1" stopIfTrue="1">
      <formula>AND($C31="",B31&lt;&gt;"")</formula>
    </cfRule>
    <cfRule type="expression" dxfId="59" priority="2">
      <formula>$C31=""</formula>
    </cfRule>
    <cfRule type="expression" dxfId="58" priority="3">
      <formula>B$30&lt;&gt;""</formula>
    </cfRule>
  </conditionalFormatting>
  <printOptions horizontalCentered="1"/>
  <pageMargins left="0.51181102362204722" right="0.51181102362204722" top="0.74803149606299213" bottom="0.74803149606299213" header="0.31496062992125984" footer="0.31496062992125984"/>
  <pageSetup paperSize="9" scale="73"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606CBD42-29FC-4790-8BD4-3F3FE092C472}">
            <xm:f>NOT(ISERROR(SEARCH($AH$1,B31)))</xm:f>
            <xm:f>$AH$1</xm:f>
            <x14:dxf>
              <fill>
                <patternFill>
                  <bgColor rgb="FFFF0000"/>
                </patternFill>
              </fill>
            </x14:dxf>
          </x14:cfRule>
          <xm:sqref>B31:Z130</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theme="8" tint="-0.249977111117893"/>
    <pageSetUpPr fitToPage="1"/>
  </sheetPr>
  <dimension ref="A1:GQ131"/>
  <sheetViews>
    <sheetView rightToLeft="1" view="pageBreakPreview" topLeftCell="B1" zoomScaleNormal="100" zoomScaleSheetLayoutView="100" workbookViewId="0">
      <pane ySplit="30" topLeftCell="A31" activePane="bottomLeft" state="frozen"/>
      <selection activeCell="G58" sqref="G58"/>
      <selection pane="bottomLeft" activeCell="B31" sqref="B31"/>
    </sheetView>
  </sheetViews>
  <sheetFormatPr defaultColWidth="8" defaultRowHeight="15.75" x14ac:dyDescent="0.25"/>
  <cols>
    <col min="1" max="1" width="8" style="191" hidden="1" customWidth="1"/>
    <col min="2" max="2" width="8.7109375" style="191" customWidth="1"/>
    <col min="3" max="3" width="32.85546875" style="191" bestFit="1" customWidth="1"/>
    <col min="4" max="4" width="20.140625" style="361" customWidth="1"/>
    <col min="5" max="5" width="17.140625" style="191" customWidth="1"/>
    <col min="6" max="6" width="10.28515625" style="191" customWidth="1"/>
    <col min="7" max="7" width="14" style="191" customWidth="1"/>
    <col min="8" max="8" width="28.5703125" style="191" customWidth="1"/>
    <col min="9" max="20" width="24" style="191" hidden="1" customWidth="1"/>
    <col min="21" max="21" width="15.140625" style="191" customWidth="1"/>
    <col min="22" max="23" width="9.140625" style="191" hidden="1" customWidth="1"/>
    <col min="24" max="24" width="19.85546875" style="191" hidden="1" customWidth="1"/>
    <col min="25" max="25" width="18.5703125" style="191" hidden="1" customWidth="1"/>
    <col min="26" max="26" width="22.85546875" style="191" customWidth="1"/>
    <col min="27" max="199" width="8" style="191" hidden="1" customWidth="1"/>
    <col min="200" max="200" width="61.85546875" style="191" customWidth="1"/>
    <col min="201" max="16384" width="8" style="191"/>
  </cols>
  <sheetData>
    <row r="1" spans="2:34" ht="18.75" x14ac:dyDescent="0.25">
      <c r="B1" s="249" t="str">
        <f>'פרמטרים לעקרונות חישוב התמיכה'!$B$1</f>
        <v>שנה</v>
      </c>
      <c r="C1" s="1">
        <f>'פרמטרים לעקרונות חישוב התמיכה'!$C$1</f>
        <v>2025</v>
      </c>
      <c r="AH1" s="191" t="s">
        <v>115</v>
      </c>
    </row>
    <row r="2" spans="2:34" ht="19.5" thickBot="1" x14ac:dyDescent="0.3">
      <c r="B2" s="256" t="str">
        <f>'פרמטרים לעקרונות חישוב התמיכה'!$B$2</f>
        <v>תקציב</v>
      </c>
      <c r="C2" s="2">
        <f>'פרמטרים לעקרונות חישוב התמיכה'!$C$2</f>
        <v>3076367</v>
      </c>
      <c r="F2" s="633" t="str">
        <f>IF(AND(U131&lt;&gt;0,C2&gt;U131),"נא לשים לב כי לא חולק סך התקציב בשל הגבולת לסכום מבוקש","")</f>
        <v/>
      </c>
      <c r="G2" s="634"/>
      <c r="H2" s="634"/>
      <c r="I2" s="634"/>
      <c r="J2" s="634"/>
      <c r="K2" s="634"/>
      <c r="L2" s="634"/>
      <c r="M2" s="634"/>
      <c r="N2" s="634"/>
      <c r="O2" s="634"/>
      <c r="P2" s="634"/>
      <c r="Q2" s="634"/>
      <c r="R2" s="634"/>
      <c r="S2" s="634"/>
      <c r="T2" s="634"/>
      <c r="U2" s="634"/>
    </row>
    <row r="4" spans="2:34" ht="16.5" thickBot="1" x14ac:dyDescent="0.3"/>
    <row r="5" spans="2:34" ht="13.5" hidden="1" customHeight="1" x14ac:dyDescent="0.25"/>
    <row r="6" spans="2:34" hidden="1" x14ac:dyDescent="0.25"/>
    <row r="7" spans="2:34" hidden="1" x14ac:dyDescent="0.25"/>
    <row r="8" spans="2:34" hidden="1" x14ac:dyDescent="0.25"/>
    <row r="9" spans="2:34" hidden="1" x14ac:dyDescent="0.25"/>
    <row r="10" spans="2:34" hidden="1" x14ac:dyDescent="0.25"/>
    <row r="11" spans="2:34" hidden="1" x14ac:dyDescent="0.25"/>
    <row r="12" spans="2:34" hidden="1" x14ac:dyDescent="0.25"/>
    <row r="13" spans="2:34" hidden="1" x14ac:dyDescent="0.25"/>
    <row r="14" spans="2:34" hidden="1" x14ac:dyDescent="0.25"/>
    <row r="15" spans="2:34" hidden="1" x14ac:dyDescent="0.25"/>
    <row r="16" spans="2:34" hidden="1" x14ac:dyDescent="0.25"/>
    <row r="17" spans="2:29" hidden="1" x14ac:dyDescent="0.25"/>
    <row r="18" spans="2:29" hidden="1" x14ac:dyDescent="0.25"/>
    <row r="19" spans="2:29" hidden="1" x14ac:dyDescent="0.25"/>
    <row r="20" spans="2:29" hidden="1" x14ac:dyDescent="0.25"/>
    <row r="21" spans="2:29" hidden="1" x14ac:dyDescent="0.25"/>
    <row r="22" spans="2:29" hidden="1" x14ac:dyDescent="0.25"/>
    <row r="23" spans="2:29" hidden="1" x14ac:dyDescent="0.25"/>
    <row r="24" spans="2:29" hidden="1" x14ac:dyDescent="0.25"/>
    <row r="25" spans="2:29" hidden="1" x14ac:dyDescent="0.25"/>
    <row r="26" spans="2:29" hidden="1" x14ac:dyDescent="0.25"/>
    <row r="27" spans="2:29" ht="16.5" hidden="1" thickBot="1" x14ac:dyDescent="0.3"/>
    <row r="28" spans="2:29" ht="18.75" customHeight="1" thickBot="1" x14ac:dyDescent="0.3">
      <c r="B28" s="636" t="str">
        <f ca="1">MID(CELL("filename",B29),FIND("]",CELL("filename",C29),1)+1,99)</f>
        <v>הגבלה לסכום מבוקש (1)</v>
      </c>
      <c r="C28" s="637"/>
      <c r="D28" s="637"/>
      <c r="E28" s="637"/>
      <c r="F28" s="637"/>
      <c r="G28" s="637"/>
      <c r="H28" s="637"/>
      <c r="I28" s="637"/>
      <c r="J28" s="637"/>
      <c r="K28" s="637"/>
      <c r="L28" s="637"/>
      <c r="M28" s="637"/>
      <c r="N28" s="637"/>
      <c r="O28" s="637"/>
      <c r="P28" s="637"/>
      <c r="Q28" s="637"/>
      <c r="R28" s="637"/>
      <c r="S28" s="637"/>
      <c r="T28" s="637"/>
      <c r="U28" s="637"/>
      <c r="V28" s="637"/>
      <c r="W28" s="637"/>
      <c r="X28" s="637"/>
      <c r="Y28" s="637"/>
      <c r="Z28" s="638"/>
    </row>
    <row r="29" spans="2:29" s="286" customFormat="1" ht="45" customHeight="1" x14ac:dyDescent="0.25">
      <c r="B29" s="639" t="s">
        <v>219</v>
      </c>
      <c r="C29" s="594" t="s">
        <v>133</v>
      </c>
      <c r="D29" s="294" t="s">
        <v>342</v>
      </c>
      <c r="E29" s="641" t="s">
        <v>343</v>
      </c>
      <c r="F29" s="641" t="s">
        <v>344</v>
      </c>
      <c r="G29" s="641" t="s">
        <v>345</v>
      </c>
      <c r="H29" s="641" t="s">
        <v>346</v>
      </c>
      <c r="I29" s="295"/>
      <c r="J29" s="295"/>
      <c r="K29" s="295"/>
      <c r="L29" s="295"/>
      <c r="M29" s="295"/>
      <c r="N29" s="295"/>
      <c r="O29" s="295"/>
      <c r="P29" s="295"/>
      <c r="Q29" s="295"/>
      <c r="R29" s="295"/>
      <c r="S29" s="295"/>
      <c r="T29" s="295"/>
      <c r="U29" s="641" t="s">
        <v>347</v>
      </c>
      <c r="V29" s="285"/>
      <c r="W29" s="285"/>
      <c r="X29" s="285"/>
      <c r="Y29" s="285"/>
      <c r="Z29" s="643" t="s">
        <v>348</v>
      </c>
      <c r="AC29" s="585" t="s">
        <v>349</v>
      </c>
    </row>
    <row r="30" spans="2:29" s="286" customFormat="1" ht="30.75" customHeight="1" thickBot="1" x14ac:dyDescent="0.3">
      <c r="B30" s="640"/>
      <c r="C30" s="595"/>
      <c r="D30" s="296" t="s">
        <v>120</v>
      </c>
      <c r="E30" s="642"/>
      <c r="F30" s="642"/>
      <c r="G30" s="642"/>
      <c r="H30" s="642"/>
      <c r="I30" s="287" t="s">
        <v>350</v>
      </c>
      <c r="J30" s="287" t="s">
        <v>351</v>
      </c>
      <c r="K30" s="287" t="s">
        <v>352</v>
      </c>
      <c r="L30" s="287" t="s">
        <v>353</v>
      </c>
      <c r="M30" s="287" t="s">
        <v>354</v>
      </c>
      <c r="N30" s="287" t="s">
        <v>355</v>
      </c>
      <c r="O30" s="287" t="s">
        <v>356</v>
      </c>
      <c r="P30" s="287" t="s">
        <v>357</v>
      </c>
      <c r="Q30" s="287" t="s">
        <v>358</v>
      </c>
      <c r="R30" s="287" t="s">
        <v>359</v>
      </c>
      <c r="S30" s="287" t="s">
        <v>360</v>
      </c>
      <c r="T30" s="287" t="s">
        <v>361</v>
      </c>
      <c r="U30" s="642"/>
      <c r="V30" s="288"/>
      <c r="W30" s="288"/>
      <c r="X30" s="288"/>
      <c r="Y30" s="288"/>
      <c r="Z30" s="644"/>
      <c r="AC30" s="585"/>
    </row>
    <row r="31" spans="2:29" s="286" customFormat="1" ht="30.75" customHeight="1" x14ac:dyDescent="0.25">
      <c r="B31" s="38">
        <f>IF(C31="","",ROW()-30)</f>
        <v>1</v>
      </c>
      <c r="C31" s="349" t="str">
        <f>סיכום!C31</f>
        <v>אנסמבל פרץ אליהו</v>
      </c>
      <c r="D31" s="39">
        <f>'סיכום לועדה- הזנת נתונים'!N31</f>
        <v>95000</v>
      </c>
      <c r="E31" s="39">
        <f>סיכום!H31</f>
        <v>104794.2194357554</v>
      </c>
      <c r="F31" s="289">
        <f>IF(C31="","",IF(E31&gt;$D31,1,0))</f>
        <v>1</v>
      </c>
      <c r="G31" s="39">
        <f>IF($C31="","",MIN(D31:E31))</f>
        <v>95000</v>
      </c>
      <c r="H31" s="39">
        <f>IF($C31="","",IF(F31=1,G31,G31/SUMIF(F$31:F$130,0,G$31:G$130)*($C$2-SUMIF(F$31:F$130,1,G$31:G$130))))</f>
        <v>95000</v>
      </c>
      <c r="I31" s="290">
        <f>IF(OR(H31&gt;$D31,$F31=1),1,0)</f>
        <v>1</v>
      </c>
      <c r="J31" s="47">
        <f>IF($C31="","",MIN(H31,$D31))</f>
        <v>95000</v>
      </c>
      <c r="K31" s="47">
        <f>IFERROR(IF($C31="","",IF(I31=1,J31,J31/SUMIF(I$31:I$130,0,J$31:J$130)*($C$2-SUMIF(I$31:I$130,1,J$31:J$130)))),0)</f>
        <v>95000</v>
      </c>
      <c r="L31" s="290">
        <f>IF(OR(K31&gt;$D31,$F31=1,$I31=1),1,0)</f>
        <v>1</v>
      </c>
      <c r="M31" s="47">
        <f>IF($C31="","",MIN(K31,$D31))</f>
        <v>95000</v>
      </c>
      <c r="N31" s="47">
        <f>IFERROR(IF($C31="","",IF(L31=1,M31,M31/SUMIF(L$31:L$130,0,M$31:M$130)*($C$2-SUMIF(L$31:L$130,1,M$31:M$130)))),0)</f>
        <v>95000</v>
      </c>
      <c r="O31" s="290">
        <f>IF(OR(N31&gt;$D31,$F31=1,$I31=1,$L31=1),1,0)</f>
        <v>1</v>
      </c>
      <c r="P31" s="47">
        <f>IF($C31="","",MIN(N31,$D31))</f>
        <v>95000</v>
      </c>
      <c r="Q31" s="47">
        <f>IFERROR(IF($C31="","",IF(O31=2,P31,IF(O31=1,P31,P31/SUMIF(O$31:O$130,0,P$31:P$130)*($C$2-SUMIF(O$31:O$130,1,P$31:P$130)-SUMIF(O$31:O$130,2,P$31:P$130))))),0)</f>
        <v>95000</v>
      </c>
      <c r="R31" s="290">
        <f>IF(OR(Q31&gt;$D31,$F31=1,$I31=1,$L31=1,$O31=1),1,0)</f>
        <v>1</v>
      </c>
      <c r="S31" s="47">
        <f>IF($C31="","",MIN(Q31,$D31))</f>
        <v>95000</v>
      </c>
      <c r="T31" s="47">
        <f>IFERROR(IF($C31="","",IF(R31=2,S31,IF(R31=1,S31,S31/SUMIF(R$31:R$130,0,S$31:S$130)*($C$2-SUMIF(R$31:R$130,1,S$31:S$130)-SUMIF(R$31:R$130,2,S$31:S$130))))),0)</f>
        <v>95000</v>
      </c>
      <c r="U31" s="48">
        <f t="shared" ref="U31:U62" si="0">IF($C31="","",IF(AC31=0,$AH$1,IFERROR(T31,$AH$1)))</f>
        <v>95000</v>
      </c>
      <c r="V31" s="48"/>
      <c r="W31" s="48"/>
      <c r="X31" s="48"/>
      <c r="Y31" s="48"/>
      <c r="Z31" s="49">
        <f t="shared" ref="Z31:Z62" si="1">IF(C31="","",IFERROR(U31/SUMIF($U$31:$U$130,"&lt;&gt;#DIV/0!"),$AH$1))</f>
        <v>3.0880580892981874E-2</v>
      </c>
      <c r="AC31" s="187">
        <f>IF(C31="",0,IFERROR(IF(D31*1&gt;=0,1,0),0))</f>
        <v>1</v>
      </c>
    </row>
    <row r="32" spans="2:29" s="286" customFormat="1" ht="30.75" customHeight="1" x14ac:dyDescent="0.25">
      <c r="B32" s="38" t="str">
        <f t="shared" ref="B32:B95" si="2">IF(C32="","",ROW()-30)</f>
        <v/>
      </c>
      <c r="C32" s="349" t="str">
        <f>סיכום!C32</f>
        <v/>
      </c>
      <c r="D32" s="39" t="str">
        <f>'סיכום לועדה- הזנת נתונים'!N32</f>
        <v/>
      </c>
      <c r="E32" s="39" t="str">
        <f>סיכום!H32</f>
        <v/>
      </c>
      <c r="F32" s="289" t="str">
        <f>IF(C32="","",IF(E32&gt;$D32,1,0))</f>
        <v/>
      </c>
      <c r="G32" s="39" t="str">
        <f>IF($C32="","",MIN(D32:E32))</f>
        <v/>
      </c>
      <c r="H32" s="39" t="str">
        <f>IF($C32="","",IF(F32=1,G32,G32/SUMIF(F$31:F$130,0,G$31:G$130)*($C$2-SUMIF(F$31:F$130,1,G$31:G$130))))</f>
        <v/>
      </c>
      <c r="I32" s="290">
        <f t="shared" ref="I32:I95" si="3">IF(OR(H32&gt;$D32,$F32=1),1,0)</f>
        <v>0</v>
      </c>
      <c r="J32" s="47" t="str">
        <f t="shared" ref="J32:J95" si="4">IF($C32="","",MIN(H32,$D32))</f>
        <v/>
      </c>
      <c r="K32" s="47" t="str">
        <f t="shared" ref="K32:K95" si="5">IFERROR(IF($C32="","",IF(I32=1,J32,J32/SUMIF(I$31:I$130,0,J$31:J$130)*($C$2-SUMIF(I$31:I$130,1,J$31:J$130)))),0)</f>
        <v/>
      </c>
      <c r="L32" s="290">
        <f t="shared" ref="L32:L95" si="6">IF(OR(K32&gt;$D32,$F32=1,$I32=1),1,0)</f>
        <v>0</v>
      </c>
      <c r="M32" s="47" t="str">
        <f t="shared" ref="M32:M95" si="7">IF($C32="","",MIN(K32,$D32))</f>
        <v/>
      </c>
      <c r="N32" s="47" t="str">
        <f t="shared" ref="N32:N95" si="8">IFERROR(IF($C32="","",IF(L32=1,M32,M32/SUMIF(L$31:L$130,0,M$31:M$130)*($C$2-SUMIF(L$31:L$130,1,M$31:M$130)))),0)</f>
        <v/>
      </c>
      <c r="O32" s="290">
        <f t="shared" ref="O32:O95" si="9">IF(OR(N32&gt;$D32,$F32=1,$I32=1,$L32=1),1,0)</f>
        <v>0</v>
      </c>
      <c r="P32" s="47" t="str">
        <f t="shared" ref="P32:P95" si="10">IF($C32="","",MIN(N32,$D32))</f>
        <v/>
      </c>
      <c r="Q32" s="47" t="str">
        <f t="shared" ref="Q32:Q95" si="11">IFERROR(IF($C32="","",IF(O32=2,P32,IF(O32=1,P32,P32/SUMIF(O$31:O$130,0,P$31:P$130)*($C$2-SUMIF(O$31:O$130,1,P$31:P$130)-SUMIF(O$31:O$130,2,P$31:P$130))))),0)</f>
        <v/>
      </c>
      <c r="R32" s="290">
        <f t="shared" ref="R32:R95" si="12">IF(OR(Q32&gt;$D32,$F32=1,$I32=1,$L32=1,$O32=1),1,0)</f>
        <v>0</v>
      </c>
      <c r="S32" s="47" t="str">
        <f t="shared" ref="S32:S95" si="13">IF($C32="","",MIN(Q32,$D32))</f>
        <v/>
      </c>
      <c r="T32" s="47" t="str">
        <f t="shared" ref="T32:T95" si="14">IFERROR(IF($C32="","",IF(R32=2,S32,IF(R32=1,S32,S32/SUMIF(R$31:R$130,0,S$31:S$130)*($C$2-SUMIF(R$31:R$130,1,S$31:S$130)-SUMIF(R$31:R$130,2,S$31:S$130))))),0)</f>
        <v/>
      </c>
      <c r="U32" s="48" t="str">
        <f t="shared" si="0"/>
        <v/>
      </c>
      <c r="V32" s="48"/>
      <c r="W32" s="48"/>
      <c r="X32" s="48"/>
      <c r="Y32" s="48"/>
      <c r="Z32" s="49" t="str">
        <f t="shared" si="1"/>
        <v/>
      </c>
      <c r="AC32" s="187">
        <f t="shared" ref="AC32:AC95" si="15">IF(C32="",0,IFERROR(IF(D32*1&gt;=0,1,0),0))</f>
        <v>0</v>
      </c>
    </row>
    <row r="33" spans="2:29" s="286" customFormat="1" ht="30.75" customHeight="1" x14ac:dyDescent="0.25">
      <c r="B33" s="38" t="str">
        <f t="shared" si="2"/>
        <v/>
      </c>
      <c r="C33" s="349" t="str">
        <f>סיכום!C33</f>
        <v/>
      </c>
      <c r="D33" s="39">
        <f>'סיכום לועדה- הזנת נתונים'!N33</f>
        <v>60000</v>
      </c>
      <c r="E33" s="39" t="str">
        <f>סיכום!H33</f>
        <v/>
      </c>
      <c r="F33" s="289" t="str">
        <f>IF(C33="","",IF(E33&gt;$D33,1,0))</f>
        <v/>
      </c>
      <c r="G33" s="39" t="str">
        <f>IF($C33="","",MIN(D33:E33))</f>
        <v/>
      </c>
      <c r="H33" s="39" t="str">
        <f>IF($C33="","",IF(F33=1,G33,G33/SUMIF(F$31:F$130,0,G$31:G$130)*($C$2-SUMIF(F$31:F$130,1,G$31:G$130))))</f>
        <v/>
      </c>
      <c r="I33" s="290">
        <f t="shared" si="3"/>
        <v>1</v>
      </c>
      <c r="J33" s="47" t="str">
        <f t="shared" si="4"/>
        <v/>
      </c>
      <c r="K33" s="47" t="str">
        <f t="shared" si="5"/>
        <v/>
      </c>
      <c r="L33" s="290">
        <f t="shared" si="6"/>
        <v>1</v>
      </c>
      <c r="M33" s="47" t="str">
        <f t="shared" si="7"/>
        <v/>
      </c>
      <c r="N33" s="47" t="str">
        <f t="shared" si="8"/>
        <v/>
      </c>
      <c r="O33" s="290">
        <f t="shared" si="9"/>
        <v>1</v>
      </c>
      <c r="P33" s="47" t="str">
        <f t="shared" si="10"/>
        <v/>
      </c>
      <c r="Q33" s="47" t="str">
        <f t="shared" si="11"/>
        <v/>
      </c>
      <c r="R33" s="290">
        <f t="shared" si="12"/>
        <v>1</v>
      </c>
      <c r="S33" s="47" t="str">
        <f t="shared" si="13"/>
        <v/>
      </c>
      <c r="T33" s="47" t="str">
        <f t="shared" si="14"/>
        <v/>
      </c>
      <c r="U33" s="48" t="str">
        <f t="shared" si="0"/>
        <v/>
      </c>
      <c r="V33" s="48"/>
      <c r="W33" s="48"/>
      <c r="X33" s="48"/>
      <c r="Y33" s="48"/>
      <c r="Z33" s="49" t="str">
        <f t="shared" si="1"/>
        <v/>
      </c>
      <c r="AC33" s="187">
        <f t="shared" si="15"/>
        <v>0</v>
      </c>
    </row>
    <row r="34" spans="2:29" s="286" customFormat="1" ht="30.75" customHeight="1" x14ac:dyDescent="0.25">
      <c r="B34" s="38">
        <f t="shared" si="2"/>
        <v>4</v>
      </c>
      <c r="C34" s="349" t="str">
        <f>סיכום!C34</f>
        <v>יניב ד'אור - אנסמבל נאיה</v>
      </c>
      <c r="D34" s="39">
        <f>'סיכום לועדה- הזנת נתונים'!N34</f>
        <v>65000</v>
      </c>
      <c r="E34" s="39">
        <f>סיכום!H34</f>
        <v>68940.502777501941</v>
      </c>
      <c r="F34" s="289">
        <f>IF(C34="","",IF(E34&gt;$D34,1,0))</f>
        <v>1</v>
      </c>
      <c r="G34" s="39">
        <f>IF($C34="","",MIN(D34:E34))</f>
        <v>65000</v>
      </c>
      <c r="H34" s="39">
        <f>IF($C34="","",IF(F34=1,G34,G34/SUMIF(F$31:F$130,0,G$31:G$130)*($C$2-SUMIF(F$31:F$130,1,G$31:G$130))))</f>
        <v>65000</v>
      </c>
      <c r="I34" s="290">
        <f t="shared" si="3"/>
        <v>1</v>
      </c>
      <c r="J34" s="47">
        <f t="shared" si="4"/>
        <v>65000</v>
      </c>
      <c r="K34" s="47">
        <f t="shared" si="5"/>
        <v>65000</v>
      </c>
      <c r="L34" s="290">
        <f t="shared" si="6"/>
        <v>1</v>
      </c>
      <c r="M34" s="47">
        <f t="shared" si="7"/>
        <v>65000</v>
      </c>
      <c r="N34" s="47">
        <f t="shared" si="8"/>
        <v>65000</v>
      </c>
      <c r="O34" s="290">
        <f t="shared" si="9"/>
        <v>1</v>
      </c>
      <c r="P34" s="47">
        <f t="shared" si="10"/>
        <v>65000</v>
      </c>
      <c r="Q34" s="47">
        <f t="shared" si="11"/>
        <v>65000</v>
      </c>
      <c r="R34" s="290">
        <f t="shared" si="12"/>
        <v>1</v>
      </c>
      <c r="S34" s="47">
        <f t="shared" si="13"/>
        <v>65000</v>
      </c>
      <c r="T34" s="47">
        <f t="shared" si="14"/>
        <v>65000</v>
      </c>
      <c r="U34" s="48">
        <f t="shared" si="0"/>
        <v>65000</v>
      </c>
      <c r="V34" s="48"/>
      <c r="W34" s="48"/>
      <c r="X34" s="48"/>
      <c r="Y34" s="48"/>
      <c r="Z34" s="49">
        <f t="shared" si="1"/>
        <v>2.1128818505724442E-2</v>
      </c>
      <c r="AC34" s="187">
        <f t="shared" si="15"/>
        <v>1</v>
      </c>
    </row>
    <row r="35" spans="2:29" s="286" customFormat="1" ht="30.75" hidden="1" customHeight="1" x14ac:dyDescent="0.25">
      <c r="B35" s="38" t="str">
        <f t="shared" si="2"/>
        <v/>
      </c>
      <c r="C35" s="349" t="str">
        <f>סיכום!C35</f>
        <v/>
      </c>
      <c r="D35" s="39" t="str">
        <f>'סיכום לועדה- הזנת נתונים'!N35</f>
        <v/>
      </c>
      <c r="E35" s="39" t="str">
        <f>סיכום!H35</f>
        <v/>
      </c>
      <c r="F35" s="289" t="str">
        <f>IF(C35="","",IF(E35&gt;$D35,1,0))</f>
        <v/>
      </c>
      <c r="G35" s="39" t="str">
        <f>IF($C35="","",MIN(D35:E35))</f>
        <v/>
      </c>
      <c r="H35" s="39" t="str">
        <f>IF($C35="","",IF(F35=1,G35,G35/SUMIF(F$31:F$130,0,G$31:G$130)*($C$2-SUMIF(F$31:F$130,1,G$31:G$130))))</f>
        <v/>
      </c>
      <c r="I35" s="290">
        <f t="shared" si="3"/>
        <v>0</v>
      </c>
      <c r="J35" s="47" t="str">
        <f t="shared" si="4"/>
        <v/>
      </c>
      <c r="K35" s="47" t="str">
        <f t="shared" si="5"/>
        <v/>
      </c>
      <c r="L35" s="290">
        <f t="shared" si="6"/>
        <v>0</v>
      </c>
      <c r="M35" s="47" t="str">
        <f t="shared" si="7"/>
        <v/>
      </c>
      <c r="N35" s="47" t="str">
        <f t="shared" si="8"/>
        <v/>
      </c>
      <c r="O35" s="290">
        <f t="shared" si="9"/>
        <v>0</v>
      </c>
      <c r="P35" s="47" t="str">
        <f t="shared" si="10"/>
        <v/>
      </c>
      <c r="Q35" s="47" t="str">
        <f t="shared" si="11"/>
        <v/>
      </c>
      <c r="R35" s="290">
        <f t="shared" si="12"/>
        <v>0</v>
      </c>
      <c r="S35" s="47" t="str">
        <f t="shared" si="13"/>
        <v/>
      </c>
      <c r="T35" s="47" t="str">
        <f t="shared" si="14"/>
        <v/>
      </c>
      <c r="U35" s="48" t="str">
        <f t="shared" si="0"/>
        <v/>
      </c>
      <c r="V35" s="48"/>
      <c r="W35" s="48"/>
      <c r="X35" s="48"/>
      <c r="Y35" s="48"/>
      <c r="Z35" s="49" t="str">
        <f t="shared" si="1"/>
        <v/>
      </c>
      <c r="AC35" s="187">
        <f t="shared" si="15"/>
        <v>0</v>
      </c>
    </row>
    <row r="36" spans="2:29" ht="30.75" customHeight="1" x14ac:dyDescent="0.25">
      <c r="B36" s="38">
        <f t="shared" si="2"/>
        <v>6</v>
      </c>
      <c r="C36" s="349" t="str">
        <f>סיכום!C36</f>
        <v>הפרויקט הקאמרי הישראלי</v>
      </c>
      <c r="D36" s="39">
        <f>'סיכום לועדה- הזנת נתונים'!N36</f>
        <v>95000</v>
      </c>
      <c r="E36" s="39">
        <f>סיכום!H36</f>
        <v>82117.363106032819</v>
      </c>
      <c r="F36" s="289">
        <f t="shared" ref="F36:F99" si="16">IF(C36="","",IF(E36&gt;$D36,1,0))</f>
        <v>0</v>
      </c>
      <c r="G36" s="39">
        <f t="shared" ref="G36:G99" si="17">IF($C36="","",MIN(D36:E36))</f>
        <v>82117.363106032819</v>
      </c>
      <c r="H36" s="39">
        <f t="shared" ref="H36:H99" si="18">IF($C36="","",IF(F36=1,G36,G36/SUMIF(F$31:F$130,0,G$31:G$130)*($C$2-SUMIF(F$31:F$130,1,G$31:G$130))))</f>
        <v>85068.389128721028</v>
      </c>
      <c r="I36" s="290">
        <f t="shared" si="3"/>
        <v>0</v>
      </c>
      <c r="J36" s="47">
        <f t="shared" si="4"/>
        <v>85068.389128721028</v>
      </c>
      <c r="K36" s="47">
        <f t="shared" si="5"/>
        <v>85314.896794804066</v>
      </c>
      <c r="L36" s="290">
        <f t="shared" si="6"/>
        <v>0</v>
      </c>
      <c r="M36" s="47">
        <f t="shared" si="7"/>
        <v>85314.896794804066</v>
      </c>
      <c r="N36" s="47">
        <f t="shared" si="8"/>
        <v>85314.896794804066</v>
      </c>
      <c r="O36" s="290">
        <f t="shared" si="9"/>
        <v>0</v>
      </c>
      <c r="P36" s="47">
        <f t="shared" si="10"/>
        <v>85314.896794804066</v>
      </c>
      <c r="Q36" s="47">
        <f t="shared" si="11"/>
        <v>85314.896794804066</v>
      </c>
      <c r="R36" s="290">
        <f t="shared" si="12"/>
        <v>0</v>
      </c>
      <c r="S36" s="47">
        <f t="shared" si="13"/>
        <v>85314.896794804066</v>
      </c>
      <c r="T36" s="47">
        <f t="shared" si="14"/>
        <v>85314.896794804066</v>
      </c>
      <c r="U36" s="48">
        <f t="shared" si="0"/>
        <v>85314.896794804066</v>
      </c>
      <c r="V36" s="48"/>
      <c r="W36" s="48"/>
      <c r="X36" s="48"/>
      <c r="Y36" s="48"/>
      <c r="Z36" s="49">
        <f t="shared" si="1"/>
        <v>2.7732353387877336E-2</v>
      </c>
      <c r="AC36" s="187">
        <f t="shared" si="15"/>
        <v>1</v>
      </c>
    </row>
    <row r="37" spans="2:29" ht="30.75" customHeight="1" x14ac:dyDescent="0.25">
      <c r="B37" s="38">
        <f t="shared" si="2"/>
        <v>7</v>
      </c>
      <c r="C37" s="349" t="str">
        <f>סיכום!C37</f>
        <v>מארש דונדורמה</v>
      </c>
      <c r="D37" s="39">
        <f>'סיכום לועדה- הזנת נתונים'!N37</f>
        <v>130000</v>
      </c>
      <c r="E37" s="39">
        <f>סיכום!H37</f>
        <v>136897.15125699615</v>
      </c>
      <c r="F37" s="289">
        <f t="shared" si="16"/>
        <v>1</v>
      </c>
      <c r="G37" s="39">
        <f t="shared" si="17"/>
        <v>130000</v>
      </c>
      <c r="H37" s="39">
        <f t="shared" si="18"/>
        <v>130000</v>
      </c>
      <c r="I37" s="290">
        <f t="shared" si="3"/>
        <v>1</v>
      </c>
      <c r="J37" s="47">
        <f t="shared" si="4"/>
        <v>130000</v>
      </c>
      <c r="K37" s="47">
        <f t="shared" si="5"/>
        <v>130000</v>
      </c>
      <c r="L37" s="290">
        <f t="shared" si="6"/>
        <v>1</v>
      </c>
      <c r="M37" s="47">
        <f t="shared" si="7"/>
        <v>130000</v>
      </c>
      <c r="N37" s="47">
        <f t="shared" si="8"/>
        <v>130000</v>
      </c>
      <c r="O37" s="290">
        <f t="shared" si="9"/>
        <v>1</v>
      </c>
      <c r="P37" s="47">
        <f t="shared" si="10"/>
        <v>130000</v>
      </c>
      <c r="Q37" s="47">
        <f t="shared" si="11"/>
        <v>130000</v>
      </c>
      <c r="R37" s="290">
        <f t="shared" si="12"/>
        <v>1</v>
      </c>
      <c r="S37" s="47">
        <f t="shared" si="13"/>
        <v>130000</v>
      </c>
      <c r="T37" s="47">
        <f t="shared" si="14"/>
        <v>130000</v>
      </c>
      <c r="U37" s="48">
        <f t="shared" si="0"/>
        <v>130000</v>
      </c>
      <c r="V37" s="48"/>
      <c r="W37" s="48"/>
      <c r="X37" s="48"/>
      <c r="Y37" s="48"/>
      <c r="Z37" s="49">
        <f t="shared" si="1"/>
        <v>4.2257637011448884E-2</v>
      </c>
      <c r="AC37" s="187">
        <f t="shared" si="15"/>
        <v>1</v>
      </c>
    </row>
    <row r="38" spans="2:29" ht="30.75" customHeight="1" x14ac:dyDescent="0.25">
      <c r="B38" s="38">
        <f t="shared" si="2"/>
        <v>8</v>
      </c>
      <c r="C38" s="349" t="str">
        <f>סיכום!C38</f>
        <v>להקת מורין נהדר</v>
      </c>
      <c r="D38" s="39">
        <f>'סיכום לועדה- הזנת נתונים'!N38</f>
        <v>50000</v>
      </c>
      <c r="E38" s="39">
        <f>סיכום!H38</f>
        <v>31599.979992645749</v>
      </c>
      <c r="F38" s="289">
        <f t="shared" si="16"/>
        <v>0</v>
      </c>
      <c r="G38" s="39">
        <f t="shared" si="17"/>
        <v>31599.979992645749</v>
      </c>
      <c r="H38" s="39">
        <f t="shared" si="18"/>
        <v>32735.578601119254</v>
      </c>
      <c r="I38" s="290">
        <f t="shared" si="3"/>
        <v>0</v>
      </c>
      <c r="J38" s="47">
        <f t="shared" si="4"/>
        <v>32735.578601119254</v>
      </c>
      <c r="K38" s="47">
        <f t="shared" si="5"/>
        <v>32830.438409345188</v>
      </c>
      <c r="L38" s="290">
        <f t="shared" si="6"/>
        <v>0</v>
      </c>
      <c r="M38" s="47">
        <f t="shared" si="7"/>
        <v>32830.438409345188</v>
      </c>
      <c r="N38" s="47">
        <f t="shared" si="8"/>
        <v>32830.438409345188</v>
      </c>
      <c r="O38" s="290">
        <f t="shared" si="9"/>
        <v>0</v>
      </c>
      <c r="P38" s="47">
        <f t="shared" si="10"/>
        <v>32830.438409345188</v>
      </c>
      <c r="Q38" s="47">
        <f t="shared" si="11"/>
        <v>32830.438409345188</v>
      </c>
      <c r="R38" s="290">
        <f t="shared" si="12"/>
        <v>0</v>
      </c>
      <c r="S38" s="47">
        <f t="shared" si="13"/>
        <v>32830.438409345188</v>
      </c>
      <c r="T38" s="47">
        <f t="shared" si="14"/>
        <v>32830.438409345188</v>
      </c>
      <c r="U38" s="48">
        <f t="shared" si="0"/>
        <v>32830.438409345188</v>
      </c>
      <c r="V38" s="48"/>
      <c r="W38" s="48"/>
      <c r="X38" s="48"/>
      <c r="Y38" s="48"/>
      <c r="Z38" s="49">
        <f t="shared" si="1"/>
        <v>1.0671821147914139E-2</v>
      </c>
      <c r="AC38" s="187">
        <f t="shared" si="15"/>
        <v>1</v>
      </c>
    </row>
    <row r="39" spans="2:29" ht="30.75" hidden="1" customHeight="1" x14ac:dyDescent="0.25">
      <c r="B39" s="38" t="str">
        <f t="shared" si="2"/>
        <v/>
      </c>
      <c r="C39" s="349" t="str">
        <f>סיכום!C39</f>
        <v/>
      </c>
      <c r="D39" s="39" t="str">
        <f>'סיכום לועדה- הזנת נתונים'!N39</f>
        <v/>
      </c>
      <c r="E39" s="39" t="str">
        <f>סיכום!H39</f>
        <v/>
      </c>
      <c r="F39" s="289" t="str">
        <f t="shared" si="16"/>
        <v/>
      </c>
      <c r="G39" s="39" t="str">
        <f t="shared" si="17"/>
        <v/>
      </c>
      <c r="H39" s="39" t="str">
        <f t="shared" si="18"/>
        <v/>
      </c>
      <c r="I39" s="290">
        <f t="shared" si="3"/>
        <v>0</v>
      </c>
      <c r="J39" s="47" t="str">
        <f t="shared" si="4"/>
        <v/>
      </c>
      <c r="K39" s="47" t="str">
        <f t="shared" si="5"/>
        <v/>
      </c>
      <c r="L39" s="290">
        <f t="shared" si="6"/>
        <v>0</v>
      </c>
      <c r="M39" s="47" t="str">
        <f t="shared" si="7"/>
        <v/>
      </c>
      <c r="N39" s="47" t="str">
        <f t="shared" si="8"/>
        <v/>
      </c>
      <c r="O39" s="290">
        <f t="shared" si="9"/>
        <v>0</v>
      </c>
      <c r="P39" s="47" t="str">
        <f t="shared" si="10"/>
        <v/>
      </c>
      <c r="Q39" s="47" t="str">
        <f t="shared" si="11"/>
        <v/>
      </c>
      <c r="R39" s="290">
        <f t="shared" si="12"/>
        <v>0</v>
      </c>
      <c r="S39" s="47" t="str">
        <f t="shared" si="13"/>
        <v/>
      </c>
      <c r="T39" s="47" t="str">
        <f t="shared" si="14"/>
        <v/>
      </c>
      <c r="U39" s="48" t="str">
        <f t="shared" si="0"/>
        <v/>
      </c>
      <c r="V39" s="48"/>
      <c r="W39" s="48"/>
      <c r="X39" s="48"/>
      <c r="Y39" s="48"/>
      <c r="Z39" s="49" t="str">
        <f t="shared" si="1"/>
        <v/>
      </c>
      <c r="AC39" s="187">
        <f t="shared" si="15"/>
        <v>0</v>
      </c>
    </row>
    <row r="40" spans="2:29" ht="30.75" customHeight="1" x14ac:dyDescent="0.25">
      <c r="B40" s="38">
        <f t="shared" si="2"/>
        <v>10</v>
      </c>
      <c r="C40" s="349" t="str">
        <f>סיכום!C40</f>
        <v>אנסמבל גלעד אפרת</v>
      </c>
      <c r="D40" s="39">
        <f>'סיכום לועדה- הזנת נתונים'!N40</f>
        <v>65000</v>
      </c>
      <c r="E40" s="39">
        <f>סיכום!H40</f>
        <v>63681.6791423373</v>
      </c>
      <c r="F40" s="289">
        <f t="shared" si="16"/>
        <v>0</v>
      </c>
      <c r="G40" s="39">
        <f t="shared" si="17"/>
        <v>63681.6791423373</v>
      </c>
      <c r="H40" s="39">
        <f t="shared" si="18"/>
        <v>65970.187750131503</v>
      </c>
      <c r="I40" s="290">
        <f t="shared" si="3"/>
        <v>1</v>
      </c>
      <c r="J40" s="47">
        <f t="shared" si="4"/>
        <v>65000</v>
      </c>
      <c r="K40" s="47">
        <f t="shared" si="5"/>
        <v>65000</v>
      </c>
      <c r="L40" s="290">
        <f t="shared" si="6"/>
        <v>1</v>
      </c>
      <c r="M40" s="47">
        <f t="shared" si="7"/>
        <v>65000</v>
      </c>
      <c r="N40" s="47">
        <f t="shared" si="8"/>
        <v>65000</v>
      </c>
      <c r="O40" s="290">
        <f t="shared" si="9"/>
        <v>1</v>
      </c>
      <c r="P40" s="47">
        <f t="shared" si="10"/>
        <v>65000</v>
      </c>
      <c r="Q40" s="47">
        <f t="shared" si="11"/>
        <v>65000</v>
      </c>
      <c r="R40" s="290">
        <f t="shared" si="12"/>
        <v>1</v>
      </c>
      <c r="S40" s="47">
        <f t="shared" si="13"/>
        <v>65000</v>
      </c>
      <c r="T40" s="47">
        <f t="shared" si="14"/>
        <v>65000</v>
      </c>
      <c r="U40" s="48">
        <f t="shared" si="0"/>
        <v>65000</v>
      </c>
      <c r="V40" s="48"/>
      <c r="W40" s="48"/>
      <c r="X40" s="48"/>
      <c r="Y40" s="48"/>
      <c r="Z40" s="49">
        <f t="shared" si="1"/>
        <v>2.1128818505724442E-2</v>
      </c>
      <c r="AC40" s="187">
        <f t="shared" si="15"/>
        <v>1</v>
      </c>
    </row>
    <row r="41" spans="2:29" ht="30.75" customHeight="1" x14ac:dyDescent="0.25">
      <c r="B41" s="38">
        <f t="shared" si="2"/>
        <v>11</v>
      </c>
      <c r="C41" s="349" t="str">
        <f>סיכום!C41</f>
        <v>רביעיית כרמל</v>
      </c>
      <c r="D41" s="39">
        <f>'סיכום לועדה- הזנת נתונים'!N41</f>
        <v>128000</v>
      </c>
      <c r="E41" s="39">
        <f>סיכום!H41</f>
        <v>130411.75270637736</v>
      </c>
      <c r="F41" s="289">
        <f t="shared" si="16"/>
        <v>1</v>
      </c>
      <c r="G41" s="39">
        <f t="shared" si="17"/>
        <v>128000</v>
      </c>
      <c r="H41" s="39">
        <f t="shared" si="18"/>
        <v>128000</v>
      </c>
      <c r="I41" s="290">
        <f t="shared" si="3"/>
        <v>1</v>
      </c>
      <c r="J41" s="47">
        <f t="shared" si="4"/>
        <v>128000</v>
      </c>
      <c r="K41" s="47">
        <f t="shared" si="5"/>
        <v>128000</v>
      </c>
      <c r="L41" s="290">
        <f t="shared" si="6"/>
        <v>1</v>
      </c>
      <c r="M41" s="47">
        <f t="shared" si="7"/>
        <v>128000</v>
      </c>
      <c r="N41" s="47">
        <f t="shared" si="8"/>
        <v>128000</v>
      </c>
      <c r="O41" s="290">
        <f t="shared" si="9"/>
        <v>1</v>
      </c>
      <c r="P41" s="47">
        <f t="shared" si="10"/>
        <v>128000</v>
      </c>
      <c r="Q41" s="47">
        <f t="shared" si="11"/>
        <v>128000</v>
      </c>
      <c r="R41" s="290">
        <f t="shared" si="12"/>
        <v>1</v>
      </c>
      <c r="S41" s="47">
        <f t="shared" si="13"/>
        <v>128000</v>
      </c>
      <c r="T41" s="47">
        <f t="shared" si="14"/>
        <v>128000</v>
      </c>
      <c r="U41" s="48">
        <f t="shared" si="0"/>
        <v>128000</v>
      </c>
      <c r="V41" s="48"/>
      <c r="W41" s="48"/>
      <c r="X41" s="48"/>
      <c r="Y41" s="48"/>
      <c r="Z41" s="49">
        <f t="shared" si="1"/>
        <v>4.1607519518965054E-2</v>
      </c>
      <c r="AC41" s="187">
        <f t="shared" si="15"/>
        <v>1</v>
      </c>
    </row>
    <row r="42" spans="2:29" ht="30.75" customHeight="1" x14ac:dyDescent="0.25">
      <c r="B42" s="38">
        <f t="shared" si="2"/>
        <v>12</v>
      </c>
      <c r="C42" s="349" t="str">
        <f>סיכום!C42</f>
        <v>שורולה</v>
      </c>
      <c r="D42" s="39">
        <f>'סיכום לועדה- הזנת נתונים'!N42</f>
        <v>55000</v>
      </c>
      <c r="E42" s="39">
        <f>סיכום!H42</f>
        <v>38312.449228177378</v>
      </c>
      <c r="F42" s="289">
        <f t="shared" si="16"/>
        <v>0</v>
      </c>
      <c r="G42" s="39">
        <f t="shared" si="17"/>
        <v>38312.449228177378</v>
      </c>
      <c r="H42" s="39">
        <f t="shared" si="18"/>
        <v>39689.271746446553</v>
      </c>
      <c r="I42" s="290">
        <f t="shared" si="3"/>
        <v>0</v>
      </c>
      <c r="J42" s="47">
        <f t="shared" si="4"/>
        <v>39689.271746446553</v>
      </c>
      <c r="K42" s="47">
        <f t="shared" si="5"/>
        <v>39804.281679595137</v>
      </c>
      <c r="L42" s="290">
        <f t="shared" si="6"/>
        <v>0</v>
      </c>
      <c r="M42" s="47">
        <f t="shared" si="7"/>
        <v>39804.281679595137</v>
      </c>
      <c r="N42" s="47">
        <f t="shared" si="8"/>
        <v>39804.281679595137</v>
      </c>
      <c r="O42" s="290">
        <f t="shared" si="9"/>
        <v>0</v>
      </c>
      <c r="P42" s="47">
        <f t="shared" si="10"/>
        <v>39804.281679595137</v>
      </c>
      <c r="Q42" s="47">
        <f t="shared" si="11"/>
        <v>39804.281679595137</v>
      </c>
      <c r="R42" s="290">
        <f t="shared" si="12"/>
        <v>0</v>
      </c>
      <c r="S42" s="47">
        <f t="shared" si="13"/>
        <v>39804.281679595137</v>
      </c>
      <c r="T42" s="47">
        <f t="shared" si="14"/>
        <v>39804.281679595137</v>
      </c>
      <c r="U42" s="48">
        <f t="shared" si="0"/>
        <v>39804.281679595137</v>
      </c>
      <c r="V42" s="48"/>
      <c r="W42" s="48"/>
      <c r="X42" s="48"/>
      <c r="Y42" s="48"/>
      <c r="Z42" s="49">
        <f t="shared" si="1"/>
        <v>1.2938729897829201E-2</v>
      </c>
      <c r="AC42" s="187">
        <f t="shared" si="15"/>
        <v>1</v>
      </c>
    </row>
    <row r="43" spans="2:29" ht="30.75" hidden="1" customHeight="1" x14ac:dyDescent="0.25">
      <c r="B43" s="38" t="str">
        <f t="shared" si="2"/>
        <v/>
      </c>
      <c r="C43" s="349" t="str">
        <f>סיכום!C43</f>
        <v/>
      </c>
      <c r="D43" s="39" t="str">
        <f>'סיכום לועדה- הזנת נתונים'!N43</f>
        <v/>
      </c>
      <c r="E43" s="39" t="str">
        <f>סיכום!H43</f>
        <v/>
      </c>
      <c r="F43" s="289" t="str">
        <f t="shared" si="16"/>
        <v/>
      </c>
      <c r="G43" s="39" t="str">
        <f t="shared" si="17"/>
        <v/>
      </c>
      <c r="H43" s="39" t="str">
        <f t="shared" si="18"/>
        <v/>
      </c>
      <c r="I43" s="290">
        <f t="shared" si="3"/>
        <v>0</v>
      </c>
      <c r="J43" s="47" t="str">
        <f t="shared" si="4"/>
        <v/>
      </c>
      <c r="K43" s="47" t="str">
        <f t="shared" si="5"/>
        <v/>
      </c>
      <c r="L43" s="290">
        <f t="shared" si="6"/>
        <v>0</v>
      </c>
      <c r="M43" s="47" t="str">
        <f t="shared" si="7"/>
        <v/>
      </c>
      <c r="N43" s="47" t="str">
        <f t="shared" si="8"/>
        <v/>
      </c>
      <c r="O43" s="290">
        <f t="shared" si="9"/>
        <v>0</v>
      </c>
      <c r="P43" s="47" t="str">
        <f t="shared" si="10"/>
        <v/>
      </c>
      <c r="Q43" s="47" t="str">
        <f t="shared" si="11"/>
        <v/>
      </c>
      <c r="R43" s="290">
        <f t="shared" si="12"/>
        <v>0</v>
      </c>
      <c r="S43" s="47" t="str">
        <f t="shared" si="13"/>
        <v/>
      </c>
      <c r="T43" s="47" t="str">
        <f t="shared" si="14"/>
        <v/>
      </c>
      <c r="U43" s="48" t="str">
        <f t="shared" si="0"/>
        <v/>
      </c>
      <c r="V43" s="48"/>
      <c r="W43" s="48"/>
      <c r="X43" s="48"/>
      <c r="Y43" s="48"/>
      <c r="Z43" s="49" t="str">
        <f t="shared" si="1"/>
        <v/>
      </c>
      <c r="AC43" s="187">
        <f t="shared" si="15"/>
        <v>0</v>
      </c>
    </row>
    <row r="44" spans="2:29" ht="30.75" hidden="1" customHeight="1" x14ac:dyDescent="0.25">
      <c r="B44" s="38" t="str">
        <f t="shared" si="2"/>
        <v/>
      </c>
      <c r="C44" s="349" t="str">
        <f>סיכום!C44</f>
        <v/>
      </c>
      <c r="D44" s="39" t="str">
        <f>'סיכום לועדה- הזנת נתונים'!N44</f>
        <v/>
      </c>
      <c r="E44" s="39" t="str">
        <f>סיכום!H44</f>
        <v/>
      </c>
      <c r="F44" s="289" t="str">
        <f t="shared" si="16"/>
        <v/>
      </c>
      <c r="G44" s="39" t="str">
        <f t="shared" si="17"/>
        <v/>
      </c>
      <c r="H44" s="39" t="str">
        <f t="shared" si="18"/>
        <v/>
      </c>
      <c r="I44" s="290">
        <f t="shared" si="3"/>
        <v>0</v>
      </c>
      <c r="J44" s="47" t="str">
        <f t="shared" si="4"/>
        <v/>
      </c>
      <c r="K44" s="47" t="str">
        <f t="shared" si="5"/>
        <v/>
      </c>
      <c r="L44" s="290">
        <f t="shared" si="6"/>
        <v>0</v>
      </c>
      <c r="M44" s="47" t="str">
        <f t="shared" si="7"/>
        <v/>
      </c>
      <c r="N44" s="47" t="str">
        <f t="shared" si="8"/>
        <v/>
      </c>
      <c r="O44" s="290">
        <f t="shared" si="9"/>
        <v>0</v>
      </c>
      <c r="P44" s="47" t="str">
        <f t="shared" si="10"/>
        <v/>
      </c>
      <c r="Q44" s="47" t="str">
        <f t="shared" si="11"/>
        <v/>
      </c>
      <c r="R44" s="290">
        <f t="shared" si="12"/>
        <v>0</v>
      </c>
      <c r="S44" s="47" t="str">
        <f t="shared" si="13"/>
        <v/>
      </c>
      <c r="T44" s="47" t="str">
        <f t="shared" si="14"/>
        <v/>
      </c>
      <c r="U44" s="48" t="str">
        <f t="shared" si="0"/>
        <v/>
      </c>
      <c r="V44" s="48"/>
      <c r="W44" s="48"/>
      <c r="X44" s="48"/>
      <c r="Y44" s="48"/>
      <c r="Z44" s="49" t="str">
        <f t="shared" si="1"/>
        <v/>
      </c>
      <c r="AC44" s="187">
        <f t="shared" si="15"/>
        <v>0</v>
      </c>
    </row>
    <row r="45" spans="2:29" ht="30.75" customHeight="1" x14ac:dyDescent="0.25">
      <c r="B45" s="38" t="str">
        <f t="shared" si="2"/>
        <v/>
      </c>
      <c r="C45" s="349" t="str">
        <f>סיכום!C45</f>
        <v/>
      </c>
      <c r="D45" s="39" t="str">
        <f>'סיכום לועדה- הזנת נתונים'!N45</f>
        <v/>
      </c>
      <c r="E45" s="39" t="str">
        <f>סיכום!H45</f>
        <v/>
      </c>
      <c r="F45" s="289" t="str">
        <f t="shared" si="16"/>
        <v/>
      </c>
      <c r="G45" s="39" t="str">
        <f t="shared" si="17"/>
        <v/>
      </c>
      <c r="H45" s="39" t="str">
        <f t="shared" si="18"/>
        <v/>
      </c>
      <c r="I45" s="290">
        <f t="shared" si="3"/>
        <v>0</v>
      </c>
      <c r="J45" s="47" t="str">
        <f t="shared" si="4"/>
        <v/>
      </c>
      <c r="K45" s="47" t="str">
        <f t="shared" si="5"/>
        <v/>
      </c>
      <c r="L45" s="290">
        <f t="shared" si="6"/>
        <v>0</v>
      </c>
      <c r="M45" s="47" t="str">
        <f t="shared" si="7"/>
        <v/>
      </c>
      <c r="N45" s="47" t="str">
        <f t="shared" si="8"/>
        <v/>
      </c>
      <c r="O45" s="290">
        <f t="shared" si="9"/>
        <v>0</v>
      </c>
      <c r="P45" s="47" t="str">
        <f t="shared" si="10"/>
        <v/>
      </c>
      <c r="Q45" s="47" t="str">
        <f t="shared" si="11"/>
        <v/>
      </c>
      <c r="R45" s="290">
        <f t="shared" si="12"/>
        <v>0</v>
      </c>
      <c r="S45" s="47" t="str">
        <f t="shared" si="13"/>
        <v/>
      </c>
      <c r="T45" s="47" t="str">
        <f t="shared" si="14"/>
        <v/>
      </c>
      <c r="U45" s="48" t="str">
        <f t="shared" si="0"/>
        <v/>
      </c>
      <c r="V45" s="48"/>
      <c r="W45" s="48"/>
      <c r="X45" s="48"/>
      <c r="Y45" s="48"/>
      <c r="Z45" s="49" t="str">
        <f t="shared" si="1"/>
        <v/>
      </c>
      <c r="AC45" s="187">
        <f t="shared" si="15"/>
        <v>0</v>
      </c>
    </row>
    <row r="46" spans="2:29" ht="30.75" customHeight="1" x14ac:dyDescent="0.25">
      <c r="B46" s="38" t="str">
        <f t="shared" si="2"/>
        <v/>
      </c>
      <c r="C46" s="349" t="str">
        <f>סיכום!C46</f>
        <v/>
      </c>
      <c r="D46" s="39" t="str">
        <f>'סיכום לועדה- הזנת נתונים'!N46</f>
        <v/>
      </c>
      <c r="E46" s="39" t="str">
        <f>סיכום!H46</f>
        <v/>
      </c>
      <c r="F46" s="289" t="str">
        <f t="shared" si="16"/>
        <v/>
      </c>
      <c r="G46" s="39" t="str">
        <f t="shared" si="17"/>
        <v/>
      </c>
      <c r="H46" s="39" t="str">
        <f t="shared" si="18"/>
        <v/>
      </c>
      <c r="I46" s="290">
        <f t="shared" si="3"/>
        <v>0</v>
      </c>
      <c r="J46" s="47" t="str">
        <f t="shared" si="4"/>
        <v/>
      </c>
      <c r="K46" s="47" t="str">
        <f t="shared" si="5"/>
        <v/>
      </c>
      <c r="L46" s="290">
        <f t="shared" si="6"/>
        <v>0</v>
      </c>
      <c r="M46" s="47" t="str">
        <f t="shared" si="7"/>
        <v/>
      </c>
      <c r="N46" s="47" t="str">
        <f t="shared" si="8"/>
        <v/>
      </c>
      <c r="O46" s="290">
        <f t="shared" si="9"/>
        <v>0</v>
      </c>
      <c r="P46" s="47" t="str">
        <f t="shared" si="10"/>
        <v/>
      </c>
      <c r="Q46" s="47" t="str">
        <f t="shared" si="11"/>
        <v/>
      </c>
      <c r="R46" s="290">
        <f t="shared" si="12"/>
        <v>0</v>
      </c>
      <c r="S46" s="47" t="str">
        <f t="shared" si="13"/>
        <v/>
      </c>
      <c r="T46" s="47" t="str">
        <f t="shared" si="14"/>
        <v/>
      </c>
      <c r="U46" s="48" t="str">
        <f t="shared" si="0"/>
        <v/>
      </c>
      <c r="V46" s="48"/>
      <c r="W46" s="48"/>
      <c r="X46" s="48"/>
      <c r="Y46" s="48"/>
      <c r="Z46" s="49" t="str">
        <f t="shared" si="1"/>
        <v/>
      </c>
      <c r="AC46" s="187">
        <f t="shared" si="15"/>
        <v>0</v>
      </c>
    </row>
    <row r="47" spans="2:29" ht="30.75" customHeight="1" x14ac:dyDescent="0.25">
      <c r="B47" s="38">
        <f t="shared" si="2"/>
        <v>17</v>
      </c>
      <c r="C47" s="349" t="str">
        <f>סיכום!C47</f>
        <v>הרכב עמית פרידמן</v>
      </c>
      <c r="D47" s="39">
        <f>'סיכום לועדה- הזנת נתונים'!N47</f>
        <v>70000</v>
      </c>
      <c r="E47" s="39">
        <f>סיכום!H47</f>
        <v>75400.137348342134</v>
      </c>
      <c r="F47" s="289">
        <f t="shared" si="16"/>
        <v>1</v>
      </c>
      <c r="G47" s="39">
        <f t="shared" si="17"/>
        <v>70000</v>
      </c>
      <c r="H47" s="39">
        <f t="shared" si="18"/>
        <v>70000</v>
      </c>
      <c r="I47" s="290">
        <f t="shared" si="3"/>
        <v>1</v>
      </c>
      <c r="J47" s="47">
        <f t="shared" si="4"/>
        <v>70000</v>
      </c>
      <c r="K47" s="47">
        <f t="shared" si="5"/>
        <v>70000</v>
      </c>
      <c r="L47" s="290">
        <f t="shared" si="6"/>
        <v>1</v>
      </c>
      <c r="M47" s="47">
        <f t="shared" si="7"/>
        <v>70000</v>
      </c>
      <c r="N47" s="47">
        <f t="shared" si="8"/>
        <v>70000</v>
      </c>
      <c r="O47" s="290">
        <f t="shared" si="9"/>
        <v>1</v>
      </c>
      <c r="P47" s="47">
        <f t="shared" si="10"/>
        <v>70000</v>
      </c>
      <c r="Q47" s="47">
        <f t="shared" si="11"/>
        <v>70000</v>
      </c>
      <c r="R47" s="290">
        <f t="shared" si="12"/>
        <v>1</v>
      </c>
      <c r="S47" s="47">
        <f t="shared" si="13"/>
        <v>70000</v>
      </c>
      <c r="T47" s="47">
        <f t="shared" si="14"/>
        <v>70000</v>
      </c>
      <c r="U47" s="48">
        <f t="shared" si="0"/>
        <v>70000</v>
      </c>
      <c r="V47" s="48"/>
      <c r="W47" s="48"/>
      <c r="X47" s="48"/>
      <c r="Y47" s="48"/>
      <c r="Z47" s="49">
        <f t="shared" si="1"/>
        <v>2.2754112236934014E-2</v>
      </c>
      <c r="AC47" s="187">
        <f t="shared" si="15"/>
        <v>1</v>
      </c>
    </row>
    <row r="48" spans="2:29" ht="30.75" hidden="1" customHeight="1" x14ac:dyDescent="0.25">
      <c r="B48" s="38" t="str">
        <f t="shared" si="2"/>
        <v/>
      </c>
      <c r="C48" s="349" t="str">
        <f>סיכום!C48</f>
        <v/>
      </c>
      <c r="D48" s="39" t="str">
        <f>'סיכום לועדה- הזנת נתונים'!N48</f>
        <v/>
      </c>
      <c r="E48" s="39" t="str">
        <f>סיכום!H48</f>
        <v/>
      </c>
      <c r="F48" s="289" t="str">
        <f t="shared" si="16"/>
        <v/>
      </c>
      <c r="G48" s="39" t="str">
        <f t="shared" si="17"/>
        <v/>
      </c>
      <c r="H48" s="39" t="str">
        <f t="shared" si="18"/>
        <v/>
      </c>
      <c r="I48" s="290">
        <f t="shared" si="3"/>
        <v>0</v>
      </c>
      <c r="J48" s="47" t="str">
        <f t="shared" si="4"/>
        <v/>
      </c>
      <c r="K48" s="47" t="str">
        <f t="shared" si="5"/>
        <v/>
      </c>
      <c r="L48" s="290">
        <f t="shared" si="6"/>
        <v>0</v>
      </c>
      <c r="M48" s="47" t="str">
        <f t="shared" si="7"/>
        <v/>
      </c>
      <c r="N48" s="47" t="str">
        <f t="shared" si="8"/>
        <v/>
      </c>
      <c r="O48" s="290">
        <f t="shared" si="9"/>
        <v>0</v>
      </c>
      <c r="P48" s="47" t="str">
        <f t="shared" si="10"/>
        <v/>
      </c>
      <c r="Q48" s="47" t="str">
        <f t="shared" si="11"/>
        <v/>
      </c>
      <c r="R48" s="290">
        <f t="shared" si="12"/>
        <v>0</v>
      </c>
      <c r="S48" s="47" t="str">
        <f t="shared" si="13"/>
        <v/>
      </c>
      <c r="T48" s="47" t="str">
        <f t="shared" si="14"/>
        <v/>
      </c>
      <c r="U48" s="48" t="str">
        <f t="shared" si="0"/>
        <v/>
      </c>
      <c r="V48" s="48"/>
      <c r="W48" s="48"/>
      <c r="X48" s="48"/>
      <c r="Y48" s="48"/>
      <c r="Z48" s="49" t="str">
        <f t="shared" si="1"/>
        <v/>
      </c>
      <c r="AC48" s="187">
        <f t="shared" si="15"/>
        <v>0</v>
      </c>
    </row>
    <row r="49" spans="2:29" ht="30.75" hidden="1" customHeight="1" x14ac:dyDescent="0.25">
      <c r="B49" s="38" t="str">
        <f t="shared" si="2"/>
        <v/>
      </c>
      <c r="C49" s="349" t="str">
        <f>סיכום!C49</f>
        <v/>
      </c>
      <c r="D49" s="39" t="str">
        <f>'סיכום לועדה- הזנת נתונים'!N49</f>
        <v/>
      </c>
      <c r="E49" s="39" t="str">
        <f>סיכום!H49</f>
        <v/>
      </c>
      <c r="F49" s="289" t="str">
        <f>IF(C49="","",IF(E49&gt;$D49,1,0))</f>
        <v/>
      </c>
      <c r="G49" s="39" t="str">
        <f t="shared" si="17"/>
        <v/>
      </c>
      <c r="H49" s="39" t="str">
        <f t="shared" si="18"/>
        <v/>
      </c>
      <c r="I49" s="290">
        <f t="shared" si="3"/>
        <v>0</v>
      </c>
      <c r="J49" s="47" t="str">
        <f t="shared" si="4"/>
        <v/>
      </c>
      <c r="K49" s="47" t="str">
        <f t="shared" si="5"/>
        <v/>
      </c>
      <c r="L49" s="290">
        <f t="shared" si="6"/>
        <v>0</v>
      </c>
      <c r="M49" s="47" t="str">
        <f t="shared" si="7"/>
        <v/>
      </c>
      <c r="N49" s="47" t="str">
        <f t="shared" si="8"/>
        <v/>
      </c>
      <c r="O49" s="290">
        <f t="shared" si="9"/>
        <v>0</v>
      </c>
      <c r="P49" s="47" t="str">
        <f t="shared" si="10"/>
        <v/>
      </c>
      <c r="Q49" s="47" t="str">
        <f t="shared" si="11"/>
        <v/>
      </c>
      <c r="R49" s="290">
        <f t="shared" si="12"/>
        <v>0</v>
      </c>
      <c r="S49" s="47" t="str">
        <f t="shared" si="13"/>
        <v/>
      </c>
      <c r="T49" s="47" t="str">
        <f t="shared" si="14"/>
        <v/>
      </c>
      <c r="U49" s="48" t="str">
        <f t="shared" si="0"/>
        <v/>
      </c>
      <c r="V49" s="48"/>
      <c r="W49" s="48"/>
      <c r="X49" s="48"/>
      <c r="Y49" s="48"/>
      <c r="Z49" s="49" t="str">
        <f t="shared" si="1"/>
        <v/>
      </c>
      <c r="AC49" s="187">
        <f t="shared" si="15"/>
        <v>0</v>
      </c>
    </row>
    <row r="50" spans="2:29" ht="30.75" hidden="1" customHeight="1" x14ac:dyDescent="0.25">
      <c r="B50" s="38" t="str">
        <f t="shared" si="2"/>
        <v/>
      </c>
      <c r="C50" s="349" t="str">
        <f>סיכום!C50</f>
        <v/>
      </c>
      <c r="D50" s="39" t="str">
        <f>'סיכום לועדה- הזנת נתונים'!N50</f>
        <v/>
      </c>
      <c r="E50" s="39" t="str">
        <f>סיכום!H50</f>
        <v/>
      </c>
      <c r="F50" s="289" t="str">
        <f t="shared" si="16"/>
        <v/>
      </c>
      <c r="G50" s="39" t="str">
        <f t="shared" si="17"/>
        <v/>
      </c>
      <c r="H50" s="39" t="str">
        <f t="shared" si="18"/>
        <v/>
      </c>
      <c r="I50" s="290">
        <f t="shared" si="3"/>
        <v>0</v>
      </c>
      <c r="J50" s="47" t="str">
        <f t="shared" si="4"/>
        <v/>
      </c>
      <c r="K50" s="47" t="str">
        <f t="shared" si="5"/>
        <v/>
      </c>
      <c r="L50" s="290">
        <f t="shared" si="6"/>
        <v>0</v>
      </c>
      <c r="M50" s="47" t="str">
        <f t="shared" si="7"/>
        <v/>
      </c>
      <c r="N50" s="47" t="str">
        <f t="shared" si="8"/>
        <v/>
      </c>
      <c r="O50" s="290">
        <f t="shared" si="9"/>
        <v>0</v>
      </c>
      <c r="P50" s="47" t="str">
        <f t="shared" si="10"/>
        <v/>
      </c>
      <c r="Q50" s="47" t="str">
        <f t="shared" si="11"/>
        <v/>
      </c>
      <c r="R50" s="290">
        <f t="shared" si="12"/>
        <v>0</v>
      </c>
      <c r="S50" s="47" t="str">
        <f t="shared" si="13"/>
        <v/>
      </c>
      <c r="T50" s="47" t="str">
        <f t="shared" si="14"/>
        <v/>
      </c>
      <c r="U50" s="48" t="str">
        <f t="shared" si="0"/>
        <v/>
      </c>
      <c r="V50" s="48"/>
      <c r="W50" s="48"/>
      <c r="X50" s="48"/>
      <c r="Y50" s="48"/>
      <c r="Z50" s="49" t="str">
        <f t="shared" si="1"/>
        <v/>
      </c>
      <c r="AC50" s="187">
        <f t="shared" si="15"/>
        <v>0</v>
      </c>
    </row>
    <row r="51" spans="2:29" ht="30.75" customHeight="1" x14ac:dyDescent="0.25">
      <c r="B51" s="38">
        <f t="shared" si="2"/>
        <v>21</v>
      </c>
      <c r="C51" s="349" t="str">
        <f>סיכום!C51</f>
        <v>חמישיית תל אביב לכלי נשיפה</v>
      </c>
      <c r="D51" s="39">
        <f>'סיכום לועדה- הזנת נתונים'!N51</f>
        <v>90000</v>
      </c>
      <c r="E51" s="39">
        <f>סיכום!H51</f>
        <v>101713.6373437467</v>
      </c>
      <c r="F51" s="289">
        <f t="shared" si="16"/>
        <v>1</v>
      </c>
      <c r="G51" s="39">
        <f t="shared" si="17"/>
        <v>90000</v>
      </c>
      <c r="H51" s="39">
        <f t="shared" si="18"/>
        <v>90000</v>
      </c>
      <c r="I51" s="290">
        <f t="shared" si="3"/>
        <v>1</v>
      </c>
      <c r="J51" s="47">
        <f t="shared" si="4"/>
        <v>90000</v>
      </c>
      <c r="K51" s="47">
        <f t="shared" si="5"/>
        <v>90000</v>
      </c>
      <c r="L51" s="290">
        <f t="shared" si="6"/>
        <v>1</v>
      </c>
      <c r="M51" s="47">
        <f t="shared" si="7"/>
        <v>90000</v>
      </c>
      <c r="N51" s="47">
        <f t="shared" si="8"/>
        <v>90000</v>
      </c>
      <c r="O51" s="290">
        <f t="shared" si="9"/>
        <v>1</v>
      </c>
      <c r="P51" s="47">
        <f t="shared" si="10"/>
        <v>90000</v>
      </c>
      <c r="Q51" s="47">
        <f t="shared" si="11"/>
        <v>90000</v>
      </c>
      <c r="R51" s="290">
        <f t="shared" si="12"/>
        <v>1</v>
      </c>
      <c r="S51" s="47">
        <f t="shared" si="13"/>
        <v>90000</v>
      </c>
      <c r="T51" s="47">
        <f t="shared" si="14"/>
        <v>90000</v>
      </c>
      <c r="U51" s="48">
        <f t="shared" si="0"/>
        <v>90000</v>
      </c>
      <c r="V51" s="48"/>
      <c r="W51" s="48"/>
      <c r="X51" s="48"/>
      <c r="Y51" s="48"/>
      <c r="Z51" s="49">
        <f t="shared" si="1"/>
        <v>2.9255287161772302E-2</v>
      </c>
      <c r="AC51" s="187">
        <f t="shared" si="15"/>
        <v>1</v>
      </c>
    </row>
    <row r="52" spans="2:29" ht="30.75" customHeight="1" x14ac:dyDescent="0.25">
      <c r="B52" s="38">
        <f t="shared" si="2"/>
        <v>22</v>
      </c>
      <c r="C52" s="349" t="str">
        <f>סיכום!C52</f>
        <v>הרכב אקוט</v>
      </c>
      <c r="D52" s="39">
        <f>'סיכום לועדה- הזנת נתונים'!N52</f>
        <v>120000</v>
      </c>
      <c r="E52" s="39">
        <f>סיכום!H52</f>
        <v>118670.06606800163</v>
      </c>
      <c r="F52" s="289">
        <f t="shared" si="16"/>
        <v>0</v>
      </c>
      <c r="G52" s="39">
        <f t="shared" si="17"/>
        <v>118670.06606800163</v>
      </c>
      <c r="H52" s="39">
        <f t="shared" si="18"/>
        <v>122934.67515717335</v>
      </c>
      <c r="I52" s="290">
        <f t="shared" si="3"/>
        <v>1</v>
      </c>
      <c r="J52" s="47">
        <f t="shared" si="4"/>
        <v>120000</v>
      </c>
      <c r="K52" s="47">
        <f t="shared" si="5"/>
        <v>120000</v>
      </c>
      <c r="L52" s="290">
        <f t="shared" si="6"/>
        <v>1</v>
      </c>
      <c r="M52" s="47">
        <f t="shared" si="7"/>
        <v>120000</v>
      </c>
      <c r="N52" s="47">
        <f t="shared" si="8"/>
        <v>120000</v>
      </c>
      <c r="O52" s="290">
        <f t="shared" si="9"/>
        <v>1</v>
      </c>
      <c r="P52" s="47">
        <f t="shared" si="10"/>
        <v>120000</v>
      </c>
      <c r="Q52" s="47">
        <f t="shared" si="11"/>
        <v>120000</v>
      </c>
      <c r="R52" s="290">
        <f t="shared" si="12"/>
        <v>1</v>
      </c>
      <c r="S52" s="47">
        <f t="shared" si="13"/>
        <v>120000</v>
      </c>
      <c r="T52" s="47">
        <f t="shared" si="14"/>
        <v>120000</v>
      </c>
      <c r="U52" s="48">
        <f t="shared" si="0"/>
        <v>120000</v>
      </c>
      <c r="V52" s="48"/>
      <c r="W52" s="48"/>
      <c r="X52" s="48"/>
      <c r="Y52" s="48"/>
      <c r="Z52" s="49">
        <f t="shared" si="1"/>
        <v>3.9007049549029733E-2</v>
      </c>
      <c r="AC52" s="187">
        <f t="shared" si="15"/>
        <v>1</v>
      </c>
    </row>
    <row r="53" spans="2:29" ht="30.75" customHeight="1" x14ac:dyDescent="0.25">
      <c r="B53" s="38">
        <f t="shared" si="2"/>
        <v>23</v>
      </c>
      <c r="C53" s="349" t="str">
        <f>סיכום!C53</f>
        <v>שלישיית עתר</v>
      </c>
      <c r="D53" s="39">
        <f>'סיכום לועדה- הזנת נתונים'!N53</f>
        <v>75000</v>
      </c>
      <c r="E53" s="39">
        <f>סיכום!H53</f>
        <v>81114.701657369471</v>
      </c>
      <c r="F53" s="289">
        <f t="shared" si="16"/>
        <v>1</v>
      </c>
      <c r="G53" s="39">
        <f t="shared" si="17"/>
        <v>75000</v>
      </c>
      <c r="H53" s="39">
        <f t="shared" si="18"/>
        <v>75000</v>
      </c>
      <c r="I53" s="290">
        <f t="shared" si="3"/>
        <v>1</v>
      </c>
      <c r="J53" s="47">
        <f t="shared" si="4"/>
        <v>75000</v>
      </c>
      <c r="K53" s="47">
        <f t="shared" si="5"/>
        <v>75000</v>
      </c>
      <c r="L53" s="290">
        <f t="shared" si="6"/>
        <v>1</v>
      </c>
      <c r="M53" s="47">
        <f t="shared" si="7"/>
        <v>75000</v>
      </c>
      <c r="N53" s="47">
        <f t="shared" si="8"/>
        <v>75000</v>
      </c>
      <c r="O53" s="290">
        <f t="shared" si="9"/>
        <v>1</v>
      </c>
      <c r="P53" s="47">
        <f t="shared" si="10"/>
        <v>75000</v>
      </c>
      <c r="Q53" s="47">
        <f t="shared" si="11"/>
        <v>75000</v>
      </c>
      <c r="R53" s="290">
        <f t="shared" si="12"/>
        <v>1</v>
      </c>
      <c r="S53" s="47">
        <f t="shared" si="13"/>
        <v>75000</v>
      </c>
      <c r="T53" s="47">
        <f t="shared" si="14"/>
        <v>75000</v>
      </c>
      <c r="U53" s="48">
        <f t="shared" si="0"/>
        <v>75000</v>
      </c>
      <c r="V53" s="48"/>
      <c r="W53" s="48"/>
      <c r="X53" s="48"/>
      <c r="Y53" s="48"/>
      <c r="Z53" s="49">
        <f t="shared" si="1"/>
        <v>2.4379405968143586E-2</v>
      </c>
      <c r="AC53" s="187">
        <f t="shared" si="15"/>
        <v>1</v>
      </c>
    </row>
    <row r="54" spans="2:29" ht="30.75" customHeight="1" x14ac:dyDescent="0.25">
      <c r="B54" s="38" t="str">
        <f t="shared" si="2"/>
        <v/>
      </c>
      <c r="C54" s="349" t="str">
        <f>סיכום!C54</f>
        <v/>
      </c>
      <c r="D54" s="39" t="str">
        <f>'סיכום לועדה- הזנת נתונים'!N54</f>
        <v/>
      </c>
      <c r="E54" s="39" t="str">
        <f>סיכום!H54</f>
        <v/>
      </c>
      <c r="F54" s="289" t="str">
        <f t="shared" si="16"/>
        <v/>
      </c>
      <c r="G54" s="39" t="str">
        <f t="shared" si="17"/>
        <v/>
      </c>
      <c r="H54" s="39" t="str">
        <f t="shared" si="18"/>
        <v/>
      </c>
      <c r="I54" s="290">
        <f t="shared" si="3"/>
        <v>0</v>
      </c>
      <c r="J54" s="47" t="str">
        <f t="shared" si="4"/>
        <v/>
      </c>
      <c r="K54" s="47" t="str">
        <f t="shared" si="5"/>
        <v/>
      </c>
      <c r="L54" s="290">
        <f t="shared" si="6"/>
        <v>0</v>
      </c>
      <c r="M54" s="47" t="str">
        <f t="shared" si="7"/>
        <v/>
      </c>
      <c r="N54" s="47" t="str">
        <f t="shared" si="8"/>
        <v/>
      </c>
      <c r="O54" s="290">
        <f t="shared" si="9"/>
        <v>0</v>
      </c>
      <c r="P54" s="47" t="str">
        <f t="shared" si="10"/>
        <v/>
      </c>
      <c r="Q54" s="47" t="str">
        <f t="shared" si="11"/>
        <v/>
      </c>
      <c r="R54" s="290">
        <f t="shared" si="12"/>
        <v>0</v>
      </c>
      <c r="S54" s="47" t="str">
        <f t="shared" si="13"/>
        <v/>
      </c>
      <c r="T54" s="47" t="str">
        <f t="shared" si="14"/>
        <v/>
      </c>
      <c r="U54" s="48" t="str">
        <f t="shared" si="0"/>
        <v/>
      </c>
      <c r="V54" s="48"/>
      <c r="W54" s="48"/>
      <c r="X54" s="48"/>
      <c r="Y54" s="48"/>
      <c r="Z54" s="49" t="str">
        <f t="shared" si="1"/>
        <v/>
      </c>
      <c r="AC54" s="187">
        <f t="shared" si="15"/>
        <v>0</v>
      </c>
    </row>
    <row r="55" spans="2:29" ht="30.75" hidden="1" customHeight="1" x14ac:dyDescent="0.25">
      <c r="B55" s="38" t="str">
        <f t="shared" si="2"/>
        <v/>
      </c>
      <c r="C55" s="349" t="str">
        <f>סיכום!C55</f>
        <v/>
      </c>
      <c r="D55" s="39" t="str">
        <f>'סיכום לועדה- הזנת נתונים'!N55</f>
        <v/>
      </c>
      <c r="E55" s="39" t="str">
        <f>סיכום!H55</f>
        <v/>
      </c>
      <c r="F55" s="289" t="str">
        <f t="shared" si="16"/>
        <v/>
      </c>
      <c r="G55" s="39" t="str">
        <f t="shared" si="17"/>
        <v/>
      </c>
      <c r="H55" s="39" t="str">
        <f t="shared" si="18"/>
        <v/>
      </c>
      <c r="I55" s="290">
        <f t="shared" si="3"/>
        <v>0</v>
      </c>
      <c r="J55" s="47" t="str">
        <f t="shared" si="4"/>
        <v/>
      </c>
      <c r="K55" s="47" t="str">
        <f t="shared" si="5"/>
        <v/>
      </c>
      <c r="L55" s="290">
        <f t="shared" si="6"/>
        <v>0</v>
      </c>
      <c r="M55" s="47" t="str">
        <f t="shared" si="7"/>
        <v/>
      </c>
      <c r="N55" s="47" t="str">
        <f t="shared" si="8"/>
        <v/>
      </c>
      <c r="O55" s="290">
        <f t="shared" si="9"/>
        <v>0</v>
      </c>
      <c r="P55" s="47" t="str">
        <f t="shared" si="10"/>
        <v/>
      </c>
      <c r="Q55" s="47" t="str">
        <f t="shared" si="11"/>
        <v/>
      </c>
      <c r="R55" s="290">
        <f t="shared" si="12"/>
        <v>0</v>
      </c>
      <c r="S55" s="47" t="str">
        <f t="shared" si="13"/>
        <v/>
      </c>
      <c r="T55" s="47" t="str">
        <f t="shared" si="14"/>
        <v/>
      </c>
      <c r="U55" s="48" t="str">
        <f t="shared" si="0"/>
        <v/>
      </c>
      <c r="V55" s="48"/>
      <c r="W55" s="48"/>
      <c r="X55" s="48"/>
      <c r="Y55" s="48"/>
      <c r="Z55" s="49" t="str">
        <f t="shared" si="1"/>
        <v/>
      </c>
      <c r="AC55" s="187">
        <f t="shared" si="15"/>
        <v>0</v>
      </c>
    </row>
    <row r="56" spans="2:29" ht="30.75" customHeight="1" x14ac:dyDescent="0.25">
      <c r="B56" s="38">
        <f t="shared" si="2"/>
        <v>26</v>
      </c>
      <c r="C56" s="349" t="str">
        <f>סיכום!C56</f>
        <v>אנסמבל מצו</v>
      </c>
      <c r="D56" s="39">
        <f>'סיכום לועדה- הזנת נתונים'!N56</f>
        <v>130000</v>
      </c>
      <c r="E56" s="39">
        <f>סיכום!H56</f>
        <v>91436.33109448757</v>
      </c>
      <c r="F56" s="289">
        <f t="shared" si="16"/>
        <v>0</v>
      </c>
      <c r="G56" s="39">
        <f t="shared" si="17"/>
        <v>91436.33109448757</v>
      </c>
      <c r="H56" s="39">
        <f t="shared" si="18"/>
        <v>94722.249958328248</v>
      </c>
      <c r="I56" s="290">
        <f t="shared" si="3"/>
        <v>0</v>
      </c>
      <c r="J56" s="47">
        <f t="shared" si="4"/>
        <v>94722.249958328248</v>
      </c>
      <c r="K56" s="47">
        <f t="shared" si="5"/>
        <v>94996.732183776636</v>
      </c>
      <c r="L56" s="290">
        <f t="shared" si="6"/>
        <v>0</v>
      </c>
      <c r="M56" s="47">
        <f t="shared" si="7"/>
        <v>94996.732183776636</v>
      </c>
      <c r="N56" s="47">
        <f t="shared" si="8"/>
        <v>94996.732183776636</v>
      </c>
      <c r="O56" s="290">
        <f t="shared" si="9"/>
        <v>0</v>
      </c>
      <c r="P56" s="47">
        <f t="shared" si="10"/>
        <v>94996.732183776636</v>
      </c>
      <c r="Q56" s="47">
        <f t="shared" si="11"/>
        <v>94996.732183776636</v>
      </c>
      <c r="R56" s="290">
        <f t="shared" si="12"/>
        <v>0</v>
      </c>
      <c r="S56" s="47">
        <f t="shared" si="13"/>
        <v>94996.732183776636</v>
      </c>
      <c r="T56" s="47">
        <f t="shared" si="14"/>
        <v>94996.732183776636</v>
      </c>
      <c r="U56" s="48">
        <f t="shared" si="0"/>
        <v>94996.732183776636</v>
      </c>
      <c r="V56" s="48"/>
      <c r="W56" s="48"/>
      <c r="X56" s="48"/>
      <c r="Y56" s="48"/>
      <c r="Z56" s="49">
        <f t="shared" si="1"/>
        <v>3.0879518660737359E-2</v>
      </c>
      <c r="AC56" s="187">
        <f t="shared" si="15"/>
        <v>1</v>
      </c>
    </row>
    <row r="57" spans="2:29" ht="30.75" customHeight="1" x14ac:dyDescent="0.25">
      <c r="B57" s="38" t="str">
        <f t="shared" si="2"/>
        <v/>
      </c>
      <c r="C57" s="349" t="str">
        <f>סיכום!C57</f>
        <v/>
      </c>
      <c r="D57" s="39">
        <f>'סיכום לועדה- הזנת נתונים'!N57</f>
        <v>250000</v>
      </c>
      <c r="E57" s="39" t="str">
        <f>סיכום!H57</f>
        <v/>
      </c>
      <c r="F57" s="289" t="str">
        <f t="shared" si="16"/>
        <v/>
      </c>
      <c r="G57" s="39" t="str">
        <f t="shared" si="17"/>
        <v/>
      </c>
      <c r="H57" s="39" t="str">
        <f t="shared" si="18"/>
        <v/>
      </c>
      <c r="I57" s="290">
        <f t="shared" si="3"/>
        <v>1</v>
      </c>
      <c r="J57" s="47" t="str">
        <f t="shared" si="4"/>
        <v/>
      </c>
      <c r="K57" s="47" t="str">
        <f t="shared" si="5"/>
        <v/>
      </c>
      <c r="L57" s="290">
        <f t="shared" si="6"/>
        <v>1</v>
      </c>
      <c r="M57" s="47" t="str">
        <f t="shared" si="7"/>
        <v/>
      </c>
      <c r="N57" s="47" t="str">
        <f t="shared" si="8"/>
        <v/>
      </c>
      <c r="O57" s="290">
        <f t="shared" si="9"/>
        <v>1</v>
      </c>
      <c r="P57" s="47" t="str">
        <f t="shared" si="10"/>
        <v/>
      </c>
      <c r="Q57" s="47" t="str">
        <f t="shared" si="11"/>
        <v/>
      </c>
      <c r="R57" s="290">
        <f t="shared" si="12"/>
        <v>1</v>
      </c>
      <c r="S57" s="47" t="str">
        <f t="shared" si="13"/>
        <v/>
      </c>
      <c r="T57" s="47" t="str">
        <f t="shared" si="14"/>
        <v/>
      </c>
      <c r="U57" s="48" t="str">
        <f t="shared" si="0"/>
        <v/>
      </c>
      <c r="V57" s="48"/>
      <c r="W57" s="48"/>
      <c r="X57" s="48"/>
      <c r="Y57" s="48"/>
      <c r="Z57" s="49" t="str">
        <f t="shared" si="1"/>
        <v/>
      </c>
      <c r="AC57" s="187">
        <f t="shared" si="15"/>
        <v>0</v>
      </c>
    </row>
    <row r="58" spans="2:29" ht="30.75" customHeight="1" x14ac:dyDescent="0.25">
      <c r="B58" s="38">
        <f t="shared" si="2"/>
        <v>28</v>
      </c>
      <c r="C58" s="349" t="str">
        <f>סיכום!C58</f>
        <v>תמיכה שותפת- קבוצת מוסיקה נובה</v>
      </c>
      <c r="D58" s="39">
        <f>'סיכום לועדה- הזנת נתונים'!N58</f>
        <v>150000</v>
      </c>
      <c r="E58" s="39">
        <f>סיכום!H58</f>
        <v>86901.669804712044</v>
      </c>
      <c r="F58" s="289">
        <f t="shared" si="16"/>
        <v>0</v>
      </c>
      <c r="G58" s="39">
        <f t="shared" si="17"/>
        <v>86901.669804712044</v>
      </c>
      <c r="H58" s="39">
        <f t="shared" si="18"/>
        <v>90024.627962509039</v>
      </c>
      <c r="I58" s="290">
        <f t="shared" si="3"/>
        <v>0</v>
      </c>
      <c r="J58" s="47">
        <f t="shared" si="4"/>
        <v>90024.627962509039</v>
      </c>
      <c r="K58" s="47">
        <f t="shared" si="5"/>
        <v>90285.497612872961</v>
      </c>
      <c r="L58" s="290">
        <f t="shared" si="6"/>
        <v>0</v>
      </c>
      <c r="M58" s="47">
        <f t="shared" si="7"/>
        <v>90285.497612872961</v>
      </c>
      <c r="N58" s="47">
        <f t="shared" si="8"/>
        <v>90285.497612872961</v>
      </c>
      <c r="O58" s="290">
        <f t="shared" si="9"/>
        <v>0</v>
      </c>
      <c r="P58" s="47">
        <f t="shared" si="10"/>
        <v>90285.497612872961</v>
      </c>
      <c r="Q58" s="47">
        <f t="shared" si="11"/>
        <v>90285.497612872961</v>
      </c>
      <c r="R58" s="290">
        <f t="shared" si="12"/>
        <v>0</v>
      </c>
      <c r="S58" s="47">
        <f t="shared" si="13"/>
        <v>90285.497612872961</v>
      </c>
      <c r="T58" s="47">
        <f t="shared" si="14"/>
        <v>90285.497612872961</v>
      </c>
      <c r="U58" s="48">
        <f t="shared" si="0"/>
        <v>90285.497612872961</v>
      </c>
      <c r="V58" s="48"/>
      <c r="W58" s="48"/>
      <c r="X58" s="48"/>
      <c r="Y58" s="48"/>
      <c r="Z58" s="49">
        <f t="shared" si="1"/>
        <v>2.9348090657867847E-2</v>
      </c>
      <c r="AC58" s="187">
        <f t="shared" si="15"/>
        <v>1</v>
      </c>
    </row>
    <row r="59" spans="2:29" ht="30.75" hidden="1" customHeight="1" x14ac:dyDescent="0.25">
      <c r="B59" s="38" t="str">
        <f t="shared" si="2"/>
        <v/>
      </c>
      <c r="C59" s="349" t="str">
        <f>סיכום!C59</f>
        <v/>
      </c>
      <c r="D59" s="39" t="str">
        <f>'סיכום לועדה- הזנת נתונים'!N59</f>
        <v/>
      </c>
      <c r="E59" s="39" t="str">
        <f>סיכום!H59</f>
        <v/>
      </c>
      <c r="F59" s="289" t="str">
        <f t="shared" si="16"/>
        <v/>
      </c>
      <c r="G59" s="39" t="str">
        <f t="shared" si="17"/>
        <v/>
      </c>
      <c r="H59" s="39" t="str">
        <f t="shared" si="18"/>
        <v/>
      </c>
      <c r="I59" s="290">
        <f t="shared" si="3"/>
        <v>0</v>
      </c>
      <c r="J59" s="47" t="str">
        <f t="shared" si="4"/>
        <v/>
      </c>
      <c r="K59" s="47" t="str">
        <f t="shared" si="5"/>
        <v/>
      </c>
      <c r="L59" s="290">
        <f t="shared" si="6"/>
        <v>0</v>
      </c>
      <c r="M59" s="47" t="str">
        <f t="shared" si="7"/>
        <v/>
      </c>
      <c r="N59" s="47" t="str">
        <f t="shared" si="8"/>
        <v/>
      </c>
      <c r="O59" s="290">
        <f t="shared" si="9"/>
        <v>0</v>
      </c>
      <c r="P59" s="47" t="str">
        <f t="shared" si="10"/>
        <v/>
      </c>
      <c r="Q59" s="47" t="str">
        <f t="shared" si="11"/>
        <v/>
      </c>
      <c r="R59" s="290">
        <f t="shared" si="12"/>
        <v>0</v>
      </c>
      <c r="S59" s="47" t="str">
        <f t="shared" si="13"/>
        <v/>
      </c>
      <c r="T59" s="47" t="str">
        <f t="shared" si="14"/>
        <v/>
      </c>
      <c r="U59" s="48" t="str">
        <f t="shared" si="0"/>
        <v/>
      </c>
      <c r="V59" s="48"/>
      <c r="W59" s="48"/>
      <c r="X59" s="48"/>
      <c r="Y59" s="48"/>
      <c r="Z59" s="49" t="str">
        <f t="shared" si="1"/>
        <v/>
      </c>
      <c r="AC59" s="187">
        <f t="shared" si="15"/>
        <v>0</v>
      </c>
    </row>
    <row r="60" spans="2:29" ht="30.75" hidden="1" customHeight="1" x14ac:dyDescent="0.25">
      <c r="B60" s="38" t="str">
        <f t="shared" si="2"/>
        <v/>
      </c>
      <c r="C60" s="349" t="str">
        <f>סיכום!C60</f>
        <v/>
      </c>
      <c r="D60" s="39" t="str">
        <f>'סיכום לועדה- הזנת נתונים'!N60</f>
        <v/>
      </c>
      <c r="E60" s="39" t="str">
        <f>סיכום!H60</f>
        <v/>
      </c>
      <c r="F60" s="289" t="str">
        <f t="shared" si="16"/>
        <v/>
      </c>
      <c r="G60" s="39" t="str">
        <f t="shared" si="17"/>
        <v/>
      </c>
      <c r="H60" s="39" t="str">
        <f t="shared" si="18"/>
        <v/>
      </c>
      <c r="I60" s="290">
        <f t="shared" si="3"/>
        <v>0</v>
      </c>
      <c r="J60" s="47" t="str">
        <f t="shared" si="4"/>
        <v/>
      </c>
      <c r="K60" s="47" t="str">
        <f t="shared" si="5"/>
        <v/>
      </c>
      <c r="L60" s="290">
        <f t="shared" si="6"/>
        <v>0</v>
      </c>
      <c r="M60" s="47" t="str">
        <f t="shared" si="7"/>
        <v/>
      </c>
      <c r="N60" s="47" t="str">
        <f t="shared" si="8"/>
        <v/>
      </c>
      <c r="O60" s="290">
        <f t="shared" si="9"/>
        <v>0</v>
      </c>
      <c r="P60" s="47" t="str">
        <f t="shared" si="10"/>
        <v/>
      </c>
      <c r="Q60" s="47" t="str">
        <f t="shared" si="11"/>
        <v/>
      </c>
      <c r="R60" s="290">
        <f t="shared" si="12"/>
        <v>0</v>
      </c>
      <c r="S60" s="47" t="str">
        <f t="shared" si="13"/>
        <v/>
      </c>
      <c r="T60" s="47" t="str">
        <f t="shared" si="14"/>
        <v/>
      </c>
      <c r="U60" s="48" t="str">
        <f t="shared" si="0"/>
        <v/>
      </c>
      <c r="V60" s="48"/>
      <c r="W60" s="48"/>
      <c r="X60" s="48"/>
      <c r="Y60" s="48"/>
      <c r="Z60" s="49" t="str">
        <f t="shared" si="1"/>
        <v/>
      </c>
      <c r="AC60" s="187">
        <f t="shared" si="15"/>
        <v>0</v>
      </c>
    </row>
    <row r="61" spans="2:29" ht="30.75" hidden="1" customHeight="1" x14ac:dyDescent="0.25">
      <c r="B61" s="38" t="str">
        <f t="shared" si="2"/>
        <v/>
      </c>
      <c r="C61" s="349" t="str">
        <f>סיכום!C61</f>
        <v/>
      </c>
      <c r="D61" s="39" t="str">
        <f>'סיכום לועדה- הזנת נתונים'!N61</f>
        <v/>
      </c>
      <c r="E61" s="39" t="str">
        <f>סיכום!H61</f>
        <v/>
      </c>
      <c r="F61" s="289" t="str">
        <f t="shared" si="16"/>
        <v/>
      </c>
      <c r="G61" s="39" t="str">
        <f t="shared" si="17"/>
        <v/>
      </c>
      <c r="H61" s="39" t="str">
        <f t="shared" si="18"/>
        <v/>
      </c>
      <c r="I61" s="290">
        <f t="shared" si="3"/>
        <v>0</v>
      </c>
      <c r="J61" s="47" t="str">
        <f t="shared" si="4"/>
        <v/>
      </c>
      <c r="K61" s="47" t="str">
        <f t="shared" si="5"/>
        <v/>
      </c>
      <c r="L61" s="290">
        <f t="shared" si="6"/>
        <v>0</v>
      </c>
      <c r="M61" s="47" t="str">
        <f t="shared" si="7"/>
        <v/>
      </c>
      <c r="N61" s="47" t="str">
        <f t="shared" si="8"/>
        <v/>
      </c>
      <c r="O61" s="290">
        <f t="shared" si="9"/>
        <v>0</v>
      </c>
      <c r="P61" s="47" t="str">
        <f t="shared" si="10"/>
        <v/>
      </c>
      <c r="Q61" s="47" t="str">
        <f t="shared" si="11"/>
        <v/>
      </c>
      <c r="R61" s="290">
        <f t="shared" si="12"/>
        <v>0</v>
      </c>
      <c r="S61" s="47" t="str">
        <f t="shared" si="13"/>
        <v/>
      </c>
      <c r="T61" s="47" t="str">
        <f t="shared" si="14"/>
        <v/>
      </c>
      <c r="U61" s="48" t="str">
        <f t="shared" si="0"/>
        <v/>
      </c>
      <c r="V61" s="48"/>
      <c r="W61" s="48"/>
      <c r="X61" s="48"/>
      <c r="Y61" s="48"/>
      <c r="Z61" s="49" t="str">
        <f t="shared" si="1"/>
        <v/>
      </c>
      <c r="AC61" s="187">
        <f t="shared" si="15"/>
        <v>0</v>
      </c>
    </row>
    <row r="62" spans="2:29" ht="30.75" hidden="1" customHeight="1" x14ac:dyDescent="0.25">
      <c r="B62" s="38" t="str">
        <f t="shared" si="2"/>
        <v/>
      </c>
      <c r="C62" s="349" t="str">
        <f>סיכום!C62</f>
        <v/>
      </c>
      <c r="D62" s="39" t="str">
        <f>'סיכום לועדה- הזנת נתונים'!N62</f>
        <v/>
      </c>
      <c r="E62" s="39" t="str">
        <f>סיכום!H62</f>
        <v/>
      </c>
      <c r="F62" s="289" t="str">
        <f t="shared" si="16"/>
        <v/>
      </c>
      <c r="G62" s="39" t="str">
        <f t="shared" si="17"/>
        <v/>
      </c>
      <c r="H62" s="39" t="str">
        <f t="shared" si="18"/>
        <v/>
      </c>
      <c r="I62" s="290">
        <f t="shared" si="3"/>
        <v>0</v>
      </c>
      <c r="J62" s="47" t="str">
        <f t="shared" si="4"/>
        <v/>
      </c>
      <c r="K62" s="47" t="str">
        <f t="shared" si="5"/>
        <v/>
      </c>
      <c r="L62" s="290">
        <f t="shared" si="6"/>
        <v>0</v>
      </c>
      <c r="M62" s="47" t="str">
        <f t="shared" si="7"/>
        <v/>
      </c>
      <c r="N62" s="47" t="str">
        <f t="shared" si="8"/>
        <v/>
      </c>
      <c r="O62" s="290">
        <f t="shared" si="9"/>
        <v>0</v>
      </c>
      <c r="P62" s="47" t="str">
        <f t="shared" si="10"/>
        <v/>
      </c>
      <c r="Q62" s="47" t="str">
        <f t="shared" si="11"/>
        <v/>
      </c>
      <c r="R62" s="290">
        <f t="shared" si="12"/>
        <v>0</v>
      </c>
      <c r="S62" s="47" t="str">
        <f t="shared" si="13"/>
        <v/>
      </c>
      <c r="T62" s="47" t="str">
        <f t="shared" si="14"/>
        <v/>
      </c>
      <c r="U62" s="48" t="str">
        <f t="shared" si="0"/>
        <v/>
      </c>
      <c r="V62" s="48"/>
      <c r="W62" s="48"/>
      <c r="X62" s="48"/>
      <c r="Y62" s="48"/>
      <c r="Z62" s="49" t="str">
        <f t="shared" si="1"/>
        <v/>
      </c>
      <c r="AC62" s="187">
        <f t="shared" si="15"/>
        <v>0</v>
      </c>
    </row>
    <row r="63" spans="2:29" ht="30.75" hidden="1" customHeight="1" x14ac:dyDescent="0.25">
      <c r="B63" s="38" t="str">
        <f t="shared" si="2"/>
        <v/>
      </c>
      <c r="C63" s="349" t="str">
        <f>סיכום!C63</f>
        <v/>
      </c>
      <c r="D63" s="39" t="str">
        <f>'סיכום לועדה- הזנת נתונים'!N63</f>
        <v/>
      </c>
      <c r="E63" s="39" t="str">
        <f>סיכום!H63</f>
        <v/>
      </c>
      <c r="F63" s="289" t="str">
        <f t="shared" si="16"/>
        <v/>
      </c>
      <c r="G63" s="39" t="str">
        <f t="shared" si="17"/>
        <v/>
      </c>
      <c r="H63" s="39" t="str">
        <f t="shared" si="18"/>
        <v/>
      </c>
      <c r="I63" s="290">
        <f t="shared" si="3"/>
        <v>0</v>
      </c>
      <c r="J63" s="47" t="str">
        <f t="shared" si="4"/>
        <v/>
      </c>
      <c r="K63" s="47" t="str">
        <f t="shared" si="5"/>
        <v/>
      </c>
      <c r="L63" s="290">
        <f t="shared" si="6"/>
        <v>0</v>
      </c>
      <c r="M63" s="47" t="str">
        <f t="shared" si="7"/>
        <v/>
      </c>
      <c r="N63" s="47" t="str">
        <f t="shared" si="8"/>
        <v/>
      </c>
      <c r="O63" s="290">
        <f t="shared" si="9"/>
        <v>0</v>
      </c>
      <c r="P63" s="47" t="str">
        <f t="shared" si="10"/>
        <v/>
      </c>
      <c r="Q63" s="47" t="str">
        <f t="shared" si="11"/>
        <v/>
      </c>
      <c r="R63" s="290">
        <f t="shared" si="12"/>
        <v>0</v>
      </c>
      <c r="S63" s="47" t="str">
        <f t="shared" si="13"/>
        <v/>
      </c>
      <c r="T63" s="47" t="str">
        <f t="shared" si="14"/>
        <v/>
      </c>
      <c r="U63" s="48" t="str">
        <f t="shared" ref="U63:U94" si="19">IF($C63="","",IF(AC63=0,$AH$1,IFERROR(T63,$AH$1)))</f>
        <v/>
      </c>
      <c r="V63" s="48"/>
      <c r="W63" s="48"/>
      <c r="X63" s="48"/>
      <c r="Y63" s="48"/>
      <c r="Z63" s="49" t="str">
        <f t="shared" ref="Z63:Z94" si="20">IF(C63="","",IFERROR(U63/SUMIF($U$31:$U$130,"&lt;&gt;#DIV/0!"),$AH$1))</f>
        <v/>
      </c>
      <c r="AC63" s="187">
        <f t="shared" si="15"/>
        <v>0</v>
      </c>
    </row>
    <row r="64" spans="2:29" ht="30.75" hidden="1" customHeight="1" x14ac:dyDescent="0.25">
      <c r="B64" s="38" t="str">
        <f t="shared" si="2"/>
        <v/>
      </c>
      <c r="C64" s="349" t="str">
        <f>סיכום!C64</f>
        <v/>
      </c>
      <c r="D64" s="39" t="str">
        <f>'סיכום לועדה- הזנת נתונים'!N64</f>
        <v/>
      </c>
      <c r="E64" s="39" t="str">
        <f>סיכום!H64</f>
        <v/>
      </c>
      <c r="F64" s="289" t="str">
        <f t="shared" si="16"/>
        <v/>
      </c>
      <c r="G64" s="39" t="str">
        <f t="shared" si="17"/>
        <v/>
      </c>
      <c r="H64" s="39" t="str">
        <f t="shared" si="18"/>
        <v/>
      </c>
      <c r="I64" s="290">
        <f t="shared" si="3"/>
        <v>0</v>
      </c>
      <c r="J64" s="47" t="str">
        <f t="shared" si="4"/>
        <v/>
      </c>
      <c r="K64" s="47" t="str">
        <f t="shared" si="5"/>
        <v/>
      </c>
      <c r="L64" s="290">
        <f t="shared" si="6"/>
        <v>0</v>
      </c>
      <c r="M64" s="47" t="str">
        <f t="shared" si="7"/>
        <v/>
      </c>
      <c r="N64" s="47" t="str">
        <f t="shared" si="8"/>
        <v/>
      </c>
      <c r="O64" s="290">
        <f t="shared" si="9"/>
        <v>0</v>
      </c>
      <c r="P64" s="47" t="str">
        <f t="shared" si="10"/>
        <v/>
      </c>
      <c r="Q64" s="47" t="str">
        <f t="shared" si="11"/>
        <v/>
      </c>
      <c r="R64" s="290">
        <f t="shared" si="12"/>
        <v>0</v>
      </c>
      <c r="S64" s="47" t="str">
        <f t="shared" si="13"/>
        <v/>
      </c>
      <c r="T64" s="47" t="str">
        <f t="shared" si="14"/>
        <v/>
      </c>
      <c r="U64" s="48" t="str">
        <f t="shared" si="19"/>
        <v/>
      </c>
      <c r="V64" s="48"/>
      <c r="W64" s="48"/>
      <c r="X64" s="48"/>
      <c r="Y64" s="48"/>
      <c r="Z64" s="49" t="str">
        <f t="shared" si="20"/>
        <v/>
      </c>
      <c r="AC64" s="187">
        <f t="shared" si="15"/>
        <v>0</v>
      </c>
    </row>
    <row r="65" spans="2:29" ht="30.75" customHeight="1" x14ac:dyDescent="0.25">
      <c r="B65" s="38">
        <f t="shared" si="2"/>
        <v>35</v>
      </c>
      <c r="C65" s="349" t="str">
        <f>סיכום!C65</f>
        <v>אנסמבל מיתר</v>
      </c>
      <c r="D65" s="39">
        <f>'סיכום לועדה- הזנת נתונים'!N65</f>
        <v>298738</v>
      </c>
      <c r="E65" s="39">
        <f>סיכום!H65</f>
        <v>202903.49065320959</v>
      </c>
      <c r="F65" s="289">
        <f t="shared" si="16"/>
        <v>0</v>
      </c>
      <c r="G65" s="39">
        <f t="shared" si="17"/>
        <v>202903.49065320959</v>
      </c>
      <c r="H65" s="39">
        <f t="shared" si="18"/>
        <v>210195.17000534295</v>
      </c>
      <c r="I65" s="290">
        <f t="shared" si="3"/>
        <v>0</v>
      </c>
      <c r="J65" s="47">
        <f t="shared" si="4"/>
        <v>210195.17000534295</v>
      </c>
      <c r="K65" s="47">
        <f t="shared" si="5"/>
        <v>210804.2648913592</v>
      </c>
      <c r="L65" s="290">
        <f t="shared" si="6"/>
        <v>0</v>
      </c>
      <c r="M65" s="47">
        <f t="shared" si="7"/>
        <v>210804.2648913592</v>
      </c>
      <c r="N65" s="47">
        <f t="shared" si="8"/>
        <v>210804.2648913592</v>
      </c>
      <c r="O65" s="290">
        <f t="shared" si="9"/>
        <v>0</v>
      </c>
      <c r="P65" s="47">
        <f t="shared" si="10"/>
        <v>210804.2648913592</v>
      </c>
      <c r="Q65" s="47">
        <f t="shared" si="11"/>
        <v>210804.2648913592</v>
      </c>
      <c r="R65" s="290">
        <f t="shared" si="12"/>
        <v>0</v>
      </c>
      <c r="S65" s="47">
        <f t="shared" si="13"/>
        <v>210804.2648913592</v>
      </c>
      <c r="T65" s="47">
        <f t="shared" si="14"/>
        <v>210804.2648913592</v>
      </c>
      <c r="U65" s="48">
        <f t="shared" si="19"/>
        <v>210804.2648913592</v>
      </c>
      <c r="V65" s="48"/>
      <c r="W65" s="48"/>
      <c r="X65" s="48"/>
      <c r="Y65" s="48"/>
      <c r="Z65" s="49">
        <f t="shared" si="20"/>
        <v>6.8523770048033644E-2</v>
      </c>
      <c r="AC65" s="187">
        <f t="shared" si="15"/>
        <v>1</v>
      </c>
    </row>
    <row r="66" spans="2:29" ht="30.75" hidden="1" customHeight="1" x14ac:dyDescent="0.25">
      <c r="B66" s="38" t="str">
        <f t="shared" si="2"/>
        <v/>
      </c>
      <c r="C66" s="349" t="str">
        <f>סיכום!C66</f>
        <v/>
      </c>
      <c r="D66" s="39" t="str">
        <f>'סיכום לועדה- הזנת נתונים'!N66</f>
        <v/>
      </c>
      <c r="E66" s="39" t="str">
        <f>סיכום!H66</f>
        <v/>
      </c>
      <c r="F66" s="289" t="str">
        <f t="shared" si="16"/>
        <v/>
      </c>
      <c r="G66" s="39" t="str">
        <f t="shared" si="17"/>
        <v/>
      </c>
      <c r="H66" s="39" t="str">
        <f t="shared" si="18"/>
        <v/>
      </c>
      <c r="I66" s="290">
        <f t="shared" si="3"/>
        <v>0</v>
      </c>
      <c r="J66" s="47" t="str">
        <f t="shared" si="4"/>
        <v/>
      </c>
      <c r="K66" s="47" t="str">
        <f t="shared" si="5"/>
        <v/>
      </c>
      <c r="L66" s="290">
        <f t="shared" si="6"/>
        <v>0</v>
      </c>
      <c r="M66" s="47" t="str">
        <f t="shared" si="7"/>
        <v/>
      </c>
      <c r="N66" s="47" t="str">
        <f t="shared" si="8"/>
        <v/>
      </c>
      <c r="O66" s="290">
        <f t="shared" si="9"/>
        <v>0</v>
      </c>
      <c r="P66" s="47" t="str">
        <f t="shared" si="10"/>
        <v/>
      </c>
      <c r="Q66" s="47" t="str">
        <f t="shared" si="11"/>
        <v/>
      </c>
      <c r="R66" s="290">
        <f t="shared" si="12"/>
        <v>0</v>
      </c>
      <c r="S66" s="47" t="str">
        <f t="shared" si="13"/>
        <v/>
      </c>
      <c r="T66" s="47" t="str">
        <f t="shared" si="14"/>
        <v/>
      </c>
      <c r="U66" s="48" t="str">
        <f t="shared" si="19"/>
        <v/>
      </c>
      <c r="V66" s="48"/>
      <c r="W66" s="48"/>
      <c r="X66" s="48"/>
      <c r="Y66" s="48"/>
      <c r="Z66" s="49" t="str">
        <f t="shared" si="20"/>
        <v/>
      </c>
      <c r="AC66" s="187">
        <f t="shared" si="15"/>
        <v>0</v>
      </c>
    </row>
    <row r="67" spans="2:29" ht="30.75" customHeight="1" x14ac:dyDescent="0.25">
      <c r="B67" s="38">
        <f t="shared" si="2"/>
        <v>37</v>
      </c>
      <c r="C67" s="349" t="str">
        <f>סיכום!C67</f>
        <v>אנסמבל ארז נטף</v>
      </c>
      <c r="D67" s="39">
        <f>'סיכום לועדה- הזנת נתונים'!N67</f>
        <v>85000</v>
      </c>
      <c r="E67" s="39">
        <f>סיכום!H67</f>
        <v>92920.182316817329</v>
      </c>
      <c r="F67" s="289">
        <f t="shared" si="16"/>
        <v>1</v>
      </c>
      <c r="G67" s="39">
        <f t="shared" si="17"/>
        <v>85000</v>
      </c>
      <c r="H67" s="39">
        <f t="shared" si="18"/>
        <v>85000</v>
      </c>
      <c r="I67" s="290">
        <f t="shared" si="3"/>
        <v>1</v>
      </c>
      <c r="J67" s="47">
        <f t="shared" si="4"/>
        <v>85000</v>
      </c>
      <c r="K67" s="47">
        <f t="shared" si="5"/>
        <v>85000</v>
      </c>
      <c r="L67" s="290">
        <f t="shared" si="6"/>
        <v>1</v>
      </c>
      <c r="M67" s="47">
        <f t="shared" si="7"/>
        <v>85000</v>
      </c>
      <c r="N67" s="47">
        <f t="shared" si="8"/>
        <v>85000</v>
      </c>
      <c r="O67" s="290">
        <f t="shared" si="9"/>
        <v>1</v>
      </c>
      <c r="P67" s="47">
        <f t="shared" si="10"/>
        <v>85000</v>
      </c>
      <c r="Q67" s="47">
        <f t="shared" si="11"/>
        <v>85000</v>
      </c>
      <c r="R67" s="290">
        <f t="shared" si="12"/>
        <v>1</v>
      </c>
      <c r="S67" s="47">
        <f t="shared" si="13"/>
        <v>85000</v>
      </c>
      <c r="T67" s="47">
        <f t="shared" si="14"/>
        <v>85000</v>
      </c>
      <c r="U67" s="48">
        <f t="shared" si="19"/>
        <v>85000</v>
      </c>
      <c r="V67" s="48"/>
      <c r="W67" s="48"/>
      <c r="X67" s="48"/>
      <c r="Y67" s="48"/>
      <c r="Z67" s="49">
        <f t="shared" si="20"/>
        <v>2.762999343056273E-2</v>
      </c>
      <c r="AC67" s="187">
        <f t="shared" si="15"/>
        <v>1</v>
      </c>
    </row>
    <row r="68" spans="2:29" ht="30.75" hidden="1" customHeight="1" x14ac:dyDescent="0.25">
      <c r="B68" s="38" t="str">
        <f t="shared" si="2"/>
        <v/>
      </c>
      <c r="C68" s="349" t="str">
        <f>סיכום!C68</f>
        <v/>
      </c>
      <c r="D68" s="39" t="str">
        <f>'סיכום לועדה- הזנת נתונים'!N68</f>
        <v/>
      </c>
      <c r="E68" s="39" t="str">
        <f>סיכום!H68</f>
        <v/>
      </c>
      <c r="F68" s="289" t="str">
        <f t="shared" si="16"/>
        <v/>
      </c>
      <c r="G68" s="39" t="str">
        <f t="shared" si="17"/>
        <v/>
      </c>
      <c r="H68" s="39" t="str">
        <f t="shared" si="18"/>
        <v/>
      </c>
      <c r="I68" s="290">
        <f t="shared" si="3"/>
        <v>0</v>
      </c>
      <c r="J68" s="47" t="str">
        <f t="shared" si="4"/>
        <v/>
      </c>
      <c r="K68" s="47" t="str">
        <f t="shared" si="5"/>
        <v/>
      </c>
      <c r="L68" s="290">
        <f t="shared" si="6"/>
        <v>0</v>
      </c>
      <c r="M68" s="47" t="str">
        <f t="shared" si="7"/>
        <v/>
      </c>
      <c r="N68" s="47" t="str">
        <f t="shared" si="8"/>
        <v/>
      </c>
      <c r="O68" s="290">
        <f t="shared" si="9"/>
        <v>0</v>
      </c>
      <c r="P68" s="47" t="str">
        <f t="shared" si="10"/>
        <v/>
      </c>
      <c r="Q68" s="47" t="str">
        <f t="shared" si="11"/>
        <v/>
      </c>
      <c r="R68" s="290">
        <f t="shared" si="12"/>
        <v>0</v>
      </c>
      <c r="S68" s="47" t="str">
        <f t="shared" si="13"/>
        <v/>
      </c>
      <c r="T68" s="47" t="str">
        <f t="shared" si="14"/>
        <v/>
      </c>
      <c r="U68" s="48" t="str">
        <f t="shared" si="19"/>
        <v/>
      </c>
      <c r="V68" s="48"/>
      <c r="W68" s="48"/>
      <c r="X68" s="48"/>
      <c r="Y68" s="48"/>
      <c r="Z68" s="49" t="str">
        <f t="shared" si="20"/>
        <v/>
      </c>
      <c r="AC68" s="187">
        <f t="shared" si="15"/>
        <v>0</v>
      </c>
    </row>
    <row r="69" spans="2:29" ht="30.75" hidden="1" customHeight="1" x14ac:dyDescent="0.25">
      <c r="B69" s="38" t="str">
        <f t="shared" si="2"/>
        <v/>
      </c>
      <c r="C69" s="349" t="str">
        <f>סיכום!C69</f>
        <v/>
      </c>
      <c r="D69" s="39" t="str">
        <f>'סיכום לועדה- הזנת נתונים'!N69</f>
        <v/>
      </c>
      <c r="E69" s="39" t="str">
        <f>סיכום!H69</f>
        <v/>
      </c>
      <c r="F69" s="289" t="str">
        <f t="shared" si="16"/>
        <v/>
      </c>
      <c r="G69" s="39" t="str">
        <f t="shared" si="17"/>
        <v/>
      </c>
      <c r="H69" s="39" t="str">
        <f t="shared" si="18"/>
        <v/>
      </c>
      <c r="I69" s="290">
        <f t="shared" si="3"/>
        <v>0</v>
      </c>
      <c r="J69" s="47" t="str">
        <f t="shared" si="4"/>
        <v/>
      </c>
      <c r="K69" s="47" t="str">
        <f t="shared" si="5"/>
        <v/>
      </c>
      <c r="L69" s="290">
        <f t="shared" si="6"/>
        <v>0</v>
      </c>
      <c r="M69" s="47" t="str">
        <f t="shared" si="7"/>
        <v/>
      </c>
      <c r="N69" s="47" t="str">
        <f t="shared" si="8"/>
        <v/>
      </c>
      <c r="O69" s="290">
        <f t="shared" si="9"/>
        <v>0</v>
      </c>
      <c r="P69" s="47" t="str">
        <f t="shared" si="10"/>
        <v/>
      </c>
      <c r="Q69" s="47" t="str">
        <f t="shared" si="11"/>
        <v/>
      </c>
      <c r="R69" s="290">
        <f t="shared" si="12"/>
        <v>0</v>
      </c>
      <c r="S69" s="47" t="str">
        <f t="shared" si="13"/>
        <v/>
      </c>
      <c r="T69" s="47" t="str">
        <f t="shared" si="14"/>
        <v/>
      </c>
      <c r="U69" s="48" t="str">
        <f t="shared" si="19"/>
        <v/>
      </c>
      <c r="V69" s="48"/>
      <c r="W69" s="48"/>
      <c r="X69" s="48"/>
      <c r="Y69" s="48"/>
      <c r="Z69" s="49" t="str">
        <f t="shared" si="20"/>
        <v/>
      </c>
      <c r="AC69" s="187">
        <f t="shared" si="15"/>
        <v>0</v>
      </c>
    </row>
    <row r="70" spans="2:29" ht="30.75" customHeight="1" x14ac:dyDescent="0.25">
      <c r="B70" s="38">
        <f t="shared" si="2"/>
        <v>40</v>
      </c>
      <c r="C70" s="241" t="str">
        <f>סיכום!C70</f>
        <v>תו המשווה (ע"ר)</v>
      </c>
      <c r="D70" s="39">
        <f>'סיכום לועדה- הזנת נתונים'!N70</f>
        <v>400000</v>
      </c>
      <c r="E70" s="39">
        <f>סיכום!H70</f>
        <v>110116.43172170471</v>
      </c>
      <c r="F70" s="289">
        <f t="shared" si="16"/>
        <v>0</v>
      </c>
      <c r="G70" s="39">
        <f t="shared" si="17"/>
        <v>110116.43172170471</v>
      </c>
      <c r="H70" s="39">
        <f t="shared" si="18"/>
        <v>114073.65152571528</v>
      </c>
      <c r="I70" s="290">
        <f t="shared" si="3"/>
        <v>0</v>
      </c>
      <c r="J70" s="47">
        <f t="shared" si="4"/>
        <v>114073.65152571528</v>
      </c>
      <c r="K70" s="47">
        <f t="shared" si="5"/>
        <v>114404.20944372902</v>
      </c>
      <c r="L70" s="290">
        <f t="shared" si="6"/>
        <v>0</v>
      </c>
      <c r="M70" s="47">
        <f t="shared" si="7"/>
        <v>114404.20944372902</v>
      </c>
      <c r="N70" s="47">
        <f t="shared" si="8"/>
        <v>114404.20944372902</v>
      </c>
      <c r="O70" s="290">
        <f t="shared" si="9"/>
        <v>0</v>
      </c>
      <c r="P70" s="47">
        <f t="shared" si="10"/>
        <v>114404.20944372902</v>
      </c>
      <c r="Q70" s="47">
        <f t="shared" si="11"/>
        <v>114404.20944372902</v>
      </c>
      <c r="R70" s="290">
        <f t="shared" si="12"/>
        <v>0</v>
      </c>
      <c r="S70" s="47">
        <f t="shared" si="13"/>
        <v>114404.20944372902</v>
      </c>
      <c r="T70" s="47">
        <f t="shared" si="14"/>
        <v>114404.20944372902</v>
      </c>
      <c r="U70" s="48">
        <f t="shared" si="19"/>
        <v>114404.20944372902</v>
      </c>
      <c r="V70" s="48"/>
      <c r="W70" s="48"/>
      <c r="X70" s="48"/>
      <c r="Y70" s="48"/>
      <c r="Z70" s="49">
        <f t="shared" si="20"/>
        <v>3.7188088886575946E-2</v>
      </c>
      <c r="AC70" s="187">
        <f t="shared" si="15"/>
        <v>1</v>
      </c>
    </row>
    <row r="71" spans="2:29" ht="30.75" hidden="1" customHeight="1" x14ac:dyDescent="0.25">
      <c r="B71" s="38" t="str">
        <f t="shared" si="2"/>
        <v/>
      </c>
      <c r="C71" s="241" t="str">
        <f>סיכום!C71</f>
        <v/>
      </c>
      <c r="D71" s="39" t="str">
        <f>'סיכום לועדה- הזנת נתונים'!N71</f>
        <v/>
      </c>
      <c r="E71" s="39" t="str">
        <f>סיכום!H71</f>
        <v/>
      </c>
      <c r="F71" s="289" t="str">
        <f t="shared" si="16"/>
        <v/>
      </c>
      <c r="G71" s="39" t="str">
        <f t="shared" si="17"/>
        <v/>
      </c>
      <c r="H71" s="39" t="str">
        <f t="shared" si="18"/>
        <v/>
      </c>
      <c r="I71" s="290">
        <f t="shared" si="3"/>
        <v>0</v>
      </c>
      <c r="J71" s="47" t="str">
        <f t="shared" si="4"/>
        <v/>
      </c>
      <c r="K71" s="47" t="str">
        <f t="shared" si="5"/>
        <v/>
      </c>
      <c r="L71" s="290">
        <f t="shared" si="6"/>
        <v>0</v>
      </c>
      <c r="M71" s="47" t="str">
        <f t="shared" si="7"/>
        <v/>
      </c>
      <c r="N71" s="47" t="str">
        <f t="shared" si="8"/>
        <v/>
      </c>
      <c r="O71" s="290">
        <f t="shared" si="9"/>
        <v>0</v>
      </c>
      <c r="P71" s="47" t="str">
        <f t="shared" si="10"/>
        <v/>
      </c>
      <c r="Q71" s="47" t="str">
        <f t="shared" si="11"/>
        <v/>
      </c>
      <c r="R71" s="290">
        <f t="shared" si="12"/>
        <v>0</v>
      </c>
      <c r="S71" s="47" t="str">
        <f t="shared" si="13"/>
        <v/>
      </c>
      <c r="T71" s="47" t="str">
        <f t="shared" si="14"/>
        <v/>
      </c>
      <c r="U71" s="48" t="str">
        <f t="shared" si="19"/>
        <v/>
      </c>
      <c r="V71" s="48"/>
      <c r="W71" s="48"/>
      <c r="X71" s="48"/>
      <c r="Y71" s="48"/>
      <c r="Z71" s="49" t="str">
        <f t="shared" si="20"/>
        <v/>
      </c>
      <c r="AC71" s="187">
        <f t="shared" si="15"/>
        <v>0</v>
      </c>
    </row>
    <row r="72" spans="2:29" ht="30.75" hidden="1" customHeight="1" x14ac:dyDescent="0.25">
      <c r="B72" s="38" t="str">
        <f t="shared" si="2"/>
        <v/>
      </c>
      <c r="C72" s="241" t="str">
        <f>סיכום!C72</f>
        <v/>
      </c>
      <c r="D72" s="39" t="str">
        <f>'סיכום לועדה- הזנת נתונים'!N72</f>
        <v/>
      </c>
      <c r="E72" s="39" t="str">
        <f>סיכום!H72</f>
        <v/>
      </c>
      <c r="F72" s="289" t="str">
        <f t="shared" si="16"/>
        <v/>
      </c>
      <c r="G72" s="39" t="str">
        <f t="shared" si="17"/>
        <v/>
      </c>
      <c r="H72" s="39" t="str">
        <f t="shared" si="18"/>
        <v/>
      </c>
      <c r="I72" s="290">
        <f t="shared" si="3"/>
        <v>0</v>
      </c>
      <c r="J72" s="47" t="str">
        <f t="shared" si="4"/>
        <v/>
      </c>
      <c r="K72" s="47" t="str">
        <f t="shared" si="5"/>
        <v/>
      </c>
      <c r="L72" s="290">
        <f t="shared" si="6"/>
        <v>0</v>
      </c>
      <c r="M72" s="47" t="str">
        <f t="shared" si="7"/>
        <v/>
      </c>
      <c r="N72" s="47" t="str">
        <f t="shared" si="8"/>
        <v/>
      </c>
      <c r="O72" s="290">
        <f t="shared" si="9"/>
        <v>0</v>
      </c>
      <c r="P72" s="47" t="str">
        <f t="shared" si="10"/>
        <v/>
      </c>
      <c r="Q72" s="47" t="str">
        <f t="shared" si="11"/>
        <v/>
      </c>
      <c r="R72" s="290">
        <f t="shared" si="12"/>
        <v>0</v>
      </c>
      <c r="S72" s="47" t="str">
        <f t="shared" si="13"/>
        <v/>
      </c>
      <c r="T72" s="47" t="str">
        <f t="shared" si="14"/>
        <v/>
      </c>
      <c r="U72" s="48" t="str">
        <f t="shared" si="19"/>
        <v/>
      </c>
      <c r="V72" s="48"/>
      <c r="W72" s="48"/>
      <c r="X72" s="48"/>
      <c r="Y72" s="48"/>
      <c r="Z72" s="49" t="str">
        <f t="shared" si="20"/>
        <v/>
      </c>
      <c r="AC72" s="187">
        <f t="shared" si="15"/>
        <v>0</v>
      </c>
    </row>
    <row r="73" spans="2:29" ht="30.75" customHeight="1" x14ac:dyDescent="0.25">
      <c r="B73" s="38">
        <f t="shared" si="2"/>
        <v>43</v>
      </c>
      <c r="C73" s="241" t="str">
        <f>סיכום!C73</f>
        <v>בר קיימא ואקלקוטנטקט</v>
      </c>
      <c r="D73" s="39">
        <f>'סיכום לועדה- הזנת נתונים'!N73</f>
        <v>200000</v>
      </c>
      <c r="E73" s="39">
        <f>סיכום!H73</f>
        <v>129053.8753761316</v>
      </c>
      <c r="F73" s="289">
        <f t="shared" si="16"/>
        <v>0</v>
      </c>
      <c r="G73" s="39">
        <f t="shared" si="17"/>
        <v>129053.8753761316</v>
      </c>
      <c r="H73" s="39">
        <f t="shared" si="18"/>
        <v>133691.64417628135</v>
      </c>
      <c r="I73" s="290">
        <f t="shared" si="3"/>
        <v>0</v>
      </c>
      <c r="J73" s="47">
        <f t="shared" si="4"/>
        <v>133691.64417628135</v>
      </c>
      <c r="K73" s="47">
        <f t="shared" si="5"/>
        <v>134079.05030349543</v>
      </c>
      <c r="L73" s="290">
        <f t="shared" si="6"/>
        <v>0</v>
      </c>
      <c r="M73" s="47">
        <f t="shared" si="7"/>
        <v>134079.05030349543</v>
      </c>
      <c r="N73" s="47">
        <f t="shared" si="8"/>
        <v>134079.05030349543</v>
      </c>
      <c r="O73" s="290">
        <f t="shared" si="9"/>
        <v>0</v>
      </c>
      <c r="P73" s="47">
        <f t="shared" si="10"/>
        <v>134079.05030349543</v>
      </c>
      <c r="Q73" s="47">
        <f t="shared" si="11"/>
        <v>134079.05030349543</v>
      </c>
      <c r="R73" s="290">
        <f t="shared" si="12"/>
        <v>0</v>
      </c>
      <c r="S73" s="47">
        <f t="shared" si="13"/>
        <v>134079.05030349543</v>
      </c>
      <c r="T73" s="47">
        <f t="shared" si="14"/>
        <v>134079.05030349543</v>
      </c>
      <c r="U73" s="48">
        <f t="shared" si="19"/>
        <v>134079.05030349543</v>
      </c>
      <c r="V73" s="48"/>
      <c r="W73" s="48"/>
      <c r="X73" s="48"/>
      <c r="Y73" s="48"/>
      <c r="Z73" s="49">
        <f t="shared" si="20"/>
        <v>4.3583567988960806E-2</v>
      </c>
      <c r="AC73" s="187">
        <f t="shared" si="15"/>
        <v>1</v>
      </c>
    </row>
    <row r="74" spans="2:29" ht="30.75" hidden="1" customHeight="1" x14ac:dyDescent="0.25">
      <c r="B74" s="38" t="str">
        <f t="shared" si="2"/>
        <v/>
      </c>
      <c r="C74" s="241" t="str">
        <f>סיכום!C74</f>
        <v/>
      </c>
      <c r="D74" s="39" t="str">
        <f>'סיכום לועדה- הזנת נתונים'!N74</f>
        <v/>
      </c>
      <c r="E74" s="39" t="str">
        <f>סיכום!H74</f>
        <v/>
      </c>
      <c r="F74" s="289" t="str">
        <f t="shared" si="16"/>
        <v/>
      </c>
      <c r="G74" s="39" t="str">
        <f t="shared" si="17"/>
        <v/>
      </c>
      <c r="H74" s="39" t="str">
        <f t="shared" si="18"/>
        <v/>
      </c>
      <c r="I74" s="290">
        <f t="shared" si="3"/>
        <v>0</v>
      </c>
      <c r="J74" s="47" t="str">
        <f t="shared" si="4"/>
        <v/>
      </c>
      <c r="K74" s="47" t="str">
        <f t="shared" si="5"/>
        <v/>
      </c>
      <c r="L74" s="290">
        <f t="shared" si="6"/>
        <v>0</v>
      </c>
      <c r="M74" s="47" t="str">
        <f t="shared" si="7"/>
        <v/>
      </c>
      <c r="N74" s="47" t="str">
        <f t="shared" si="8"/>
        <v/>
      </c>
      <c r="O74" s="290">
        <f t="shared" si="9"/>
        <v>0</v>
      </c>
      <c r="P74" s="47" t="str">
        <f t="shared" si="10"/>
        <v/>
      </c>
      <c r="Q74" s="47" t="str">
        <f t="shared" si="11"/>
        <v/>
      </c>
      <c r="R74" s="290">
        <f t="shared" si="12"/>
        <v>0</v>
      </c>
      <c r="S74" s="47" t="str">
        <f t="shared" si="13"/>
        <v/>
      </c>
      <c r="T74" s="47" t="str">
        <f t="shared" si="14"/>
        <v/>
      </c>
      <c r="U74" s="48" t="str">
        <f t="shared" si="19"/>
        <v/>
      </c>
      <c r="V74" s="48"/>
      <c r="W74" s="48"/>
      <c r="X74" s="48"/>
      <c r="Y74" s="48"/>
      <c r="Z74" s="49" t="str">
        <f t="shared" si="20"/>
        <v/>
      </c>
      <c r="AC74" s="187">
        <f t="shared" si="15"/>
        <v>0</v>
      </c>
    </row>
    <row r="75" spans="2:29" ht="30.75" customHeight="1" x14ac:dyDescent="0.25">
      <c r="B75" s="38">
        <f t="shared" si="2"/>
        <v>45</v>
      </c>
      <c r="C75" s="241" t="str">
        <f>סיכום!C75</f>
        <v>אלקאת התזמורת התימנית</v>
      </c>
      <c r="D75" s="39">
        <f>'סיכום לועדה- הזנת נתונים'!N75</f>
        <v>500000</v>
      </c>
      <c r="E75" s="39">
        <f>סיכום!H75</f>
        <v>68909.901732111612</v>
      </c>
      <c r="F75" s="289">
        <f t="shared" si="16"/>
        <v>0</v>
      </c>
      <c r="G75" s="39">
        <f t="shared" si="17"/>
        <v>68909.901732111612</v>
      </c>
      <c r="H75" s="39">
        <f t="shared" si="18"/>
        <v>71386.295341703895</v>
      </c>
      <c r="I75" s="290">
        <f t="shared" si="3"/>
        <v>0</v>
      </c>
      <c r="J75" s="47">
        <f t="shared" si="4"/>
        <v>71386.295341703895</v>
      </c>
      <c r="K75" s="47">
        <f t="shared" si="5"/>
        <v>71593.155601257778</v>
      </c>
      <c r="L75" s="290">
        <f t="shared" si="6"/>
        <v>0</v>
      </c>
      <c r="M75" s="47">
        <f t="shared" si="7"/>
        <v>71593.155601257778</v>
      </c>
      <c r="N75" s="47">
        <f t="shared" si="8"/>
        <v>71593.155601257778</v>
      </c>
      <c r="O75" s="290">
        <f t="shared" si="9"/>
        <v>0</v>
      </c>
      <c r="P75" s="47">
        <f t="shared" si="10"/>
        <v>71593.155601257778</v>
      </c>
      <c r="Q75" s="47">
        <f t="shared" si="11"/>
        <v>71593.155601257778</v>
      </c>
      <c r="R75" s="290">
        <f t="shared" si="12"/>
        <v>0</v>
      </c>
      <c r="S75" s="47">
        <f t="shared" si="13"/>
        <v>71593.155601257778</v>
      </c>
      <c r="T75" s="47">
        <f t="shared" si="14"/>
        <v>71593.155601257778</v>
      </c>
      <c r="U75" s="48">
        <f t="shared" si="19"/>
        <v>71593.155601257778</v>
      </c>
      <c r="V75" s="48"/>
      <c r="W75" s="48"/>
      <c r="X75" s="48"/>
      <c r="Y75" s="48"/>
      <c r="Z75" s="49">
        <f t="shared" si="20"/>
        <v>2.327198139924715E-2</v>
      </c>
      <c r="AC75" s="187">
        <f t="shared" si="15"/>
        <v>1</v>
      </c>
    </row>
    <row r="76" spans="2:29" ht="30.75" hidden="1" customHeight="1" x14ac:dyDescent="0.25">
      <c r="B76" s="38" t="str">
        <f t="shared" si="2"/>
        <v/>
      </c>
      <c r="C76" s="241" t="str">
        <f>סיכום!C76</f>
        <v/>
      </c>
      <c r="D76" s="39" t="str">
        <f>'סיכום לועדה- הזנת נתונים'!N76</f>
        <v/>
      </c>
      <c r="E76" s="39" t="str">
        <f>סיכום!H76</f>
        <v/>
      </c>
      <c r="F76" s="289" t="str">
        <f t="shared" si="16"/>
        <v/>
      </c>
      <c r="G76" s="39" t="str">
        <f t="shared" si="17"/>
        <v/>
      </c>
      <c r="H76" s="39" t="str">
        <f t="shared" si="18"/>
        <v/>
      </c>
      <c r="I76" s="290">
        <f t="shared" si="3"/>
        <v>0</v>
      </c>
      <c r="J76" s="47" t="str">
        <f t="shared" si="4"/>
        <v/>
      </c>
      <c r="K76" s="47" t="str">
        <f t="shared" si="5"/>
        <v/>
      </c>
      <c r="L76" s="290">
        <f t="shared" si="6"/>
        <v>0</v>
      </c>
      <c r="M76" s="47" t="str">
        <f t="shared" si="7"/>
        <v/>
      </c>
      <c r="N76" s="47" t="str">
        <f t="shared" si="8"/>
        <v/>
      </c>
      <c r="O76" s="290">
        <f t="shared" si="9"/>
        <v>0</v>
      </c>
      <c r="P76" s="47" t="str">
        <f t="shared" si="10"/>
        <v/>
      </c>
      <c r="Q76" s="47" t="str">
        <f t="shared" si="11"/>
        <v/>
      </c>
      <c r="R76" s="290">
        <f t="shared" si="12"/>
        <v>0</v>
      </c>
      <c r="S76" s="47" t="str">
        <f t="shared" si="13"/>
        <v/>
      </c>
      <c r="T76" s="47" t="str">
        <f t="shared" si="14"/>
        <v/>
      </c>
      <c r="U76" s="48" t="str">
        <f t="shared" si="19"/>
        <v/>
      </c>
      <c r="V76" s="48"/>
      <c r="W76" s="48"/>
      <c r="X76" s="48"/>
      <c r="Y76" s="48"/>
      <c r="Z76" s="49" t="str">
        <f t="shared" si="20"/>
        <v/>
      </c>
      <c r="AC76" s="187">
        <f t="shared" si="15"/>
        <v>0</v>
      </c>
    </row>
    <row r="77" spans="2:29" ht="30.75" hidden="1" customHeight="1" x14ac:dyDescent="0.25">
      <c r="B77" s="38" t="str">
        <f t="shared" si="2"/>
        <v/>
      </c>
      <c r="C77" s="241" t="str">
        <f>סיכום!C77</f>
        <v/>
      </c>
      <c r="D77" s="39" t="str">
        <f>'סיכום לועדה- הזנת נתונים'!N77</f>
        <v/>
      </c>
      <c r="E77" s="39" t="str">
        <f>סיכום!H77</f>
        <v/>
      </c>
      <c r="F77" s="289" t="str">
        <f t="shared" si="16"/>
        <v/>
      </c>
      <c r="G77" s="39" t="str">
        <f t="shared" si="17"/>
        <v/>
      </c>
      <c r="H77" s="39" t="str">
        <f t="shared" si="18"/>
        <v/>
      </c>
      <c r="I77" s="290">
        <f t="shared" si="3"/>
        <v>0</v>
      </c>
      <c r="J77" s="47" t="str">
        <f t="shared" si="4"/>
        <v/>
      </c>
      <c r="K77" s="47" t="str">
        <f t="shared" si="5"/>
        <v/>
      </c>
      <c r="L77" s="290">
        <f t="shared" si="6"/>
        <v>0</v>
      </c>
      <c r="M77" s="47" t="str">
        <f t="shared" si="7"/>
        <v/>
      </c>
      <c r="N77" s="47" t="str">
        <f t="shared" si="8"/>
        <v/>
      </c>
      <c r="O77" s="290">
        <f t="shared" si="9"/>
        <v>0</v>
      </c>
      <c r="P77" s="47" t="str">
        <f t="shared" si="10"/>
        <v/>
      </c>
      <c r="Q77" s="47" t="str">
        <f t="shared" si="11"/>
        <v/>
      </c>
      <c r="R77" s="290">
        <f t="shared" si="12"/>
        <v>0</v>
      </c>
      <c r="S77" s="47" t="str">
        <f t="shared" si="13"/>
        <v/>
      </c>
      <c r="T77" s="47" t="str">
        <f t="shared" si="14"/>
        <v/>
      </c>
      <c r="U77" s="48" t="str">
        <f t="shared" si="19"/>
        <v/>
      </c>
      <c r="V77" s="48"/>
      <c r="W77" s="48"/>
      <c r="X77" s="48"/>
      <c r="Y77" s="48"/>
      <c r="Z77" s="49" t="str">
        <f t="shared" si="20"/>
        <v/>
      </c>
      <c r="AC77" s="187">
        <f t="shared" si="15"/>
        <v>0</v>
      </c>
    </row>
    <row r="78" spans="2:29" ht="30.75" customHeight="1" x14ac:dyDescent="0.25">
      <c r="B78" s="38">
        <f t="shared" si="2"/>
        <v>48</v>
      </c>
      <c r="C78" s="241" t="str">
        <f>סיכום!C78</f>
        <v>גיא מינטוס- טריו</v>
      </c>
      <c r="D78" s="39">
        <f>'סיכום לועדה- הזנת נתונים'!N78</f>
        <v>85000</v>
      </c>
      <c r="E78" s="39">
        <f>סיכום!H78</f>
        <v>85300.24149856226</v>
      </c>
      <c r="F78" s="289">
        <f t="shared" si="16"/>
        <v>1</v>
      </c>
      <c r="G78" s="39">
        <f t="shared" si="17"/>
        <v>85000</v>
      </c>
      <c r="H78" s="39">
        <f t="shared" si="18"/>
        <v>85000</v>
      </c>
      <c r="I78" s="290">
        <f t="shared" si="3"/>
        <v>1</v>
      </c>
      <c r="J78" s="47">
        <f t="shared" si="4"/>
        <v>85000</v>
      </c>
      <c r="K78" s="47">
        <f t="shared" si="5"/>
        <v>85000</v>
      </c>
      <c r="L78" s="290">
        <f t="shared" si="6"/>
        <v>1</v>
      </c>
      <c r="M78" s="47">
        <f t="shared" si="7"/>
        <v>85000</v>
      </c>
      <c r="N78" s="47">
        <f t="shared" si="8"/>
        <v>85000</v>
      </c>
      <c r="O78" s="290">
        <f t="shared" si="9"/>
        <v>1</v>
      </c>
      <c r="P78" s="47">
        <f t="shared" si="10"/>
        <v>85000</v>
      </c>
      <c r="Q78" s="47">
        <f t="shared" si="11"/>
        <v>85000</v>
      </c>
      <c r="R78" s="290">
        <f t="shared" si="12"/>
        <v>1</v>
      </c>
      <c r="S78" s="47">
        <f t="shared" si="13"/>
        <v>85000</v>
      </c>
      <c r="T78" s="47">
        <f t="shared" si="14"/>
        <v>85000</v>
      </c>
      <c r="U78" s="48">
        <f t="shared" si="19"/>
        <v>85000</v>
      </c>
      <c r="V78" s="48"/>
      <c r="W78" s="48"/>
      <c r="X78" s="48"/>
      <c r="Y78" s="48"/>
      <c r="Z78" s="49">
        <f t="shared" si="20"/>
        <v>2.762999343056273E-2</v>
      </c>
      <c r="AC78" s="187">
        <f t="shared" si="15"/>
        <v>1</v>
      </c>
    </row>
    <row r="79" spans="2:29" ht="30.75" hidden="1" customHeight="1" x14ac:dyDescent="0.25">
      <c r="B79" s="38" t="str">
        <f t="shared" si="2"/>
        <v/>
      </c>
      <c r="C79" s="241" t="str">
        <f>סיכום!C79</f>
        <v/>
      </c>
      <c r="D79" s="39" t="str">
        <f>'סיכום לועדה- הזנת נתונים'!N79</f>
        <v/>
      </c>
      <c r="E79" s="39" t="str">
        <f>סיכום!H79</f>
        <v/>
      </c>
      <c r="F79" s="289" t="str">
        <f t="shared" si="16"/>
        <v/>
      </c>
      <c r="G79" s="39" t="str">
        <f t="shared" si="17"/>
        <v/>
      </c>
      <c r="H79" s="39" t="str">
        <f t="shared" si="18"/>
        <v/>
      </c>
      <c r="I79" s="290">
        <f t="shared" si="3"/>
        <v>0</v>
      </c>
      <c r="J79" s="47" t="str">
        <f t="shared" si="4"/>
        <v/>
      </c>
      <c r="K79" s="47" t="str">
        <f t="shared" si="5"/>
        <v/>
      </c>
      <c r="L79" s="290">
        <f t="shared" si="6"/>
        <v>0</v>
      </c>
      <c r="M79" s="47" t="str">
        <f t="shared" si="7"/>
        <v/>
      </c>
      <c r="N79" s="47" t="str">
        <f t="shared" si="8"/>
        <v/>
      </c>
      <c r="O79" s="290">
        <f t="shared" si="9"/>
        <v>0</v>
      </c>
      <c r="P79" s="47" t="str">
        <f t="shared" si="10"/>
        <v/>
      </c>
      <c r="Q79" s="47" t="str">
        <f t="shared" si="11"/>
        <v/>
      </c>
      <c r="R79" s="290">
        <f t="shared" si="12"/>
        <v>0</v>
      </c>
      <c r="S79" s="47" t="str">
        <f t="shared" si="13"/>
        <v/>
      </c>
      <c r="T79" s="47" t="str">
        <f t="shared" si="14"/>
        <v/>
      </c>
      <c r="U79" s="48" t="str">
        <f t="shared" si="19"/>
        <v/>
      </c>
      <c r="V79" s="48"/>
      <c r="W79" s="48"/>
      <c r="X79" s="48"/>
      <c r="Y79" s="48"/>
      <c r="Z79" s="49" t="str">
        <f t="shared" si="20"/>
        <v/>
      </c>
      <c r="AC79" s="187">
        <f t="shared" si="15"/>
        <v>0</v>
      </c>
    </row>
    <row r="80" spans="2:29" ht="30.75" hidden="1" customHeight="1" x14ac:dyDescent="0.25">
      <c r="B80" s="38" t="str">
        <f t="shared" si="2"/>
        <v/>
      </c>
      <c r="C80" s="241" t="str">
        <f>סיכום!C80</f>
        <v/>
      </c>
      <c r="D80" s="39" t="str">
        <f>'סיכום לועדה- הזנת נתונים'!N80</f>
        <v/>
      </c>
      <c r="E80" s="39" t="str">
        <f>סיכום!H80</f>
        <v/>
      </c>
      <c r="F80" s="289" t="str">
        <f t="shared" si="16"/>
        <v/>
      </c>
      <c r="G80" s="39" t="str">
        <f t="shared" si="17"/>
        <v/>
      </c>
      <c r="H80" s="39" t="str">
        <f t="shared" si="18"/>
        <v/>
      </c>
      <c r="I80" s="290">
        <f t="shared" si="3"/>
        <v>0</v>
      </c>
      <c r="J80" s="47" t="str">
        <f t="shared" si="4"/>
        <v/>
      </c>
      <c r="K80" s="47" t="str">
        <f t="shared" si="5"/>
        <v/>
      </c>
      <c r="L80" s="290">
        <f t="shared" si="6"/>
        <v>0</v>
      </c>
      <c r="M80" s="47" t="str">
        <f t="shared" si="7"/>
        <v/>
      </c>
      <c r="N80" s="47" t="str">
        <f t="shared" si="8"/>
        <v/>
      </c>
      <c r="O80" s="290">
        <f t="shared" si="9"/>
        <v>0</v>
      </c>
      <c r="P80" s="47" t="str">
        <f t="shared" si="10"/>
        <v/>
      </c>
      <c r="Q80" s="47" t="str">
        <f t="shared" si="11"/>
        <v/>
      </c>
      <c r="R80" s="290">
        <f t="shared" si="12"/>
        <v>0</v>
      </c>
      <c r="S80" s="47" t="str">
        <f t="shared" si="13"/>
        <v/>
      </c>
      <c r="T80" s="47" t="str">
        <f t="shared" si="14"/>
        <v/>
      </c>
      <c r="U80" s="48" t="str">
        <f t="shared" si="19"/>
        <v/>
      </c>
      <c r="V80" s="48"/>
      <c r="W80" s="48"/>
      <c r="X80" s="48"/>
      <c r="Y80" s="48"/>
      <c r="Z80" s="49" t="str">
        <f t="shared" si="20"/>
        <v/>
      </c>
      <c r="AC80" s="187">
        <f t="shared" si="15"/>
        <v>0</v>
      </c>
    </row>
    <row r="81" spans="2:29" ht="30.75" hidden="1" customHeight="1" x14ac:dyDescent="0.25">
      <c r="B81" s="38" t="str">
        <f t="shared" si="2"/>
        <v/>
      </c>
      <c r="C81" s="241" t="str">
        <f>סיכום!C81</f>
        <v/>
      </c>
      <c r="D81" s="39" t="str">
        <f>'סיכום לועדה- הזנת נתונים'!N81</f>
        <v/>
      </c>
      <c r="E81" s="39" t="str">
        <f>סיכום!H81</f>
        <v/>
      </c>
      <c r="F81" s="289" t="str">
        <f t="shared" si="16"/>
        <v/>
      </c>
      <c r="G81" s="39" t="str">
        <f t="shared" si="17"/>
        <v/>
      </c>
      <c r="H81" s="39" t="str">
        <f t="shared" si="18"/>
        <v/>
      </c>
      <c r="I81" s="290">
        <f t="shared" si="3"/>
        <v>0</v>
      </c>
      <c r="J81" s="47" t="str">
        <f t="shared" si="4"/>
        <v/>
      </c>
      <c r="K81" s="47" t="str">
        <f t="shared" si="5"/>
        <v/>
      </c>
      <c r="L81" s="290">
        <f t="shared" si="6"/>
        <v>0</v>
      </c>
      <c r="M81" s="47" t="str">
        <f t="shared" si="7"/>
        <v/>
      </c>
      <c r="N81" s="47" t="str">
        <f t="shared" si="8"/>
        <v/>
      </c>
      <c r="O81" s="290">
        <f t="shared" si="9"/>
        <v>0</v>
      </c>
      <c r="P81" s="47" t="str">
        <f t="shared" si="10"/>
        <v/>
      </c>
      <c r="Q81" s="47" t="str">
        <f t="shared" si="11"/>
        <v/>
      </c>
      <c r="R81" s="290">
        <f t="shared" si="12"/>
        <v>0</v>
      </c>
      <c r="S81" s="47" t="str">
        <f t="shared" si="13"/>
        <v/>
      </c>
      <c r="T81" s="47" t="str">
        <f t="shared" si="14"/>
        <v/>
      </c>
      <c r="U81" s="48" t="str">
        <f t="shared" si="19"/>
        <v/>
      </c>
      <c r="V81" s="48"/>
      <c r="W81" s="48"/>
      <c r="X81" s="48"/>
      <c r="Y81" s="48"/>
      <c r="Z81" s="49" t="str">
        <f t="shared" si="20"/>
        <v/>
      </c>
      <c r="AC81" s="187">
        <f t="shared" si="15"/>
        <v>0</v>
      </c>
    </row>
    <row r="82" spans="2:29" ht="30.75" customHeight="1" x14ac:dyDescent="0.25">
      <c r="B82" s="38">
        <f t="shared" si="2"/>
        <v>52</v>
      </c>
      <c r="C82" s="241" t="str">
        <f>סיכום!C82</f>
        <v xml:space="preserve">פולקעס - בר-קיימא לתרבות </v>
      </c>
      <c r="D82" s="39">
        <f>'סיכום לועדה- הזנת נתונים'!N82</f>
        <v>250000</v>
      </c>
      <c r="E82" s="39">
        <f>סיכום!H82</f>
        <v>133612.26524966926</v>
      </c>
      <c r="F82" s="289">
        <f t="shared" si="16"/>
        <v>0</v>
      </c>
      <c r="G82" s="39">
        <f t="shared" si="17"/>
        <v>133612.26524966926</v>
      </c>
      <c r="H82" s="39">
        <f t="shared" si="18"/>
        <v>138413.84748256399</v>
      </c>
      <c r="I82" s="290">
        <f t="shared" si="3"/>
        <v>0</v>
      </c>
      <c r="J82" s="47">
        <f t="shared" si="4"/>
        <v>138413.84748256399</v>
      </c>
      <c r="K82" s="47">
        <f t="shared" si="5"/>
        <v>138814.93741556921</v>
      </c>
      <c r="L82" s="290">
        <f t="shared" si="6"/>
        <v>0</v>
      </c>
      <c r="M82" s="47">
        <f t="shared" si="7"/>
        <v>138814.93741556921</v>
      </c>
      <c r="N82" s="47">
        <f t="shared" si="8"/>
        <v>138814.93741556921</v>
      </c>
      <c r="O82" s="290">
        <f t="shared" si="9"/>
        <v>0</v>
      </c>
      <c r="P82" s="47">
        <f t="shared" si="10"/>
        <v>138814.93741556921</v>
      </c>
      <c r="Q82" s="47">
        <f t="shared" si="11"/>
        <v>138814.93741556921</v>
      </c>
      <c r="R82" s="290">
        <f t="shared" si="12"/>
        <v>0</v>
      </c>
      <c r="S82" s="47">
        <f t="shared" si="13"/>
        <v>138814.93741556921</v>
      </c>
      <c r="T82" s="47">
        <f t="shared" si="14"/>
        <v>138814.93741556921</v>
      </c>
      <c r="U82" s="48">
        <f t="shared" si="19"/>
        <v>138814.93741556921</v>
      </c>
      <c r="V82" s="48"/>
      <c r="W82" s="48"/>
      <c r="X82" s="48"/>
      <c r="Y82" s="48"/>
      <c r="Z82" s="49">
        <f t="shared" si="20"/>
        <v>4.512300951595475E-2</v>
      </c>
      <c r="AC82" s="187">
        <f t="shared" si="15"/>
        <v>1</v>
      </c>
    </row>
    <row r="83" spans="2:29" ht="30.75" hidden="1" customHeight="1" x14ac:dyDescent="0.25">
      <c r="B83" s="38" t="str">
        <f t="shared" si="2"/>
        <v/>
      </c>
      <c r="C83" s="241" t="str">
        <f>סיכום!C83</f>
        <v/>
      </c>
      <c r="D83" s="39" t="str">
        <f>'סיכום לועדה- הזנת נתונים'!N83</f>
        <v/>
      </c>
      <c r="E83" s="39" t="str">
        <f>סיכום!H83</f>
        <v/>
      </c>
      <c r="F83" s="289" t="str">
        <f t="shared" si="16"/>
        <v/>
      </c>
      <c r="G83" s="39" t="str">
        <f t="shared" si="17"/>
        <v/>
      </c>
      <c r="H83" s="39" t="str">
        <f t="shared" si="18"/>
        <v/>
      </c>
      <c r="I83" s="290">
        <f t="shared" si="3"/>
        <v>0</v>
      </c>
      <c r="J83" s="47" t="str">
        <f t="shared" si="4"/>
        <v/>
      </c>
      <c r="K83" s="47" t="str">
        <f t="shared" si="5"/>
        <v/>
      </c>
      <c r="L83" s="290">
        <f t="shared" si="6"/>
        <v>0</v>
      </c>
      <c r="M83" s="47" t="str">
        <f t="shared" si="7"/>
        <v/>
      </c>
      <c r="N83" s="47" t="str">
        <f t="shared" si="8"/>
        <v/>
      </c>
      <c r="O83" s="290">
        <f t="shared" si="9"/>
        <v>0</v>
      </c>
      <c r="P83" s="47" t="str">
        <f t="shared" si="10"/>
        <v/>
      </c>
      <c r="Q83" s="47" t="str">
        <f t="shared" si="11"/>
        <v/>
      </c>
      <c r="R83" s="290">
        <f t="shared" si="12"/>
        <v>0</v>
      </c>
      <c r="S83" s="47" t="str">
        <f t="shared" si="13"/>
        <v/>
      </c>
      <c r="T83" s="47" t="str">
        <f t="shared" si="14"/>
        <v/>
      </c>
      <c r="U83" s="48" t="str">
        <f t="shared" si="19"/>
        <v/>
      </c>
      <c r="V83" s="48"/>
      <c r="W83" s="48"/>
      <c r="X83" s="48"/>
      <c r="Y83" s="48"/>
      <c r="Z83" s="49" t="str">
        <f t="shared" si="20"/>
        <v/>
      </c>
      <c r="AC83" s="187">
        <f t="shared" si="15"/>
        <v>0</v>
      </c>
    </row>
    <row r="84" spans="2:29" ht="30.75" hidden="1" customHeight="1" x14ac:dyDescent="0.25">
      <c r="B84" s="38" t="str">
        <f t="shared" si="2"/>
        <v/>
      </c>
      <c r="C84" s="241" t="str">
        <f>סיכום!C84</f>
        <v/>
      </c>
      <c r="D84" s="39" t="str">
        <f>'סיכום לועדה- הזנת נתונים'!N84</f>
        <v/>
      </c>
      <c r="E84" s="39" t="str">
        <f>סיכום!H84</f>
        <v/>
      </c>
      <c r="F84" s="289" t="str">
        <f t="shared" si="16"/>
        <v/>
      </c>
      <c r="G84" s="39" t="str">
        <f t="shared" si="17"/>
        <v/>
      </c>
      <c r="H84" s="39" t="str">
        <f t="shared" si="18"/>
        <v/>
      </c>
      <c r="I84" s="290">
        <f t="shared" si="3"/>
        <v>0</v>
      </c>
      <c r="J84" s="47" t="str">
        <f t="shared" si="4"/>
        <v/>
      </c>
      <c r="K84" s="47" t="str">
        <f t="shared" si="5"/>
        <v/>
      </c>
      <c r="L84" s="290">
        <f t="shared" si="6"/>
        <v>0</v>
      </c>
      <c r="M84" s="47" t="str">
        <f t="shared" si="7"/>
        <v/>
      </c>
      <c r="N84" s="47" t="str">
        <f t="shared" si="8"/>
        <v/>
      </c>
      <c r="O84" s="290">
        <f t="shared" si="9"/>
        <v>0</v>
      </c>
      <c r="P84" s="47" t="str">
        <f t="shared" si="10"/>
        <v/>
      </c>
      <c r="Q84" s="47" t="str">
        <f t="shared" si="11"/>
        <v/>
      </c>
      <c r="R84" s="290">
        <f t="shared" si="12"/>
        <v>0</v>
      </c>
      <c r="S84" s="47" t="str">
        <f t="shared" si="13"/>
        <v/>
      </c>
      <c r="T84" s="47" t="str">
        <f t="shared" si="14"/>
        <v/>
      </c>
      <c r="U84" s="48" t="str">
        <f t="shared" si="19"/>
        <v/>
      </c>
      <c r="V84" s="48"/>
      <c r="W84" s="48"/>
      <c r="X84" s="48"/>
      <c r="Y84" s="48"/>
      <c r="Z84" s="49" t="str">
        <f t="shared" si="20"/>
        <v/>
      </c>
      <c r="AC84" s="187">
        <f t="shared" si="15"/>
        <v>0</v>
      </c>
    </row>
    <row r="85" spans="2:29" ht="30.75" customHeight="1" x14ac:dyDescent="0.25">
      <c r="B85" s="38">
        <f t="shared" si="2"/>
        <v>55</v>
      </c>
      <c r="C85" s="241" t="str">
        <f>סיכום!C85</f>
        <v>מכון רננות</v>
      </c>
      <c r="D85" s="39">
        <f>'סיכום לועדה- הזנת נתונים'!N85</f>
        <v>60000</v>
      </c>
      <c r="E85" s="39">
        <f>סיכום!H85</f>
        <v>69757.184708391404</v>
      </c>
      <c r="F85" s="289">
        <f t="shared" si="16"/>
        <v>1</v>
      </c>
      <c r="G85" s="39">
        <f t="shared" si="17"/>
        <v>60000</v>
      </c>
      <c r="H85" s="39">
        <f t="shared" si="18"/>
        <v>60000</v>
      </c>
      <c r="I85" s="290">
        <f t="shared" si="3"/>
        <v>1</v>
      </c>
      <c r="J85" s="47">
        <f t="shared" si="4"/>
        <v>60000</v>
      </c>
      <c r="K85" s="47">
        <f t="shared" si="5"/>
        <v>60000</v>
      </c>
      <c r="L85" s="290">
        <f t="shared" si="6"/>
        <v>1</v>
      </c>
      <c r="M85" s="47">
        <f t="shared" si="7"/>
        <v>60000</v>
      </c>
      <c r="N85" s="47">
        <f t="shared" si="8"/>
        <v>60000</v>
      </c>
      <c r="O85" s="290">
        <f t="shared" si="9"/>
        <v>1</v>
      </c>
      <c r="P85" s="47">
        <f t="shared" si="10"/>
        <v>60000</v>
      </c>
      <c r="Q85" s="47">
        <f t="shared" si="11"/>
        <v>60000</v>
      </c>
      <c r="R85" s="290">
        <f t="shared" si="12"/>
        <v>1</v>
      </c>
      <c r="S85" s="47">
        <f t="shared" si="13"/>
        <v>60000</v>
      </c>
      <c r="T85" s="47">
        <f t="shared" si="14"/>
        <v>60000</v>
      </c>
      <c r="U85" s="48">
        <f t="shared" si="19"/>
        <v>60000</v>
      </c>
      <c r="V85" s="48"/>
      <c r="W85" s="48"/>
      <c r="X85" s="48"/>
      <c r="Y85" s="48"/>
      <c r="Z85" s="49">
        <f t="shared" si="20"/>
        <v>1.9503524774514867E-2</v>
      </c>
      <c r="AC85" s="187">
        <f t="shared" si="15"/>
        <v>1</v>
      </c>
    </row>
    <row r="86" spans="2:29" ht="30.75" hidden="1" customHeight="1" x14ac:dyDescent="0.25">
      <c r="B86" s="38" t="str">
        <f t="shared" si="2"/>
        <v/>
      </c>
      <c r="C86" s="241" t="str">
        <f>סיכום!C86</f>
        <v/>
      </c>
      <c r="D86" s="39" t="str">
        <f>'סיכום לועדה- הזנת נתונים'!N86</f>
        <v/>
      </c>
      <c r="E86" s="39" t="str">
        <f>סיכום!H86</f>
        <v/>
      </c>
      <c r="F86" s="289" t="str">
        <f t="shared" si="16"/>
        <v/>
      </c>
      <c r="G86" s="39" t="str">
        <f t="shared" si="17"/>
        <v/>
      </c>
      <c r="H86" s="39" t="str">
        <f t="shared" si="18"/>
        <v/>
      </c>
      <c r="I86" s="290">
        <f t="shared" si="3"/>
        <v>0</v>
      </c>
      <c r="J86" s="47" t="str">
        <f t="shared" si="4"/>
        <v/>
      </c>
      <c r="K86" s="47" t="str">
        <f t="shared" si="5"/>
        <v/>
      </c>
      <c r="L86" s="290">
        <f t="shared" si="6"/>
        <v>0</v>
      </c>
      <c r="M86" s="47" t="str">
        <f t="shared" si="7"/>
        <v/>
      </c>
      <c r="N86" s="47" t="str">
        <f t="shared" si="8"/>
        <v/>
      </c>
      <c r="O86" s="290">
        <f t="shared" si="9"/>
        <v>0</v>
      </c>
      <c r="P86" s="47" t="str">
        <f t="shared" si="10"/>
        <v/>
      </c>
      <c r="Q86" s="47" t="str">
        <f t="shared" si="11"/>
        <v/>
      </c>
      <c r="R86" s="290">
        <f t="shared" si="12"/>
        <v>0</v>
      </c>
      <c r="S86" s="47" t="str">
        <f t="shared" si="13"/>
        <v/>
      </c>
      <c r="T86" s="47" t="str">
        <f t="shared" si="14"/>
        <v/>
      </c>
      <c r="U86" s="48" t="str">
        <f t="shared" si="19"/>
        <v/>
      </c>
      <c r="V86" s="48"/>
      <c r="W86" s="48"/>
      <c r="X86" s="48"/>
      <c r="Y86" s="48"/>
      <c r="Z86" s="49" t="str">
        <f t="shared" si="20"/>
        <v/>
      </c>
      <c r="AC86" s="187">
        <f t="shared" si="15"/>
        <v>0</v>
      </c>
    </row>
    <row r="87" spans="2:29" ht="30.75" customHeight="1" x14ac:dyDescent="0.25">
      <c r="B87" s="38">
        <f t="shared" si="2"/>
        <v>57</v>
      </c>
      <c r="C87" s="241" t="str">
        <f>סיכום!C87</f>
        <v>עמותת מפעל המוזיקה צימבליסטה</v>
      </c>
      <c r="D87" s="39">
        <f>'סיכום לועדה- הזנת נתונים'!N87</f>
        <v>500000</v>
      </c>
      <c r="E87" s="39">
        <f>סיכום!H87</f>
        <v>82727.664688919162</v>
      </c>
      <c r="F87" s="289">
        <f t="shared" si="16"/>
        <v>0</v>
      </c>
      <c r="G87" s="39">
        <f t="shared" si="17"/>
        <v>82727.664688919162</v>
      </c>
      <c r="H87" s="39">
        <f t="shared" si="18"/>
        <v>85700.622928920042</v>
      </c>
      <c r="I87" s="290">
        <f t="shared" si="3"/>
        <v>0</v>
      </c>
      <c r="J87" s="47">
        <f t="shared" si="4"/>
        <v>85700.622928920042</v>
      </c>
      <c r="K87" s="47">
        <f t="shared" si="5"/>
        <v>85948.962656008371</v>
      </c>
      <c r="L87" s="290">
        <f t="shared" si="6"/>
        <v>0</v>
      </c>
      <c r="M87" s="47">
        <f t="shared" si="7"/>
        <v>85948.962656008371</v>
      </c>
      <c r="N87" s="47">
        <f t="shared" si="8"/>
        <v>85948.962656008371</v>
      </c>
      <c r="O87" s="290">
        <f t="shared" si="9"/>
        <v>0</v>
      </c>
      <c r="P87" s="47">
        <f t="shared" si="10"/>
        <v>85948.962656008371</v>
      </c>
      <c r="Q87" s="47">
        <f t="shared" si="11"/>
        <v>85948.962656008371</v>
      </c>
      <c r="R87" s="290">
        <f t="shared" si="12"/>
        <v>0</v>
      </c>
      <c r="S87" s="47">
        <f t="shared" si="13"/>
        <v>85948.962656008371</v>
      </c>
      <c r="T87" s="47">
        <f t="shared" si="14"/>
        <v>85948.962656008371</v>
      </c>
      <c r="U87" s="48">
        <f t="shared" si="19"/>
        <v>85948.962656008371</v>
      </c>
      <c r="V87" s="48"/>
      <c r="W87" s="48"/>
      <c r="X87" s="48"/>
      <c r="Y87" s="48"/>
      <c r="Z87" s="49">
        <f t="shared" si="20"/>
        <v>2.7938462041755208E-2</v>
      </c>
      <c r="AC87" s="187">
        <f t="shared" si="15"/>
        <v>1</v>
      </c>
    </row>
    <row r="88" spans="2:29" ht="30.75" hidden="1" customHeight="1" x14ac:dyDescent="0.25">
      <c r="B88" s="38" t="str">
        <f t="shared" si="2"/>
        <v/>
      </c>
      <c r="C88" s="241" t="str">
        <f>סיכום!C88</f>
        <v/>
      </c>
      <c r="D88" s="39" t="str">
        <f>'סיכום לועדה- הזנת נתונים'!N88</f>
        <v/>
      </c>
      <c r="E88" s="39" t="str">
        <f>סיכום!H88</f>
        <v/>
      </c>
      <c r="F88" s="289" t="str">
        <f t="shared" si="16"/>
        <v/>
      </c>
      <c r="G88" s="39" t="str">
        <f t="shared" si="17"/>
        <v/>
      </c>
      <c r="H88" s="39" t="str">
        <f t="shared" si="18"/>
        <v/>
      </c>
      <c r="I88" s="290">
        <f t="shared" si="3"/>
        <v>0</v>
      </c>
      <c r="J88" s="47" t="str">
        <f t="shared" si="4"/>
        <v/>
      </c>
      <c r="K88" s="47" t="str">
        <f t="shared" si="5"/>
        <v/>
      </c>
      <c r="L88" s="290">
        <f t="shared" si="6"/>
        <v>0</v>
      </c>
      <c r="M88" s="47" t="str">
        <f t="shared" si="7"/>
        <v/>
      </c>
      <c r="N88" s="47" t="str">
        <f t="shared" si="8"/>
        <v/>
      </c>
      <c r="O88" s="290">
        <f t="shared" si="9"/>
        <v>0</v>
      </c>
      <c r="P88" s="47" t="str">
        <f t="shared" si="10"/>
        <v/>
      </c>
      <c r="Q88" s="47" t="str">
        <f t="shared" si="11"/>
        <v/>
      </c>
      <c r="R88" s="290">
        <f t="shared" si="12"/>
        <v>0</v>
      </c>
      <c r="S88" s="47" t="str">
        <f t="shared" si="13"/>
        <v/>
      </c>
      <c r="T88" s="47" t="str">
        <f t="shared" si="14"/>
        <v/>
      </c>
      <c r="U88" s="48" t="str">
        <f t="shared" si="19"/>
        <v/>
      </c>
      <c r="V88" s="48"/>
      <c r="W88" s="48"/>
      <c r="X88" s="48"/>
      <c r="Y88" s="48"/>
      <c r="Z88" s="49" t="str">
        <f t="shared" si="20"/>
        <v/>
      </c>
      <c r="AC88" s="187">
        <f t="shared" si="15"/>
        <v>0</v>
      </c>
    </row>
    <row r="89" spans="2:29" ht="30.75" customHeight="1" x14ac:dyDescent="0.25">
      <c r="B89" s="38">
        <f t="shared" si="2"/>
        <v>59</v>
      </c>
      <c r="C89" s="241" t="str">
        <f>סיכום!C89</f>
        <v>העמותה לקידום המוסיקה הערבית</v>
      </c>
      <c r="D89" s="39">
        <f>'סיכום לועדה- הזנת נתונים'!N89</f>
        <v>600000</v>
      </c>
      <c r="E89" s="39">
        <f>סיכום!H89</f>
        <v>215318.24009812786</v>
      </c>
      <c r="F89" s="289">
        <f t="shared" si="16"/>
        <v>0</v>
      </c>
      <c r="G89" s="39">
        <f t="shared" si="17"/>
        <v>215318.24009812786</v>
      </c>
      <c r="H89" s="39">
        <f t="shared" si="18"/>
        <v>223056.06442242503</v>
      </c>
      <c r="I89" s="290">
        <f t="shared" si="3"/>
        <v>0</v>
      </c>
      <c r="J89" s="47">
        <f t="shared" si="4"/>
        <v>223056.06442242503</v>
      </c>
      <c r="K89" s="47">
        <f t="shared" si="5"/>
        <v>223702.42707733833</v>
      </c>
      <c r="L89" s="290">
        <f t="shared" si="6"/>
        <v>0</v>
      </c>
      <c r="M89" s="47">
        <f t="shared" si="7"/>
        <v>223702.42707733833</v>
      </c>
      <c r="N89" s="47">
        <f t="shared" si="8"/>
        <v>223702.42707733833</v>
      </c>
      <c r="O89" s="290">
        <f t="shared" si="9"/>
        <v>0</v>
      </c>
      <c r="P89" s="47">
        <f t="shared" si="10"/>
        <v>223702.42707733833</v>
      </c>
      <c r="Q89" s="47">
        <f t="shared" si="11"/>
        <v>223702.42707733833</v>
      </c>
      <c r="R89" s="290">
        <f t="shared" si="12"/>
        <v>0</v>
      </c>
      <c r="S89" s="47">
        <f t="shared" si="13"/>
        <v>223702.42707733833</v>
      </c>
      <c r="T89" s="47">
        <f t="shared" si="14"/>
        <v>223702.42707733833</v>
      </c>
      <c r="U89" s="48">
        <f t="shared" si="19"/>
        <v>223702.42707733833</v>
      </c>
      <c r="V89" s="48"/>
      <c r="W89" s="48"/>
      <c r="X89" s="48"/>
      <c r="Y89" s="48"/>
      <c r="Z89" s="49">
        <f t="shared" si="20"/>
        <v>7.2716430477032898E-2</v>
      </c>
      <c r="AC89" s="187">
        <f t="shared" si="15"/>
        <v>1</v>
      </c>
    </row>
    <row r="90" spans="2:29" ht="30.75" customHeight="1" x14ac:dyDescent="0.25">
      <c r="B90" s="38">
        <f t="shared" si="2"/>
        <v>60</v>
      </c>
      <c r="C90" s="241" t="str">
        <f>סיכום!C90</f>
        <v>תמיכה בתזמורת TLV (הערבית יהודית)</v>
      </c>
      <c r="D90" s="39">
        <f>'סיכום לועדה- הזנת נתונים'!N90</f>
        <v>150000</v>
      </c>
      <c r="E90" s="39">
        <f>סיכום!H90</f>
        <v>91906.280988732964</v>
      </c>
      <c r="F90" s="289">
        <f t="shared" si="16"/>
        <v>0</v>
      </c>
      <c r="G90" s="39">
        <f t="shared" si="17"/>
        <v>91906.280988732964</v>
      </c>
      <c r="H90" s="39">
        <f t="shared" si="18"/>
        <v>95209.088295100562</v>
      </c>
      <c r="I90" s="290">
        <f t="shared" si="3"/>
        <v>0</v>
      </c>
      <c r="J90" s="47">
        <f t="shared" si="4"/>
        <v>95209.088295100562</v>
      </c>
      <c r="K90" s="47">
        <f t="shared" si="5"/>
        <v>95484.98126058279</v>
      </c>
      <c r="L90" s="290">
        <f t="shared" si="6"/>
        <v>0</v>
      </c>
      <c r="M90" s="47">
        <f t="shared" si="7"/>
        <v>95484.98126058279</v>
      </c>
      <c r="N90" s="47">
        <f t="shared" si="8"/>
        <v>95484.98126058279</v>
      </c>
      <c r="O90" s="290">
        <f t="shared" si="9"/>
        <v>0</v>
      </c>
      <c r="P90" s="47">
        <f t="shared" si="10"/>
        <v>95484.98126058279</v>
      </c>
      <c r="Q90" s="47">
        <f t="shared" si="11"/>
        <v>95484.98126058279</v>
      </c>
      <c r="R90" s="290">
        <f t="shared" si="12"/>
        <v>0</v>
      </c>
      <c r="S90" s="47">
        <f t="shared" si="13"/>
        <v>95484.98126058279</v>
      </c>
      <c r="T90" s="47">
        <f t="shared" si="14"/>
        <v>95484.98126058279</v>
      </c>
      <c r="U90" s="48">
        <f t="shared" si="19"/>
        <v>95484.98126058279</v>
      </c>
      <c r="V90" s="48"/>
      <c r="W90" s="48"/>
      <c r="X90" s="48"/>
      <c r="Y90" s="48"/>
      <c r="Z90" s="49">
        <f t="shared" si="20"/>
        <v>3.1038228293497741E-2</v>
      </c>
      <c r="AC90" s="187">
        <f t="shared" si="15"/>
        <v>1</v>
      </c>
    </row>
    <row r="91" spans="2:29" ht="30.75" customHeight="1" x14ac:dyDescent="0.25">
      <c r="B91" s="38">
        <f t="shared" si="2"/>
        <v>61</v>
      </c>
      <c r="C91" s="241" t="str">
        <f>סיכום!C91</f>
        <v>אנסמבל גליל</v>
      </c>
      <c r="D91" s="39">
        <f>'סיכום לועדה- הזנת נתונים'!N91</f>
        <v>60000</v>
      </c>
      <c r="E91" s="39">
        <f>סיכום!H91</f>
        <v>58545.07070564574</v>
      </c>
      <c r="F91" s="289">
        <f t="shared" si="16"/>
        <v>0</v>
      </c>
      <c r="G91" s="39">
        <f t="shared" si="17"/>
        <v>58545.07070564574</v>
      </c>
      <c r="H91" s="39">
        <f t="shared" si="18"/>
        <v>60648.986620838943</v>
      </c>
      <c r="I91" s="290">
        <f t="shared" si="3"/>
        <v>1</v>
      </c>
      <c r="J91" s="47">
        <f t="shared" si="4"/>
        <v>60000</v>
      </c>
      <c r="K91" s="47">
        <f t="shared" si="5"/>
        <v>60000</v>
      </c>
      <c r="L91" s="290">
        <f t="shared" si="6"/>
        <v>1</v>
      </c>
      <c r="M91" s="47">
        <f t="shared" si="7"/>
        <v>60000</v>
      </c>
      <c r="N91" s="47">
        <f t="shared" si="8"/>
        <v>60000</v>
      </c>
      <c r="O91" s="290">
        <f t="shared" si="9"/>
        <v>1</v>
      </c>
      <c r="P91" s="47">
        <f t="shared" si="10"/>
        <v>60000</v>
      </c>
      <c r="Q91" s="47">
        <f t="shared" si="11"/>
        <v>60000</v>
      </c>
      <c r="R91" s="290">
        <f t="shared" si="12"/>
        <v>1</v>
      </c>
      <c r="S91" s="47">
        <f t="shared" si="13"/>
        <v>60000</v>
      </c>
      <c r="T91" s="47">
        <f t="shared" si="14"/>
        <v>60000</v>
      </c>
      <c r="U91" s="48">
        <f t="shared" si="19"/>
        <v>60000</v>
      </c>
      <c r="V91" s="48"/>
      <c r="W91" s="48"/>
      <c r="X91" s="48"/>
      <c r="Y91" s="48"/>
      <c r="Z91" s="49">
        <f t="shared" si="20"/>
        <v>1.9503524774514867E-2</v>
      </c>
      <c r="AC91" s="187">
        <f t="shared" si="15"/>
        <v>1</v>
      </c>
    </row>
    <row r="92" spans="2:29" ht="30.75" customHeight="1" x14ac:dyDescent="0.25">
      <c r="B92" s="38">
        <f t="shared" si="2"/>
        <v>62</v>
      </c>
      <c r="C92" s="241" t="str">
        <f>סיכום!C92</f>
        <v>דריה- הרכב אינסטרומנטלי</v>
      </c>
      <c r="D92" s="39">
        <f>'סיכום לועדה- הזנת נתונים'!N92</f>
        <v>50000</v>
      </c>
      <c r="E92" s="39">
        <f>סיכום!H92</f>
        <v>42049.601107981078</v>
      </c>
      <c r="F92" s="289">
        <f t="shared" si="16"/>
        <v>0</v>
      </c>
      <c r="G92" s="39">
        <f t="shared" si="17"/>
        <v>42049.601107981078</v>
      </c>
      <c r="H92" s="39">
        <f t="shared" si="18"/>
        <v>43560.72448578709</v>
      </c>
      <c r="I92" s="290">
        <f t="shared" si="3"/>
        <v>0</v>
      </c>
      <c r="J92" s="47">
        <f t="shared" si="4"/>
        <v>43560.72448578709</v>
      </c>
      <c r="K92" s="47">
        <f t="shared" si="5"/>
        <v>43686.952954856009</v>
      </c>
      <c r="L92" s="290">
        <f t="shared" si="6"/>
        <v>0</v>
      </c>
      <c r="M92" s="47">
        <f t="shared" si="7"/>
        <v>43686.952954856009</v>
      </c>
      <c r="N92" s="47">
        <f t="shared" si="8"/>
        <v>43686.952954856009</v>
      </c>
      <c r="O92" s="290">
        <f t="shared" si="9"/>
        <v>0</v>
      </c>
      <c r="P92" s="47">
        <f t="shared" si="10"/>
        <v>43686.952954856009</v>
      </c>
      <c r="Q92" s="47">
        <f t="shared" si="11"/>
        <v>43686.952954856009</v>
      </c>
      <c r="R92" s="290">
        <f t="shared" si="12"/>
        <v>0</v>
      </c>
      <c r="S92" s="47">
        <f t="shared" si="13"/>
        <v>43686.952954856009</v>
      </c>
      <c r="T92" s="47">
        <f t="shared" si="14"/>
        <v>43686.952954856009</v>
      </c>
      <c r="U92" s="48">
        <f t="shared" si="19"/>
        <v>43686.952954856009</v>
      </c>
      <c r="V92" s="48"/>
      <c r="W92" s="48"/>
      <c r="X92" s="48"/>
      <c r="Y92" s="48"/>
      <c r="Z92" s="49">
        <f t="shared" si="20"/>
        <v>1.4200826154634996E-2</v>
      </c>
      <c r="AC92" s="187">
        <f t="shared" si="15"/>
        <v>1</v>
      </c>
    </row>
    <row r="93" spans="2:29" ht="30.75" customHeight="1" x14ac:dyDescent="0.25">
      <c r="B93" s="38">
        <f t="shared" si="2"/>
        <v>63</v>
      </c>
      <c r="C93" s="241" t="str">
        <f>סיכום!C93</f>
        <v>להקת שלוש</v>
      </c>
      <c r="D93" s="39">
        <f>'סיכום לועדה- הזנת נתונים'!N93</f>
        <v>50000</v>
      </c>
      <c r="E93" s="39">
        <f>סיכום!H93</f>
        <v>49038.94580966785</v>
      </c>
      <c r="F93" s="289">
        <f t="shared" si="16"/>
        <v>0</v>
      </c>
      <c r="G93" s="39">
        <f t="shared" si="17"/>
        <v>49038.94580966785</v>
      </c>
      <c r="H93" s="39">
        <f t="shared" si="18"/>
        <v>50801.243084394817</v>
      </c>
      <c r="I93" s="290">
        <f t="shared" si="3"/>
        <v>1</v>
      </c>
      <c r="J93" s="47">
        <f t="shared" si="4"/>
        <v>50000</v>
      </c>
      <c r="K93" s="47">
        <f t="shared" si="5"/>
        <v>50000</v>
      </c>
      <c r="L93" s="290">
        <f t="shared" si="6"/>
        <v>1</v>
      </c>
      <c r="M93" s="47">
        <f t="shared" si="7"/>
        <v>50000</v>
      </c>
      <c r="N93" s="47">
        <f t="shared" si="8"/>
        <v>50000</v>
      </c>
      <c r="O93" s="290">
        <f t="shared" si="9"/>
        <v>1</v>
      </c>
      <c r="P93" s="47">
        <f t="shared" si="10"/>
        <v>50000</v>
      </c>
      <c r="Q93" s="47">
        <f t="shared" si="11"/>
        <v>50000</v>
      </c>
      <c r="R93" s="290">
        <f t="shared" si="12"/>
        <v>1</v>
      </c>
      <c r="S93" s="47">
        <f t="shared" si="13"/>
        <v>50000</v>
      </c>
      <c r="T93" s="47">
        <f t="shared" si="14"/>
        <v>50000</v>
      </c>
      <c r="U93" s="48">
        <f t="shared" si="19"/>
        <v>50000</v>
      </c>
      <c r="V93" s="48"/>
      <c r="W93" s="48"/>
      <c r="X93" s="48"/>
      <c r="Y93" s="48"/>
      <c r="Z93" s="49">
        <f t="shared" si="20"/>
        <v>1.6252937312095723E-2</v>
      </c>
      <c r="AC93" s="187">
        <f t="shared" si="15"/>
        <v>1</v>
      </c>
    </row>
    <row r="94" spans="2:29" ht="30.75" customHeight="1" x14ac:dyDescent="0.25">
      <c r="B94" s="38">
        <f t="shared" si="2"/>
        <v>64</v>
      </c>
      <c r="C94" s="241" t="str">
        <f>סיכום!C94</f>
        <v>רביעיית טוסקאניני</v>
      </c>
      <c r="D94" s="39">
        <f>'סיכום לועדה- הזנת נתונים'!N94</f>
        <v>50000</v>
      </c>
      <c r="E94" s="39">
        <f>סיכום!H94</f>
        <v>36924.352252937686</v>
      </c>
      <c r="F94" s="289">
        <f t="shared" si="16"/>
        <v>0</v>
      </c>
      <c r="G94" s="39">
        <f t="shared" si="17"/>
        <v>36924.352252937686</v>
      </c>
      <c r="H94" s="39">
        <f t="shared" si="18"/>
        <v>38251.29116387941</v>
      </c>
      <c r="I94" s="290">
        <f t="shared" si="3"/>
        <v>0</v>
      </c>
      <c r="J94" s="47">
        <f t="shared" si="4"/>
        <v>38251.29116387941</v>
      </c>
      <c r="K94" s="47">
        <f t="shared" si="5"/>
        <v>38362.134176260923</v>
      </c>
      <c r="L94" s="290">
        <f t="shared" si="6"/>
        <v>0</v>
      </c>
      <c r="M94" s="47">
        <f t="shared" si="7"/>
        <v>38362.134176260923</v>
      </c>
      <c r="N94" s="47">
        <f t="shared" si="8"/>
        <v>38362.134176260923</v>
      </c>
      <c r="O94" s="290">
        <f t="shared" si="9"/>
        <v>0</v>
      </c>
      <c r="P94" s="47">
        <f t="shared" si="10"/>
        <v>38362.134176260923</v>
      </c>
      <c r="Q94" s="47">
        <f t="shared" si="11"/>
        <v>38362.134176260923</v>
      </c>
      <c r="R94" s="290">
        <f t="shared" si="12"/>
        <v>0</v>
      </c>
      <c r="S94" s="47">
        <f t="shared" si="13"/>
        <v>38362.134176260923</v>
      </c>
      <c r="T94" s="47">
        <f t="shared" si="14"/>
        <v>38362.134176260923</v>
      </c>
      <c r="U94" s="48">
        <f t="shared" si="19"/>
        <v>38362.134176260923</v>
      </c>
      <c r="V94" s="48"/>
      <c r="W94" s="48"/>
      <c r="X94" s="48"/>
      <c r="Y94" s="48"/>
      <c r="Z94" s="49">
        <f t="shared" si="20"/>
        <v>1.2469947238499474E-2</v>
      </c>
      <c r="AC94" s="187">
        <f t="shared" si="15"/>
        <v>1</v>
      </c>
    </row>
    <row r="95" spans="2:29" ht="30.75" customHeight="1" x14ac:dyDescent="0.25">
      <c r="B95" s="38">
        <f t="shared" si="2"/>
        <v>65</v>
      </c>
      <c r="C95" s="241" t="str">
        <f>סיכום!C95</f>
        <v>תקוע-קבוצה מוזיקלית - 'דאפה' 2024</v>
      </c>
      <c r="D95" s="39">
        <f>'סיכום לועדה- הזנת נתונים'!N95</f>
        <v>350000</v>
      </c>
      <c r="E95" s="39">
        <f>סיכום!H95</f>
        <v>100911.74773613042</v>
      </c>
      <c r="F95" s="289">
        <f t="shared" si="16"/>
        <v>0</v>
      </c>
      <c r="G95" s="39">
        <f t="shared" si="17"/>
        <v>100911.74773613042</v>
      </c>
      <c r="H95" s="39">
        <f t="shared" si="18"/>
        <v>104538.18168749523</v>
      </c>
      <c r="I95" s="290">
        <f t="shared" si="3"/>
        <v>0</v>
      </c>
      <c r="J95" s="47">
        <f t="shared" si="4"/>
        <v>104538.18168749523</v>
      </c>
      <c r="K95" s="47">
        <f t="shared" si="5"/>
        <v>104841.10811467086</v>
      </c>
      <c r="L95" s="290">
        <f t="shared" si="6"/>
        <v>0</v>
      </c>
      <c r="M95" s="47">
        <f t="shared" si="7"/>
        <v>104841.10811467086</v>
      </c>
      <c r="N95" s="47">
        <f t="shared" si="8"/>
        <v>104841.10811467086</v>
      </c>
      <c r="O95" s="290">
        <f t="shared" si="9"/>
        <v>0</v>
      </c>
      <c r="P95" s="47">
        <f t="shared" si="10"/>
        <v>104841.10811467086</v>
      </c>
      <c r="Q95" s="47">
        <f t="shared" si="11"/>
        <v>104841.10811467086</v>
      </c>
      <c r="R95" s="290">
        <f t="shared" si="12"/>
        <v>0</v>
      </c>
      <c r="S95" s="47">
        <f t="shared" si="13"/>
        <v>104841.10811467086</v>
      </c>
      <c r="T95" s="47">
        <f t="shared" si="14"/>
        <v>104841.10811467086</v>
      </c>
      <c r="U95" s="48">
        <f t="shared" ref="U95:U126" si="21">IF($C95="","",IF(AC95=0,$AH$1,IFERROR(T95,$AH$1)))</f>
        <v>104841.10811467086</v>
      </c>
      <c r="V95" s="48"/>
      <c r="W95" s="48"/>
      <c r="X95" s="48"/>
      <c r="Y95" s="48"/>
      <c r="Z95" s="49">
        <f t="shared" ref="Z95:Z130" si="22">IF(C95="","",IFERROR(U95/SUMIF($U$31:$U$130,"&lt;&gt;#DIV/0!"),$AH$1))</f>
        <v>3.4079519158367919E-2</v>
      </c>
      <c r="AC95" s="187">
        <f t="shared" si="15"/>
        <v>1</v>
      </c>
    </row>
    <row r="96" spans="2:29" ht="30.75" customHeight="1" x14ac:dyDescent="0.25">
      <c r="B96" s="38">
        <f t="shared" ref="B96:B130" si="23">IF(C96="","",ROW()-30)</f>
        <v>66</v>
      </c>
      <c r="C96" s="241" t="str">
        <f>סיכום!C96</f>
        <v>טריו בן חיים</v>
      </c>
      <c r="D96" s="39">
        <f>'סיכום לועדה- הזנת נתונים'!N96</f>
        <v>55000</v>
      </c>
      <c r="E96" s="39">
        <f>סיכום!H96</f>
        <v>42730.234993512619</v>
      </c>
      <c r="F96" s="289">
        <f t="shared" si="16"/>
        <v>0</v>
      </c>
      <c r="G96" s="39">
        <f t="shared" si="17"/>
        <v>42730.234993512619</v>
      </c>
      <c r="H96" s="39">
        <f t="shared" si="18"/>
        <v>44265.818098618125</v>
      </c>
      <c r="I96" s="290">
        <f t="shared" ref="I96:I130" si="24">IF(OR(H96&gt;$D96,$F96=1),1,0)</f>
        <v>0</v>
      </c>
      <c r="J96" s="47">
        <f t="shared" ref="J96:J130" si="25">IF($C96="","",MIN(H96,$D96))</f>
        <v>44265.818098618125</v>
      </c>
      <c r="K96" s="47">
        <f t="shared" ref="K96:K130" si="26">IFERROR(IF($C96="","",IF(I96=1,J96,J96/SUMIF(I$31:I$130,0,J$31:J$130)*($C$2-SUMIF(I$31:I$130,1,J$31:J$130)))),0)</f>
        <v>44394.089758849463</v>
      </c>
      <c r="L96" s="290">
        <f t="shared" ref="L96:L130" si="27">IF(OR(K96&gt;$D96,$F96=1,$I96=1),1,0)</f>
        <v>0</v>
      </c>
      <c r="M96" s="47">
        <f t="shared" ref="M96:M130" si="28">IF($C96="","",MIN(K96,$D96))</f>
        <v>44394.089758849463</v>
      </c>
      <c r="N96" s="47">
        <f t="shared" ref="N96:N130" si="29">IFERROR(IF($C96="","",IF(L96=1,M96,M96/SUMIF(L$31:L$130,0,M$31:M$130)*($C$2-SUMIF(L$31:L$130,1,M$31:M$130)))),0)</f>
        <v>44394.089758849463</v>
      </c>
      <c r="O96" s="290">
        <f t="shared" ref="O96:O130" si="30">IF(OR(N96&gt;$D96,$F96=1,$I96=1,$L96=1),1,0)</f>
        <v>0</v>
      </c>
      <c r="P96" s="47">
        <f t="shared" ref="P96:P130" si="31">IF($C96="","",MIN(N96,$D96))</f>
        <v>44394.089758849463</v>
      </c>
      <c r="Q96" s="47">
        <f t="shared" ref="Q96:Q130" si="32">IFERROR(IF($C96="","",IF(O96=2,P96,IF(O96=1,P96,P96/SUMIF(O$31:O$130,0,P$31:P$130)*($C$2-SUMIF(O$31:O$130,1,P$31:P$130)-SUMIF(O$31:O$130,2,P$31:P$130))))),0)</f>
        <v>44394.089758849463</v>
      </c>
      <c r="R96" s="290">
        <f t="shared" ref="R96:R130" si="33">IF(OR(Q96&gt;$D96,$F96=1,$I96=1,$L96=1,$O96=1),1,0)</f>
        <v>0</v>
      </c>
      <c r="S96" s="47">
        <f t="shared" ref="S96:S130" si="34">IF($C96="","",MIN(Q96,$D96))</f>
        <v>44394.089758849463</v>
      </c>
      <c r="T96" s="47">
        <f t="shared" ref="T96:T130" si="35">IFERROR(IF($C96="","",IF(R96=2,S96,IF(R96=1,S96,S96/SUMIF(R$31:R$130,0,S$31:S$130)*($C$2-SUMIF(R$31:R$130,1,S$31:S$130)-SUMIF(R$31:R$130,2,S$31:S$130))))),0)</f>
        <v>44394.089758849463</v>
      </c>
      <c r="U96" s="48">
        <f t="shared" si="21"/>
        <v>44394.089758849463</v>
      </c>
      <c r="V96" s="48"/>
      <c r="W96" s="48"/>
      <c r="X96" s="48"/>
      <c r="Y96" s="48"/>
      <c r="Z96" s="49">
        <f t="shared" si="22"/>
        <v>1.4430687157562622E-2</v>
      </c>
      <c r="AC96" s="187">
        <f t="shared" ref="AC96:AC130" si="36">IF(C96="",0,IFERROR(IF(D96*1&gt;=0,1,0),0))</f>
        <v>1</v>
      </c>
    </row>
    <row r="97" spans="2:29" ht="30.75" hidden="1" customHeight="1" x14ac:dyDescent="0.25">
      <c r="B97" s="38" t="str">
        <f t="shared" si="23"/>
        <v/>
      </c>
      <c r="C97" s="241" t="str">
        <f>סיכום!C97</f>
        <v/>
      </c>
      <c r="D97" s="39" t="str">
        <f>'סיכום לועדה- הזנת נתונים'!N97</f>
        <v/>
      </c>
      <c r="E97" s="39" t="str">
        <f>סיכום!H97</f>
        <v/>
      </c>
      <c r="F97" s="289" t="str">
        <f t="shared" si="16"/>
        <v/>
      </c>
      <c r="G97" s="39" t="str">
        <f t="shared" si="17"/>
        <v/>
      </c>
      <c r="H97" s="39" t="str">
        <f t="shared" si="18"/>
        <v/>
      </c>
      <c r="I97" s="290">
        <f t="shared" si="24"/>
        <v>0</v>
      </c>
      <c r="J97" s="47" t="str">
        <f t="shared" si="25"/>
        <v/>
      </c>
      <c r="K97" s="47" t="str">
        <f t="shared" si="26"/>
        <v/>
      </c>
      <c r="L97" s="290">
        <f t="shared" si="27"/>
        <v>0</v>
      </c>
      <c r="M97" s="47" t="str">
        <f t="shared" si="28"/>
        <v/>
      </c>
      <c r="N97" s="47" t="str">
        <f t="shared" si="29"/>
        <v/>
      </c>
      <c r="O97" s="290">
        <f t="shared" si="30"/>
        <v>0</v>
      </c>
      <c r="P97" s="47" t="str">
        <f t="shared" si="31"/>
        <v/>
      </c>
      <c r="Q97" s="47" t="str">
        <f t="shared" si="32"/>
        <v/>
      </c>
      <c r="R97" s="290">
        <f t="shared" si="33"/>
        <v>0</v>
      </c>
      <c r="S97" s="47" t="str">
        <f t="shared" si="34"/>
        <v/>
      </c>
      <c r="T97" s="47" t="str">
        <f t="shared" si="35"/>
        <v/>
      </c>
      <c r="U97" s="48" t="str">
        <f t="shared" si="21"/>
        <v/>
      </c>
      <c r="V97" s="48"/>
      <c r="W97" s="48"/>
      <c r="X97" s="48"/>
      <c r="Y97" s="48"/>
      <c r="Z97" s="49" t="str">
        <f t="shared" si="22"/>
        <v/>
      </c>
      <c r="AC97" s="187">
        <f t="shared" si="36"/>
        <v>0</v>
      </c>
    </row>
    <row r="98" spans="2:29" ht="30.75" customHeight="1" x14ac:dyDescent="0.25">
      <c r="B98" s="38">
        <f t="shared" si="23"/>
        <v>68</v>
      </c>
      <c r="C98" s="241" t="str">
        <f>סיכום!C98</f>
        <v>אמיתי אריכא והפרויקט D1</v>
      </c>
      <c r="D98" s="39">
        <f>'סיכום לועדה- הזנת נתונים'!N98</f>
        <v>45000</v>
      </c>
      <c r="E98" s="39">
        <f>סיכום!H98</f>
        <v>55277.231192943305</v>
      </c>
      <c r="F98" s="289">
        <f t="shared" si="16"/>
        <v>1</v>
      </c>
      <c r="G98" s="39">
        <f t="shared" si="17"/>
        <v>45000</v>
      </c>
      <c r="H98" s="39">
        <f t="shared" si="18"/>
        <v>45000</v>
      </c>
      <c r="I98" s="290">
        <f t="shared" si="24"/>
        <v>1</v>
      </c>
      <c r="J98" s="47">
        <f t="shared" si="25"/>
        <v>45000</v>
      </c>
      <c r="K98" s="47">
        <f t="shared" si="26"/>
        <v>45000</v>
      </c>
      <c r="L98" s="290">
        <f t="shared" si="27"/>
        <v>1</v>
      </c>
      <c r="M98" s="47">
        <f t="shared" si="28"/>
        <v>45000</v>
      </c>
      <c r="N98" s="47">
        <f t="shared" si="29"/>
        <v>45000</v>
      </c>
      <c r="O98" s="290">
        <f t="shared" si="30"/>
        <v>1</v>
      </c>
      <c r="P98" s="47">
        <f t="shared" si="31"/>
        <v>45000</v>
      </c>
      <c r="Q98" s="47">
        <f t="shared" si="32"/>
        <v>45000</v>
      </c>
      <c r="R98" s="290">
        <f t="shared" si="33"/>
        <v>1</v>
      </c>
      <c r="S98" s="47">
        <f t="shared" si="34"/>
        <v>45000</v>
      </c>
      <c r="T98" s="47">
        <f t="shared" si="35"/>
        <v>45000</v>
      </c>
      <c r="U98" s="48">
        <f t="shared" si="21"/>
        <v>45000</v>
      </c>
      <c r="V98" s="48"/>
      <c r="W98" s="48"/>
      <c r="X98" s="48"/>
      <c r="Y98" s="48"/>
      <c r="Z98" s="49">
        <f t="shared" si="22"/>
        <v>1.4627643580886151E-2</v>
      </c>
      <c r="AC98" s="187">
        <f t="shared" si="36"/>
        <v>1</v>
      </c>
    </row>
    <row r="99" spans="2:29" x14ac:dyDescent="0.25">
      <c r="B99" s="38" t="str">
        <f t="shared" si="23"/>
        <v/>
      </c>
      <c r="C99" s="241" t="str">
        <f>סיכום!C99</f>
        <v/>
      </c>
      <c r="D99" s="39" t="str">
        <f>'סיכום לועדה- הזנת נתונים'!N99</f>
        <v/>
      </c>
      <c r="E99" s="39" t="str">
        <f>סיכום!H99</f>
        <v/>
      </c>
      <c r="F99" s="289" t="str">
        <f t="shared" si="16"/>
        <v/>
      </c>
      <c r="G99" s="39" t="str">
        <f t="shared" si="17"/>
        <v/>
      </c>
      <c r="H99" s="39" t="str">
        <f t="shared" si="18"/>
        <v/>
      </c>
      <c r="I99" s="290">
        <f t="shared" si="24"/>
        <v>0</v>
      </c>
      <c r="J99" s="47" t="str">
        <f t="shared" si="25"/>
        <v/>
      </c>
      <c r="K99" s="47" t="str">
        <f t="shared" si="26"/>
        <v/>
      </c>
      <c r="L99" s="290">
        <f t="shared" si="27"/>
        <v>0</v>
      </c>
      <c r="M99" s="47" t="str">
        <f t="shared" si="28"/>
        <v/>
      </c>
      <c r="N99" s="47" t="str">
        <f t="shared" si="29"/>
        <v/>
      </c>
      <c r="O99" s="290">
        <f t="shared" si="30"/>
        <v>0</v>
      </c>
      <c r="P99" s="47" t="str">
        <f t="shared" si="31"/>
        <v/>
      </c>
      <c r="Q99" s="47" t="str">
        <f t="shared" si="32"/>
        <v/>
      </c>
      <c r="R99" s="290">
        <f t="shared" si="33"/>
        <v>0</v>
      </c>
      <c r="S99" s="47" t="str">
        <f t="shared" si="34"/>
        <v/>
      </c>
      <c r="T99" s="47" t="str">
        <f t="shared" si="35"/>
        <v/>
      </c>
      <c r="U99" s="48" t="str">
        <f t="shared" si="21"/>
        <v/>
      </c>
      <c r="V99" s="48"/>
      <c r="W99" s="48"/>
      <c r="X99" s="48"/>
      <c r="Y99" s="48"/>
      <c r="Z99" s="49" t="str">
        <f t="shared" si="22"/>
        <v/>
      </c>
      <c r="AC99" s="187">
        <f t="shared" si="36"/>
        <v>0</v>
      </c>
    </row>
    <row r="100" spans="2:29" x14ac:dyDescent="0.25">
      <c r="B100" s="38" t="str">
        <f t="shared" si="23"/>
        <v/>
      </c>
      <c r="C100" s="241" t="str">
        <f>סיכום!C100</f>
        <v/>
      </c>
      <c r="D100" s="39" t="str">
        <f>'סיכום לועדה- הזנת נתונים'!N100</f>
        <v/>
      </c>
      <c r="E100" s="39" t="str">
        <f>סיכום!H100</f>
        <v/>
      </c>
      <c r="F100" s="289" t="str">
        <f t="shared" ref="F100:F130" si="37">IF(C100="","",IF(E100&gt;$D100,1,0))</f>
        <v/>
      </c>
      <c r="G100" s="39" t="str">
        <f t="shared" ref="G100:G130" si="38">IF($C100="","",MIN(D100:E100))</f>
        <v/>
      </c>
      <c r="H100" s="39" t="str">
        <f t="shared" ref="H100:H130" si="39">IF($C100="","",IF(F100=1,G100,G100/SUMIF(F$31:F$130,0,G$31:G$130)*($C$2-SUMIF(F$31:F$130,1,G$31:G$130))))</f>
        <v/>
      </c>
      <c r="I100" s="290">
        <f t="shared" si="24"/>
        <v>0</v>
      </c>
      <c r="J100" s="47" t="str">
        <f t="shared" si="25"/>
        <v/>
      </c>
      <c r="K100" s="47" t="str">
        <f t="shared" si="26"/>
        <v/>
      </c>
      <c r="L100" s="290">
        <f t="shared" si="27"/>
        <v>0</v>
      </c>
      <c r="M100" s="47" t="str">
        <f t="shared" si="28"/>
        <v/>
      </c>
      <c r="N100" s="47" t="str">
        <f t="shared" si="29"/>
        <v/>
      </c>
      <c r="O100" s="290">
        <f t="shared" si="30"/>
        <v>0</v>
      </c>
      <c r="P100" s="47" t="str">
        <f t="shared" si="31"/>
        <v/>
      </c>
      <c r="Q100" s="47" t="str">
        <f t="shared" si="32"/>
        <v/>
      </c>
      <c r="R100" s="290">
        <f t="shared" si="33"/>
        <v>0</v>
      </c>
      <c r="S100" s="47" t="str">
        <f t="shared" si="34"/>
        <v/>
      </c>
      <c r="T100" s="47" t="str">
        <f t="shared" si="35"/>
        <v/>
      </c>
      <c r="U100" s="48" t="str">
        <f t="shared" si="21"/>
        <v/>
      </c>
      <c r="V100" s="48"/>
      <c r="W100" s="48"/>
      <c r="X100" s="48"/>
      <c r="Y100" s="48"/>
      <c r="Z100" s="49" t="str">
        <f t="shared" si="22"/>
        <v/>
      </c>
      <c r="AC100" s="187">
        <f t="shared" si="36"/>
        <v>0</v>
      </c>
    </row>
    <row r="101" spans="2:29" x14ac:dyDescent="0.25">
      <c r="B101" s="38" t="str">
        <f t="shared" si="23"/>
        <v/>
      </c>
      <c r="C101" s="241" t="str">
        <f>סיכום!C101</f>
        <v/>
      </c>
      <c r="D101" s="39" t="str">
        <f>'סיכום לועדה- הזנת נתונים'!N101</f>
        <v/>
      </c>
      <c r="E101" s="39" t="str">
        <f>סיכום!H101</f>
        <v/>
      </c>
      <c r="F101" s="289" t="str">
        <f t="shared" si="37"/>
        <v/>
      </c>
      <c r="G101" s="39" t="str">
        <f t="shared" si="38"/>
        <v/>
      </c>
      <c r="H101" s="39" t="str">
        <f t="shared" si="39"/>
        <v/>
      </c>
      <c r="I101" s="290">
        <f t="shared" si="24"/>
        <v>0</v>
      </c>
      <c r="J101" s="47" t="str">
        <f t="shared" si="25"/>
        <v/>
      </c>
      <c r="K101" s="47" t="str">
        <f t="shared" si="26"/>
        <v/>
      </c>
      <c r="L101" s="290">
        <f t="shared" si="27"/>
        <v>0</v>
      </c>
      <c r="M101" s="47" t="str">
        <f t="shared" si="28"/>
        <v/>
      </c>
      <c r="N101" s="47" t="str">
        <f t="shared" si="29"/>
        <v/>
      </c>
      <c r="O101" s="290">
        <f t="shared" si="30"/>
        <v>0</v>
      </c>
      <c r="P101" s="47" t="str">
        <f t="shared" si="31"/>
        <v/>
      </c>
      <c r="Q101" s="47" t="str">
        <f t="shared" si="32"/>
        <v/>
      </c>
      <c r="R101" s="290">
        <f t="shared" si="33"/>
        <v>0</v>
      </c>
      <c r="S101" s="47" t="str">
        <f t="shared" si="34"/>
        <v/>
      </c>
      <c r="T101" s="47" t="str">
        <f t="shared" si="35"/>
        <v/>
      </c>
      <c r="U101" s="48" t="str">
        <f t="shared" si="21"/>
        <v/>
      </c>
      <c r="V101" s="48"/>
      <c r="W101" s="48"/>
      <c r="X101" s="48"/>
      <c r="Y101" s="48"/>
      <c r="Z101" s="49" t="str">
        <f t="shared" si="22"/>
        <v/>
      </c>
      <c r="AC101" s="187">
        <f t="shared" si="36"/>
        <v>0</v>
      </c>
    </row>
    <row r="102" spans="2:29" x14ac:dyDescent="0.25">
      <c r="B102" s="38" t="str">
        <f t="shared" si="23"/>
        <v/>
      </c>
      <c r="C102" s="241" t="str">
        <f>סיכום!C102</f>
        <v/>
      </c>
      <c r="D102" s="39" t="str">
        <f>'סיכום לועדה- הזנת נתונים'!N102</f>
        <v/>
      </c>
      <c r="E102" s="39" t="str">
        <f>סיכום!H102</f>
        <v/>
      </c>
      <c r="F102" s="289" t="str">
        <f t="shared" si="37"/>
        <v/>
      </c>
      <c r="G102" s="39" t="str">
        <f t="shared" si="38"/>
        <v/>
      </c>
      <c r="H102" s="39" t="str">
        <f t="shared" si="39"/>
        <v/>
      </c>
      <c r="I102" s="290">
        <f t="shared" si="24"/>
        <v>0</v>
      </c>
      <c r="J102" s="47" t="str">
        <f t="shared" si="25"/>
        <v/>
      </c>
      <c r="K102" s="47" t="str">
        <f t="shared" si="26"/>
        <v/>
      </c>
      <c r="L102" s="290">
        <f t="shared" si="27"/>
        <v>0</v>
      </c>
      <c r="M102" s="47" t="str">
        <f t="shared" si="28"/>
        <v/>
      </c>
      <c r="N102" s="47" t="str">
        <f t="shared" si="29"/>
        <v/>
      </c>
      <c r="O102" s="290">
        <f t="shared" si="30"/>
        <v>0</v>
      </c>
      <c r="P102" s="47" t="str">
        <f t="shared" si="31"/>
        <v/>
      </c>
      <c r="Q102" s="47" t="str">
        <f t="shared" si="32"/>
        <v/>
      </c>
      <c r="R102" s="290">
        <f t="shared" si="33"/>
        <v>0</v>
      </c>
      <c r="S102" s="47" t="str">
        <f t="shared" si="34"/>
        <v/>
      </c>
      <c r="T102" s="47" t="str">
        <f t="shared" si="35"/>
        <v/>
      </c>
      <c r="U102" s="48" t="str">
        <f t="shared" si="21"/>
        <v/>
      </c>
      <c r="V102" s="48"/>
      <c r="W102" s="48"/>
      <c r="X102" s="48"/>
      <c r="Y102" s="48"/>
      <c r="Z102" s="49" t="str">
        <f t="shared" si="22"/>
        <v/>
      </c>
      <c r="AC102" s="187">
        <f t="shared" si="36"/>
        <v>0</v>
      </c>
    </row>
    <row r="103" spans="2:29" x14ac:dyDescent="0.25">
      <c r="B103" s="38" t="str">
        <f t="shared" si="23"/>
        <v/>
      </c>
      <c r="C103" s="241" t="str">
        <f>סיכום!C103</f>
        <v/>
      </c>
      <c r="D103" s="39" t="str">
        <f>'סיכום לועדה- הזנת נתונים'!N103</f>
        <v/>
      </c>
      <c r="E103" s="39" t="str">
        <f>סיכום!H103</f>
        <v/>
      </c>
      <c r="F103" s="289" t="str">
        <f t="shared" si="37"/>
        <v/>
      </c>
      <c r="G103" s="39" t="str">
        <f t="shared" si="38"/>
        <v/>
      </c>
      <c r="H103" s="39" t="str">
        <f t="shared" si="39"/>
        <v/>
      </c>
      <c r="I103" s="290">
        <f t="shared" si="24"/>
        <v>0</v>
      </c>
      <c r="J103" s="47" t="str">
        <f t="shared" si="25"/>
        <v/>
      </c>
      <c r="K103" s="47" t="str">
        <f t="shared" si="26"/>
        <v/>
      </c>
      <c r="L103" s="290">
        <f t="shared" si="27"/>
        <v>0</v>
      </c>
      <c r="M103" s="47" t="str">
        <f t="shared" si="28"/>
        <v/>
      </c>
      <c r="N103" s="47" t="str">
        <f t="shared" si="29"/>
        <v/>
      </c>
      <c r="O103" s="290">
        <f t="shared" si="30"/>
        <v>0</v>
      </c>
      <c r="P103" s="47" t="str">
        <f t="shared" si="31"/>
        <v/>
      </c>
      <c r="Q103" s="47" t="str">
        <f t="shared" si="32"/>
        <v/>
      </c>
      <c r="R103" s="290">
        <f t="shared" si="33"/>
        <v>0</v>
      </c>
      <c r="S103" s="47" t="str">
        <f t="shared" si="34"/>
        <v/>
      </c>
      <c r="T103" s="47" t="str">
        <f t="shared" si="35"/>
        <v/>
      </c>
      <c r="U103" s="48" t="str">
        <f t="shared" si="21"/>
        <v/>
      </c>
      <c r="V103" s="48"/>
      <c r="W103" s="48"/>
      <c r="X103" s="48"/>
      <c r="Y103" s="48"/>
      <c r="Z103" s="49" t="str">
        <f t="shared" si="22"/>
        <v/>
      </c>
      <c r="AC103" s="187">
        <f t="shared" si="36"/>
        <v>0</v>
      </c>
    </row>
    <row r="104" spans="2:29" x14ac:dyDescent="0.25">
      <c r="B104" s="38" t="str">
        <f t="shared" si="23"/>
        <v/>
      </c>
      <c r="C104" s="241" t="str">
        <f>סיכום!C104</f>
        <v/>
      </c>
      <c r="D104" s="39" t="str">
        <f>'סיכום לועדה- הזנת נתונים'!N104</f>
        <v/>
      </c>
      <c r="E104" s="39" t="str">
        <f>סיכום!H104</f>
        <v/>
      </c>
      <c r="F104" s="289" t="str">
        <f t="shared" si="37"/>
        <v/>
      </c>
      <c r="G104" s="39" t="str">
        <f t="shared" si="38"/>
        <v/>
      </c>
      <c r="H104" s="39" t="str">
        <f t="shared" si="39"/>
        <v/>
      </c>
      <c r="I104" s="290">
        <f t="shared" si="24"/>
        <v>0</v>
      </c>
      <c r="J104" s="47" t="str">
        <f t="shared" si="25"/>
        <v/>
      </c>
      <c r="K104" s="47" t="str">
        <f t="shared" si="26"/>
        <v/>
      </c>
      <c r="L104" s="290">
        <f t="shared" si="27"/>
        <v>0</v>
      </c>
      <c r="M104" s="47" t="str">
        <f t="shared" si="28"/>
        <v/>
      </c>
      <c r="N104" s="47" t="str">
        <f t="shared" si="29"/>
        <v/>
      </c>
      <c r="O104" s="290">
        <f t="shared" si="30"/>
        <v>0</v>
      </c>
      <c r="P104" s="47" t="str">
        <f t="shared" si="31"/>
        <v/>
      </c>
      <c r="Q104" s="47" t="str">
        <f t="shared" si="32"/>
        <v/>
      </c>
      <c r="R104" s="290">
        <f t="shared" si="33"/>
        <v>0</v>
      </c>
      <c r="S104" s="47" t="str">
        <f t="shared" si="34"/>
        <v/>
      </c>
      <c r="T104" s="47" t="str">
        <f t="shared" si="35"/>
        <v/>
      </c>
      <c r="U104" s="48" t="str">
        <f t="shared" si="21"/>
        <v/>
      </c>
      <c r="V104" s="48"/>
      <c r="W104" s="48"/>
      <c r="X104" s="48"/>
      <c r="Y104" s="48"/>
      <c r="Z104" s="49" t="str">
        <f t="shared" si="22"/>
        <v/>
      </c>
      <c r="AC104" s="187">
        <f t="shared" si="36"/>
        <v>0</v>
      </c>
    </row>
    <row r="105" spans="2:29" x14ac:dyDescent="0.25">
      <c r="B105" s="38">
        <f t="shared" si="23"/>
        <v>75</v>
      </c>
      <c r="C105" s="241" t="str">
        <f>סיכום!C105</f>
        <v>לבונטין 7</v>
      </c>
      <c r="D105" s="39">
        <f>'סיכום לועדה- הזנת נתונים'!N105</f>
        <v>100000</v>
      </c>
      <c r="E105" s="39">
        <f>סיכום!H105</f>
        <v>72116.244221622357</v>
      </c>
      <c r="F105" s="289">
        <f t="shared" si="37"/>
        <v>0</v>
      </c>
      <c r="G105" s="39">
        <f t="shared" si="38"/>
        <v>72116.244221622357</v>
      </c>
      <c r="H105" s="39">
        <f t="shared" si="39"/>
        <v>74707.863159528933</v>
      </c>
      <c r="I105" s="290">
        <f t="shared" si="24"/>
        <v>0</v>
      </c>
      <c r="J105" s="47">
        <f t="shared" si="25"/>
        <v>74707.863159528933</v>
      </c>
      <c r="K105" s="47">
        <f t="shared" si="26"/>
        <v>74924.348521178836</v>
      </c>
      <c r="L105" s="290">
        <f t="shared" si="27"/>
        <v>0</v>
      </c>
      <c r="M105" s="47">
        <f t="shared" si="28"/>
        <v>74924.348521178836</v>
      </c>
      <c r="N105" s="47">
        <f t="shared" si="29"/>
        <v>74924.348521178836</v>
      </c>
      <c r="O105" s="290">
        <f t="shared" si="30"/>
        <v>0</v>
      </c>
      <c r="P105" s="47">
        <f t="shared" si="31"/>
        <v>74924.348521178836</v>
      </c>
      <c r="Q105" s="47">
        <f t="shared" si="32"/>
        <v>74924.348521178836</v>
      </c>
      <c r="R105" s="290">
        <f t="shared" si="33"/>
        <v>0</v>
      </c>
      <c r="S105" s="47">
        <f t="shared" si="34"/>
        <v>74924.348521178836</v>
      </c>
      <c r="T105" s="47">
        <f t="shared" si="35"/>
        <v>74924.348521178836</v>
      </c>
      <c r="U105" s="48">
        <f t="shared" si="21"/>
        <v>74924.348521178836</v>
      </c>
      <c r="V105" s="48"/>
      <c r="W105" s="48"/>
      <c r="X105" s="48"/>
      <c r="Y105" s="48"/>
      <c r="Z105" s="49">
        <f t="shared" si="22"/>
        <v>2.435481479328663E-2</v>
      </c>
      <c r="AC105" s="187">
        <f t="shared" si="36"/>
        <v>1</v>
      </c>
    </row>
    <row r="106" spans="2:29" x14ac:dyDescent="0.25">
      <c r="B106" s="38">
        <f t="shared" si="23"/>
        <v>76</v>
      </c>
      <c r="C106" s="241" t="str">
        <f>סיכום!C106</f>
        <v>מולטי פיאנו- פליציה בלומנטל</v>
      </c>
      <c r="D106" s="39">
        <f>'סיכום לועדה- הזנת נתונים'!N106</f>
        <v>75000</v>
      </c>
      <c r="E106" s="39">
        <f>סיכום!H106</f>
        <v>52405.286324756264</v>
      </c>
      <c r="F106" s="289">
        <f t="shared" si="37"/>
        <v>0</v>
      </c>
      <c r="G106" s="39">
        <f t="shared" si="38"/>
        <v>52405.286324756264</v>
      </c>
      <c r="H106" s="39">
        <f t="shared" si="39"/>
        <v>54288.558726855845</v>
      </c>
      <c r="I106" s="290">
        <f t="shared" si="24"/>
        <v>0</v>
      </c>
      <c r="J106" s="47">
        <f t="shared" si="25"/>
        <v>54288.558726855845</v>
      </c>
      <c r="K106" s="47">
        <f t="shared" si="26"/>
        <v>54445.873871104304</v>
      </c>
      <c r="L106" s="290">
        <f t="shared" si="27"/>
        <v>0</v>
      </c>
      <c r="M106" s="47">
        <f t="shared" si="28"/>
        <v>54445.873871104304</v>
      </c>
      <c r="N106" s="47">
        <f t="shared" si="29"/>
        <v>54445.873871104304</v>
      </c>
      <c r="O106" s="290">
        <f t="shared" si="30"/>
        <v>0</v>
      </c>
      <c r="P106" s="47">
        <f t="shared" si="31"/>
        <v>54445.873871104304</v>
      </c>
      <c r="Q106" s="47">
        <f t="shared" si="32"/>
        <v>54445.873871104304</v>
      </c>
      <c r="R106" s="290">
        <f t="shared" si="33"/>
        <v>0</v>
      </c>
      <c r="S106" s="47">
        <f t="shared" si="34"/>
        <v>54445.873871104304</v>
      </c>
      <c r="T106" s="47">
        <f t="shared" si="35"/>
        <v>54445.873871104304</v>
      </c>
      <c r="U106" s="48">
        <f t="shared" si="21"/>
        <v>54445.873871104304</v>
      </c>
      <c r="V106" s="48"/>
      <c r="W106" s="48"/>
      <c r="X106" s="48"/>
      <c r="Y106" s="48"/>
      <c r="Z106" s="49">
        <f t="shared" si="22"/>
        <v>1.7698107498586576E-2</v>
      </c>
      <c r="AC106" s="187">
        <f t="shared" si="36"/>
        <v>1</v>
      </c>
    </row>
    <row r="107" spans="2:29" x14ac:dyDescent="0.25">
      <c r="B107" s="38">
        <f t="shared" si="23"/>
        <v>77</v>
      </c>
      <c r="C107" s="241" t="str">
        <f>סיכום!C107</f>
        <v>ארמון בזמן - העמותה לתרבות רב תחומית</v>
      </c>
      <c r="D107" s="39">
        <f>'סיכום לועדה- הזנת נתונים'!N107</f>
        <v>300000</v>
      </c>
      <c r="E107" s="39">
        <f>סיכום!H107</f>
        <v>71850.885659940628</v>
      </c>
      <c r="F107" s="289">
        <f t="shared" si="37"/>
        <v>0</v>
      </c>
      <c r="G107" s="39">
        <f t="shared" si="38"/>
        <v>71850.885659940628</v>
      </c>
      <c r="H107" s="39">
        <f t="shared" si="39"/>
        <v>74432.968490119849</v>
      </c>
      <c r="I107" s="290">
        <f t="shared" si="24"/>
        <v>0</v>
      </c>
      <c r="J107" s="47">
        <f t="shared" si="25"/>
        <v>74432.968490119849</v>
      </c>
      <c r="K107" s="47">
        <f t="shared" si="26"/>
        <v>74648.657273345394</v>
      </c>
      <c r="L107" s="290">
        <f t="shared" si="27"/>
        <v>0</v>
      </c>
      <c r="M107" s="47">
        <f t="shared" si="28"/>
        <v>74648.657273345394</v>
      </c>
      <c r="N107" s="47">
        <f t="shared" si="29"/>
        <v>74648.657273345394</v>
      </c>
      <c r="O107" s="290">
        <f t="shared" si="30"/>
        <v>0</v>
      </c>
      <c r="P107" s="47">
        <f t="shared" si="31"/>
        <v>74648.657273345394</v>
      </c>
      <c r="Q107" s="47">
        <f t="shared" si="32"/>
        <v>74648.657273345394</v>
      </c>
      <c r="R107" s="290">
        <f t="shared" si="33"/>
        <v>0</v>
      </c>
      <c r="S107" s="47">
        <f t="shared" si="34"/>
        <v>74648.657273345394</v>
      </c>
      <c r="T107" s="47">
        <f t="shared" si="35"/>
        <v>74648.657273345394</v>
      </c>
      <c r="U107" s="48">
        <f t="shared" si="21"/>
        <v>74648.657273345394</v>
      </c>
      <c r="V107" s="48"/>
      <c r="W107" s="48"/>
      <c r="X107" s="48"/>
      <c r="Y107" s="48"/>
      <c r="Z107" s="49">
        <f t="shared" si="22"/>
        <v>2.4265198941916023E-2</v>
      </c>
      <c r="AC107" s="187">
        <f t="shared" si="36"/>
        <v>1</v>
      </c>
    </row>
    <row r="108" spans="2:29" x14ac:dyDescent="0.25">
      <c r="B108" s="38" t="str">
        <f t="shared" si="23"/>
        <v/>
      </c>
      <c r="C108" s="241" t="str">
        <f>סיכום!C108</f>
        <v/>
      </c>
      <c r="D108" s="39" t="str">
        <f>'סיכום לועדה- הזנת נתונים'!N108</f>
        <v/>
      </c>
      <c r="E108" s="39" t="str">
        <f>סיכום!H108</f>
        <v/>
      </c>
      <c r="F108" s="289" t="str">
        <f t="shared" si="37"/>
        <v/>
      </c>
      <c r="G108" s="39" t="str">
        <f t="shared" si="38"/>
        <v/>
      </c>
      <c r="H108" s="39" t="str">
        <f t="shared" si="39"/>
        <v/>
      </c>
      <c r="I108" s="290">
        <f t="shared" si="24"/>
        <v>0</v>
      </c>
      <c r="J108" s="47" t="str">
        <f t="shared" si="25"/>
        <v/>
      </c>
      <c r="K108" s="47" t="str">
        <f t="shared" si="26"/>
        <v/>
      </c>
      <c r="L108" s="290">
        <f t="shared" si="27"/>
        <v>0</v>
      </c>
      <c r="M108" s="47" t="str">
        <f t="shared" si="28"/>
        <v/>
      </c>
      <c r="N108" s="47" t="str">
        <f t="shared" si="29"/>
        <v/>
      </c>
      <c r="O108" s="290">
        <f t="shared" si="30"/>
        <v>0</v>
      </c>
      <c r="P108" s="47" t="str">
        <f t="shared" si="31"/>
        <v/>
      </c>
      <c r="Q108" s="47" t="str">
        <f t="shared" si="32"/>
        <v/>
      </c>
      <c r="R108" s="290">
        <f t="shared" si="33"/>
        <v>0</v>
      </c>
      <c r="S108" s="47" t="str">
        <f t="shared" si="34"/>
        <v/>
      </c>
      <c r="T108" s="47" t="str">
        <f t="shared" si="35"/>
        <v/>
      </c>
      <c r="U108" s="48" t="str">
        <f t="shared" si="21"/>
        <v/>
      </c>
      <c r="V108" s="48"/>
      <c r="W108" s="48"/>
      <c r="X108" s="48"/>
      <c r="Y108" s="48"/>
      <c r="Z108" s="49" t="str">
        <f t="shared" si="22"/>
        <v/>
      </c>
      <c r="AC108" s="187">
        <f t="shared" si="36"/>
        <v>0</v>
      </c>
    </row>
    <row r="109" spans="2:29" x14ac:dyDescent="0.25">
      <c r="B109" s="38" t="str">
        <f t="shared" si="23"/>
        <v/>
      </c>
      <c r="C109" s="241" t="str">
        <f>סיכום!C109</f>
        <v/>
      </c>
      <c r="D109" s="39" t="str">
        <f>'סיכום לועדה- הזנת נתונים'!N109</f>
        <v/>
      </c>
      <c r="E109" s="39" t="str">
        <f>סיכום!H109</f>
        <v/>
      </c>
      <c r="F109" s="289" t="str">
        <f t="shared" si="37"/>
        <v/>
      </c>
      <c r="G109" s="39" t="str">
        <f t="shared" si="38"/>
        <v/>
      </c>
      <c r="H109" s="39" t="str">
        <f t="shared" si="39"/>
        <v/>
      </c>
      <c r="I109" s="290">
        <f t="shared" si="24"/>
        <v>0</v>
      </c>
      <c r="J109" s="47" t="str">
        <f t="shared" si="25"/>
        <v/>
      </c>
      <c r="K109" s="47" t="str">
        <f t="shared" si="26"/>
        <v/>
      </c>
      <c r="L109" s="290">
        <f t="shared" si="27"/>
        <v>0</v>
      </c>
      <c r="M109" s="47" t="str">
        <f t="shared" si="28"/>
        <v/>
      </c>
      <c r="N109" s="47" t="str">
        <f t="shared" si="29"/>
        <v/>
      </c>
      <c r="O109" s="290">
        <f t="shared" si="30"/>
        <v>0</v>
      </c>
      <c r="P109" s="47" t="str">
        <f t="shared" si="31"/>
        <v/>
      </c>
      <c r="Q109" s="47" t="str">
        <f t="shared" si="32"/>
        <v/>
      </c>
      <c r="R109" s="290">
        <f t="shared" si="33"/>
        <v>0</v>
      </c>
      <c r="S109" s="47" t="str">
        <f t="shared" si="34"/>
        <v/>
      </c>
      <c r="T109" s="47" t="str">
        <f t="shared" si="35"/>
        <v/>
      </c>
      <c r="U109" s="48" t="str">
        <f t="shared" si="21"/>
        <v/>
      </c>
      <c r="V109" s="48"/>
      <c r="W109" s="48"/>
      <c r="X109" s="48"/>
      <c r="Y109" s="48"/>
      <c r="Z109" s="49" t="str">
        <f t="shared" si="22"/>
        <v/>
      </c>
      <c r="AC109" s="187">
        <f t="shared" si="36"/>
        <v>0</v>
      </c>
    </row>
    <row r="110" spans="2:29" x14ac:dyDescent="0.25">
      <c r="B110" s="38" t="str">
        <f t="shared" si="23"/>
        <v/>
      </c>
      <c r="C110" s="241" t="str">
        <f>סיכום!C110</f>
        <v/>
      </c>
      <c r="D110" s="39" t="str">
        <f>'סיכום לועדה- הזנת נתונים'!N110</f>
        <v/>
      </c>
      <c r="E110" s="39" t="str">
        <f>סיכום!H110</f>
        <v/>
      </c>
      <c r="F110" s="289" t="str">
        <f t="shared" si="37"/>
        <v/>
      </c>
      <c r="G110" s="39" t="str">
        <f t="shared" si="38"/>
        <v/>
      </c>
      <c r="H110" s="39" t="str">
        <f t="shared" si="39"/>
        <v/>
      </c>
      <c r="I110" s="290">
        <f t="shared" si="24"/>
        <v>0</v>
      </c>
      <c r="J110" s="47" t="str">
        <f t="shared" si="25"/>
        <v/>
      </c>
      <c r="K110" s="47" t="str">
        <f t="shared" si="26"/>
        <v/>
      </c>
      <c r="L110" s="290">
        <f t="shared" si="27"/>
        <v>0</v>
      </c>
      <c r="M110" s="47" t="str">
        <f t="shared" si="28"/>
        <v/>
      </c>
      <c r="N110" s="47" t="str">
        <f t="shared" si="29"/>
        <v/>
      </c>
      <c r="O110" s="290">
        <f t="shared" si="30"/>
        <v>0</v>
      </c>
      <c r="P110" s="47" t="str">
        <f t="shared" si="31"/>
        <v/>
      </c>
      <c r="Q110" s="47" t="str">
        <f t="shared" si="32"/>
        <v/>
      </c>
      <c r="R110" s="290">
        <f t="shared" si="33"/>
        <v>0</v>
      </c>
      <c r="S110" s="47" t="str">
        <f t="shared" si="34"/>
        <v/>
      </c>
      <c r="T110" s="47" t="str">
        <f t="shared" si="35"/>
        <v/>
      </c>
      <c r="U110" s="48" t="str">
        <f t="shared" si="21"/>
        <v/>
      </c>
      <c r="V110" s="48"/>
      <c r="W110" s="48"/>
      <c r="X110" s="48"/>
      <c r="Y110" s="48"/>
      <c r="Z110" s="49" t="str">
        <f t="shared" si="22"/>
        <v/>
      </c>
      <c r="AC110" s="187">
        <f t="shared" si="36"/>
        <v>0</v>
      </c>
    </row>
    <row r="111" spans="2:29" x14ac:dyDescent="0.25">
      <c r="B111" s="38" t="str">
        <f t="shared" si="23"/>
        <v/>
      </c>
      <c r="C111" s="241" t="str">
        <f>סיכום!C111</f>
        <v/>
      </c>
      <c r="D111" s="39" t="str">
        <f>'סיכום לועדה- הזנת נתונים'!N111</f>
        <v/>
      </c>
      <c r="E111" s="39" t="str">
        <f>סיכום!H111</f>
        <v/>
      </c>
      <c r="F111" s="289" t="str">
        <f t="shared" si="37"/>
        <v/>
      </c>
      <c r="G111" s="39" t="str">
        <f t="shared" si="38"/>
        <v/>
      </c>
      <c r="H111" s="39" t="str">
        <f t="shared" si="39"/>
        <v/>
      </c>
      <c r="I111" s="290">
        <f t="shared" si="24"/>
        <v>0</v>
      </c>
      <c r="J111" s="47" t="str">
        <f t="shared" si="25"/>
        <v/>
      </c>
      <c r="K111" s="47" t="str">
        <f t="shared" si="26"/>
        <v/>
      </c>
      <c r="L111" s="290">
        <f t="shared" si="27"/>
        <v>0</v>
      </c>
      <c r="M111" s="47" t="str">
        <f t="shared" si="28"/>
        <v/>
      </c>
      <c r="N111" s="47" t="str">
        <f t="shared" si="29"/>
        <v/>
      </c>
      <c r="O111" s="290">
        <f t="shared" si="30"/>
        <v>0</v>
      </c>
      <c r="P111" s="47" t="str">
        <f t="shared" si="31"/>
        <v/>
      </c>
      <c r="Q111" s="47" t="str">
        <f t="shared" si="32"/>
        <v/>
      </c>
      <c r="R111" s="290">
        <f t="shared" si="33"/>
        <v>0</v>
      </c>
      <c r="S111" s="47" t="str">
        <f t="shared" si="34"/>
        <v/>
      </c>
      <c r="T111" s="47" t="str">
        <f t="shared" si="35"/>
        <v/>
      </c>
      <c r="U111" s="48" t="str">
        <f t="shared" si="21"/>
        <v/>
      </c>
      <c r="V111" s="48"/>
      <c r="W111" s="48"/>
      <c r="X111" s="48"/>
      <c r="Y111" s="48"/>
      <c r="Z111" s="49" t="str">
        <f t="shared" si="22"/>
        <v/>
      </c>
      <c r="AC111" s="187">
        <f t="shared" si="36"/>
        <v>0</v>
      </c>
    </row>
    <row r="112" spans="2:29" x14ac:dyDescent="0.25">
      <c r="B112" s="38" t="str">
        <f t="shared" si="23"/>
        <v/>
      </c>
      <c r="C112" s="241" t="str">
        <f>סיכום!C112</f>
        <v/>
      </c>
      <c r="D112" s="39" t="str">
        <f>'סיכום לועדה- הזנת נתונים'!N112</f>
        <v/>
      </c>
      <c r="E112" s="39" t="str">
        <f>סיכום!H112</f>
        <v/>
      </c>
      <c r="F112" s="289" t="str">
        <f t="shared" si="37"/>
        <v/>
      </c>
      <c r="G112" s="39" t="str">
        <f t="shared" si="38"/>
        <v/>
      </c>
      <c r="H112" s="39" t="str">
        <f t="shared" si="39"/>
        <v/>
      </c>
      <c r="I112" s="290">
        <f t="shared" si="24"/>
        <v>0</v>
      </c>
      <c r="J112" s="47" t="str">
        <f t="shared" si="25"/>
        <v/>
      </c>
      <c r="K112" s="47" t="str">
        <f t="shared" si="26"/>
        <v/>
      </c>
      <c r="L112" s="290">
        <f t="shared" si="27"/>
        <v>0</v>
      </c>
      <c r="M112" s="47" t="str">
        <f t="shared" si="28"/>
        <v/>
      </c>
      <c r="N112" s="47" t="str">
        <f t="shared" si="29"/>
        <v/>
      </c>
      <c r="O112" s="290">
        <f t="shared" si="30"/>
        <v>0</v>
      </c>
      <c r="P112" s="47" t="str">
        <f t="shared" si="31"/>
        <v/>
      </c>
      <c r="Q112" s="47" t="str">
        <f t="shared" si="32"/>
        <v/>
      </c>
      <c r="R112" s="290">
        <f t="shared" si="33"/>
        <v>0</v>
      </c>
      <c r="S112" s="47" t="str">
        <f t="shared" si="34"/>
        <v/>
      </c>
      <c r="T112" s="47" t="str">
        <f t="shared" si="35"/>
        <v/>
      </c>
      <c r="U112" s="48" t="str">
        <f t="shared" si="21"/>
        <v/>
      </c>
      <c r="V112" s="48"/>
      <c r="W112" s="48"/>
      <c r="X112" s="48"/>
      <c r="Y112" s="48"/>
      <c r="Z112" s="49" t="str">
        <f t="shared" si="22"/>
        <v/>
      </c>
      <c r="AC112" s="187">
        <f t="shared" si="36"/>
        <v>0</v>
      </c>
    </row>
    <row r="113" spans="2:29" x14ac:dyDescent="0.25">
      <c r="B113" s="38" t="str">
        <f t="shared" si="23"/>
        <v/>
      </c>
      <c r="C113" s="241" t="str">
        <f>סיכום!C113</f>
        <v/>
      </c>
      <c r="D113" s="39" t="str">
        <f>'סיכום לועדה- הזנת נתונים'!N113</f>
        <v/>
      </c>
      <c r="E113" s="39" t="str">
        <f>סיכום!H113</f>
        <v/>
      </c>
      <c r="F113" s="289" t="str">
        <f t="shared" si="37"/>
        <v/>
      </c>
      <c r="G113" s="39" t="str">
        <f t="shared" si="38"/>
        <v/>
      </c>
      <c r="H113" s="39" t="str">
        <f t="shared" si="39"/>
        <v/>
      </c>
      <c r="I113" s="290">
        <f t="shared" si="24"/>
        <v>0</v>
      </c>
      <c r="J113" s="47" t="str">
        <f t="shared" si="25"/>
        <v/>
      </c>
      <c r="K113" s="47" t="str">
        <f t="shared" si="26"/>
        <v/>
      </c>
      <c r="L113" s="290">
        <f t="shared" si="27"/>
        <v>0</v>
      </c>
      <c r="M113" s="47" t="str">
        <f t="shared" si="28"/>
        <v/>
      </c>
      <c r="N113" s="47" t="str">
        <f t="shared" si="29"/>
        <v/>
      </c>
      <c r="O113" s="290">
        <f t="shared" si="30"/>
        <v>0</v>
      </c>
      <c r="P113" s="47" t="str">
        <f t="shared" si="31"/>
        <v/>
      </c>
      <c r="Q113" s="47" t="str">
        <f t="shared" si="32"/>
        <v/>
      </c>
      <c r="R113" s="290">
        <f t="shared" si="33"/>
        <v>0</v>
      </c>
      <c r="S113" s="47" t="str">
        <f t="shared" si="34"/>
        <v/>
      </c>
      <c r="T113" s="47" t="str">
        <f t="shared" si="35"/>
        <v/>
      </c>
      <c r="U113" s="48" t="str">
        <f t="shared" si="21"/>
        <v/>
      </c>
      <c r="V113" s="48"/>
      <c r="W113" s="48"/>
      <c r="X113" s="48"/>
      <c r="Y113" s="48"/>
      <c r="Z113" s="49" t="str">
        <f t="shared" si="22"/>
        <v/>
      </c>
      <c r="AC113" s="187">
        <f t="shared" si="36"/>
        <v>0</v>
      </c>
    </row>
    <row r="114" spans="2:29" x14ac:dyDescent="0.25">
      <c r="B114" s="38" t="str">
        <f t="shared" si="23"/>
        <v/>
      </c>
      <c r="C114" s="241" t="str">
        <f>סיכום!C114</f>
        <v/>
      </c>
      <c r="D114" s="39" t="str">
        <f>'סיכום לועדה- הזנת נתונים'!N114</f>
        <v/>
      </c>
      <c r="E114" s="39" t="str">
        <f>סיכום!H114</f>
        <v/>
      </c>
      <c r="F114" s="289" t="str">
        <f t="shared" si="37"/>
        <v/>
      </c>
      <c r="G114" s="39" t="str">
        <f t="shared" si="38"/>
        <v/>
      </c>
      <c r="H114" s="39" t="str">
        <f t="shared" si="39"/>
        <v/>
      </c>
      <c r="I114" s="290">
        <f t="shared" si="24"/>
        <v>0</v>
      </c>
      <c r="J114" s="47" t="str">
        <f t="shared" si="25"/>
        <v/>
      </c>
      <c r="K114" s="47" t="str">
        <f t="shared" si="26"/>
        <v/>
      </c>
      <c r="L114" s="290">
        <f t="shared" si="27"/>
        <v>0</v>
      </c>
      <c r="M114" s="47" t="str">
        <f t="shared" si="28"/>
        <v/>
      </c>
      <c r="N114" s="47" t="str">
        <f t="shared" si="29"/>
        <v/>
      </c>
      <c r="O114" s="290">
        <f t="shared" si="30"/>
        <v>0</v>
      </c>
      <c r="P114" s="47" t="str">
        <f t="shared" si="31"/>
        <v/>
      </c>
      <c r="Q114" s="47" t="str">
        <f t="shared" si="32"/>
        <v/>
      </c>
      <c r="R114" s="290">
        <f t="shared" si="33"/>
        <v>0</v>
      </c>
      <c r="S114" s="47" t="str">
        <f t="shared" si="34"/>
        <v/>
      </c>
      <c r="T114" s="47" t="str">
        <f t="shared" si="35"/>
        <v/>
      </c>
      <c r="U114" s="48" t="str">
        <f t="shared" si="21"/>
        <v/>
      </c>
      <c r="V114" s="48"/>
      <c r="W114" s="48"/>
      <c r="X114" s="48"/>
      <c r="Y114" s="48"/>
      <c r="Z114" s="49" t="str">
        <f t="shared" si="22"/>
        <v/>
      </c>
      <c r="AC114" s="187">
        <f t="shared" si="36"/>
        <v>0</v>
      </c>
    </row>
    <row r="115" spans="2:29" x14ac:dyDescent="0.25">
      <c r="B115" s="38" t="str">
        <f t="shared" si="23"/>
        <v/>
      </c>
      <c r="C115" s="241" t="str">
        <f>סיכום!C115</f>
        <v/>
      </c>
      <c r="D115" s="39" t="str">
        <f>'סיכום לועדה- הזנת נתונים'!N115</f>
        <v/>
      </c>
      <c r="E115" s="39" t="str">
        <f>סיכום!H115</f>
        <v/>
      </c>
      <c r="F115" s="289" t="str">
        <f t="shared" si="37"/>
        <v/>
      </c>
      <c r="G115" s="39" t="str">
        <f t="shared" si="38"/>
        <v/>
      </c>
      <c r="H115" s="39" t="str">
        <f t="shared" si="39"/>
        <v/>
      </c>
      <c r="I115" s="290">
        <f t="shared" si="24"/>
        <v>0</v>
      </c>
      <c r="J115" s="47" t="str">
        <f t="shared" si="25"/>
        <v/>
      </c>
      <c r="K115" s="47" t="str">
        <f t="shared" si="26"/>
        <v/>
      </c>
      <c r="L115" s="290">
        <f t="shared" si="27"/>
        <v>0</v>
      </c>
      <c r="M115" s="47" t="str">
        <f t="shared" si="28"/>
        <v/>
      </c>
      <c r="N115" s="47" t="str">
        <f t="shared" si="29"/>
        <v/>
      </c>
      <c r="O115" s="290">
        <f t="shared" si="30"/>
        <v>0</v>
      </c>
      <c r="P115" s="47" t="str">
        <f t="shared" si="31"/>
        <v/>
      </c>
      <c r="Q115" s="47" t="str">
        <f t="shared" si="32"/>
        <v/>
      </c>
      <c r="R115" s="290">
        <f t="shared" si="33"/>
        <v>0</v>
      </c>
      <c r="S115" s="47" t="str">
        <f t="shared" si="34"/>
        <v/>
      </c>
      <c r="T115" s="47" t="str">
        <f t="shared" si="35"/>
        <v/>
      </c>
      <c r="U115" s="48" t="str">
        <f t="shared" si="21"/>
        <v/>
      </c>
      <c r="V115" s="48"/>
      <c r="W115" s="48"/>
      <c r="X115" s="48"/>
      <c r="Y115" s="48"/>
      <c r="Z115" s="49" t="str">
        <f t="shared" si="22"/>
        <v/>
      </c>
      <c r="AC115" s="187">
        <f t="shared" si="36"/>
        <v>0</v>
      </c>
    </row>
    <row r="116" spans="2:29" x14ac:dyDescent="0.25">
      <c r="B116" s="38" t="str">
        <f t="shared" si="23"/>
        <v/>
      </c>
      <c r="C116" s="241" t="str">
        <f>סיכום!C116</f>
        <v/>
      </c>
      <c r="D116" s="39" t="str">
        <f>'סיכום לועדה- הזנת נתונים'!N116</f>
        <v/>
      </c>
      <c r="E116" s="39" t="str">
        <f>סיכום!H116</f>
        <v/>
      </c>
      <c r="F116" s="289" t="str">
        <f t="shared" si="37"/>
        <v/>
      </c>
      <c r="G116" s="39" t="str">
        <f t="shared" si="38"/>
        <v/>
      </c>
      <c r="H116" s="39" t="str">
        <f t="shared" si="39"/>
        <v/>
      </c>
      <c r="I116" s="290">
        <f t="shared" si="24"/>
        <v>0</v>
      </c>
      <c r="J116" s="47" t="str">
        <f t="shared" si="25"/>
        <v/>
      </c>
      <c r="K116" s="47" t="str">
        <f t="shared" si="26"/>
        <v/>
      </c>
      <c r="L116" s="290">
        <f t="shared" si="27"/>
        <v>0</v>
      </c>
      <c r="M116" s="47" t="str">
        <f t="shared" si="28"/>
        <v/>
      </c>
      <c r="N116" s="47" t="str">
        <f t="shared" si="29"/>
        <v/>
      </c>
      <c r="O116" s="290">
        <f t="shared" si="30"/>
        <v>0</v>
      </c>
      <c r="P116" s="47" t="str">
        <f t="shared" si="31"/>
        <v/>
      </c>
      <c r="Q116" s="47" t="str">
        <f t="shared" si="32"/>
        <v/>
      </c>
      <c r="R116" s="290">
        <f t="shared" si="33"/>
        <v>0</v>
      </c>
      <c r="S116" s="47" t="str">
        <f t="shared" si="34"/>
        <v/>
      </c>
      <c r="T116" s="47" t="str">
        <f t="shared" si="35"/>
        <v/>
      </c>
      <c r="U116" s="48" t="str">
        <f t="shared" si="21"/>
        <v/>
      </c>
      <c r="V116" s="48"/>
      <c r="W116" s="48"/>
      <c r="X116" s="48"/>
      <c r="Y116" s="48"/>
      <c r="Z116" s="49" t="str">
        <f t="shared" si="22"/>
        <v/>
      </c>
      <c r="AC116" s="187">
        <f t="shared" si="36"/>
        <v>0</v>
      </c>
    </row>
    <row r="117" spans="2:29" x14ac:dyDescent="0.25">
      <c r="B117" s="38" t="str">
        <f t="shared" si="23"/>
        <v/>
      </c>
      <c r="C117" s="241" t="str">
        <f>סיכום!C117</f>
        <v/>
      </c>
      <c r="D117" s="39" t="str">
        <f>'סיכום לועדה- הזנת נתונים'!N117</f>
        <v/>
      </c>
      <c r="E117" s="39" t="str">
        <f>סיכום!H117</f>
        <v/>
      </c>
      <c r="F117" s="289" t="str">
        <f t="shared" si="37"/>
        <v/>
      </c>
      <c r="G117" s="39" t="str">
        <f t="shared" si="38"/>
        <v/>
      </c>
      <c r="H117" s="39" t="str">
        <f t="shared" si="39"/>
        <v/>
      </c>
      <c r="I117" s="290">
        <f t="shared" si="24"/>
        <v>0</v>
      </c>
      <c r="J117" s="47" t="str">
        <f t="shared" si="25"/>
        <v/>
      </c>
      <c r="K117" s="47" t="str">
        <f t="shared" si="26"/>
        <v/>
      </c>
      <c r="L117" s="290">
        <f t="shared" si="27"/>
        <v>0</v>
      </c>
      <c r="M117" s="47" t="str">
        <f t="shared" si="28"/>
        <v/>
      </c>
      <c r="N117" s="47" t="str">
        <f t="shared" si="29"/>
        <v/>
      </c>
      <c r="O117" s="290">
        <f t="shared" si="30"/>
        <v>0</v>
      </c>
      <c r="P117" s="47" t="str">
        <f t="shared" si="31"/>
        <v/>
      </c>
      <c r="Q117" s="47" t="str">
        <f t="shared" si="32"/>
        <v/>
      </c>
      <c r="R117" s="290">
        <f t="shared" si="33"/>
        <v>0</v>
      </c>
      <c r="S117" s="47" t="str">
        <f t="shared" si="34"/>
        <v/>
      </c>
      <c r="T117" s="47" t="str">
        <f t="shared" si="35"/>
        <v/>
      </c>
      <c r="U117" s="48" t="str">
        <f t="shared" si="21"/>
        <v/>
      </c>
      <c r="V117" s="48"/>
      <c r="W117" s="48"/>
      <c r="X117" s="48"/>
      <c r="Y117" s="48"/>
      <c r="Z117" s="49" t="str">
        <f t="shared" si="22"/>
        <v/>
      </c>
      <c r="AC117" s="187">
        <f t="shared" si="36"/>
        <v>0</v>
      </c>
    </row>
    <row r="118" spans="2:29" x14ac:dyDescent="0.25">
      <c r="B118" s="38" t="str">
        <f t="shared" si="23"/>
        <v/>
      </c>
      <c r="C118" s="241" t="str">
        <f>סיכום!C118</f>
        <v/>
      </c>
      <c r="D118" s="39" t="str">
        <f>'סיכום לועדה- הזנת נתונים'!N118</f>
        <v/>
      </c>
      <c r="E118" s="39" t="str">
        <f>סיכום!H118</f>
        <v/>
      </c>
      <c r="F118" s="289" t="str">
        <f t="shared" si="37"/>
        <v/>
      </c>
      <c r="G118" s="39" t="str">
        <f t="shared" si="38"/>
        <v/>
      </c>
      <c r="H118" s="39" t="str">
        <f t="shared" si="39"/>
        <v/>
      </c>
      <c r="I118" s="290">
        <f t="shared" si="24"/>
        <v>0</v>
      </c>
      <c r="J118" s="47" t="str">
        <f t="shared" si="25"/>
        <v/>
      </c>
      <c r="K118" s="47" t="str">
        <f t="shared" si="26"/>
        <v/>
      </c>
      <c r="L118" s="290">
        <f t="shared" si="27"/>
        <v>0</v>
      </c>
      <c r="M118" s="47" t="str">
        <f t="shared" si="28"/>
        <v/>
      </c>
      <c r="N118" s="47" t="str">
        <f t="shared" si="29"/>
        <v/>
      </c>
      <c r="O118" s="290">
        <f t="shared" si="30"/>
        <v>0</v>
      </c>
      <c r="P118" s="47" t="str">
        <f t="shared" si="31"/>
        <v/>
      </c>
      <c r="Q118" s="47" t="str">
        <f t="shared" si="32"/>
        <v/>
      </c>
      <c r="R118" s="290">
        <f t="shared" si="33"/>
        <v>0</v>
      </c>
      <c r="S118" s="47" t="str">
        <f t="shared" si="34"/>
        <v/>
      </c>
      <c r="T118" s="47" t="str">
        <f t="shared" si="35"/>
        <v/>
      </c>
      <c r="U118" s="48" t="str">
        <f t="shared" si="21"/>
        <v/>
      </c>
      <c r="V118" s="48"/>
      <c r="W118" s="48"/>
      <c r="X118" s="48"/>
      <c r="Y118" s="48"/>
      <c r="Z118" s="49" t="str">
        <f t="shared" si="22"/>
        <v/>
      </c>
      <c r="AC118" s="187">
        <f t="shared" si="36"/>
        <v>0</v>
      </c>
    </row>
    <row r="119" spans="2:29" x14ac:dyDescent="0.25">
      <c r="B119" s="38" t="str">
        <f t="shared" si="23"/>
        <v/>
      </c>
      <c r="C119" s="241" t="str">
        <f>סיכום!C119</f>
        <v/>
      </c>
      <c r="D119" s="39" t="str">
        <f>'סיכום לועדה- הזנת נתונים'!N119</f>
        <v/>
      </c>
      <c r="E119" s="39" t="str">
        <f>סיכום!H119</f>
        <v/>
      </c>
      <c r="F119" s="289" t="str">
        <f t="shared" si="37"/>
        <v/>
      </c>
      <c r="G119" s="39" t="str">
        <f t="shared" si="38"/>
        <v/>
      </c>
      <c r="H119" s="39" t="str">
        <f t="shared" si="39"/>
        <v/>
      </c>
      <c r="I119" s="290">
        <f t="shared" si="24"/>
        <v>0</v>
      </c>
      <c r="J119" s="47" t="str">
        <f t="shared" si="25"/>
        <v/>
      </c>
      <c r="K119" s="47" t="str">
        <f t="shared" si="26"/>
        <v/>
      </c>
      <c r="L119" s="290">
        <f t="shared" si="27"/>
        <v>0</v>
      </c>
      <c r="M119" s="47" t="str">
        <f t="shared" si="28"/>
        <v/>
      </c>
      <c r="N119" s="47" t="str">
        <f t="shared" si="29"/>
        <v/>
      </c>
      <c r="O119" s="290">
        <f t="shared" si="30"/>
        <v>0</v>
      </c>
      <c r="P119" s="47" t="str">
        <f t="shared" si="31"/>
        <v/>
      </c>
      <c r="Q119" s="47" t="str">
        <f t="shared" si="32"/>
        <v/>
      </c>
      <c r="R119" s="290">
        <f t="shared" si="33"/>
        <v>0</v>
      </c>
      <c r="S119" s="47" t="str">
        <f t="shared" si="34"/>
        <v/>
      </c>
      <c r="T119" s="47" t="str">
        <f t="shared" si="35"/>
        <v/>
      </c>
      <c r="U119" s="48" t="str">
        <f t="shared" si="21"/>
        <v/>
      </c>
      <c r="V119" s="48"/>
      <c r="W119" s="48"/>
      <c r="X119" s="48"/>
      <c r="Y119" s="48"/>
      <c r="Z119" s="49" t="str">
        <f t="shared" si="22"/>
        <v/>
      </c>
      <c r="AC119" s="187">
        <f t="shared" si="36"/>
        <v>0</v>
      </c>
    </row>
    <row r="120" spans="2:29" x14ac:dyDescent="0.25">
      <c r="B120" s="38" t="str">
        <f t="shared" si="23"/>
        <v/>
      </c>
      <c r="C120" s="241" t="str">
        <f>סיכום!C120</f>
        <v/>
      </c>
      <c r="D120" s="39" t="str">
        <f>'סיכום לועדה- הזנת נתונים'!N120</f>
        <v/>
      </c>
      <c r="E120" s="39" t="str">
        <f>סיכום!H120</f>
        <v/>
      </c>
      <c r="F120" s="289" t="str">
        <f t="shared" si="37"/>
        <v/>
      </c>
      <c r="G120" s="39" t="str">
        <f t="shared" si="38"/>
        <v/>
      </c>
      <c r="H120" s="39" t="str">
        <f t="shared" si="39"/>
        <v/>
      </c>
      <c r="I120" s="290">
        <f t="shared" si="24"/>
        <v>0</v>
      </c>
      <c r="J120" s="47" t="str">
        <f t="shared" si="25"/>
        <v/>
      </c>
      <c r="K120" s="47" t="str">
        <f t="shared" si="26"/>
        <v/>
      </c>
      <c r="L120" s="290">
        <f t="shared" si="27"/>
        <v>0</v>
      </c>
      <c r="M120" s="47" t="str">
        <f t="shared" si="28"/>
        <v/>
      </c>
      <c r="N120" s="47" t="str">
        <f t="shared" si="29"/>
        <v/>
      </c>
      <c r="O120" s="290">
        <f t="shared" si="30"/>
        <v>0</v>
      </c>
      <c r="P120" s="47" t="str">
        <f t="shared" si="31"/>
        <v/>
      </c>
      <c r="Q120" s="47" t="str">
        <f t="shared" si="32"/>
        <v/>
      </c>
      <c r="R120" s="290">
        <f t="shared" si="33"/>
        <v>0</v>
      </c>
      <c r="S120" s="47" t="str">
        <f t="shared" si="34"/>
        <v/>
      </c>
      <c r="T120" s="47" t="str">
        <f t="shared" si="35"/>
        <v/>
      </c>
      <c r="U120" s="48" t="str">
        <f t="shared" si="21"/>
        <v/>
      </c>
      <c r="V120" s="48"/>
      <c r="W120" s="48"/>
      <c r="X120" s="48"/>
      <c r="Y120" s="48"/>
      <c r="Z120" s="49" t="str">
        <f t="shared" si="22"/>
        <v/>
      </c>
      <c r="AC120" s="187">
        <f t="shared" si="36"/>
        <v>0</v>
      </c>
    </row>
    <row r="121" spans="2:29" x14ac:dyDescent="0.25">
      <c r="B121" s="38" t="str">
        <f t="shared" si="23"/>
        <v/>
      </c>
      <c r="C121" s="241" t="str">
        <f>סיכום!C121</f>
        <v/>
      </c>
      <c r="D121" s="39" t="str">
        <f>'סיכום לועדה- הזנת נתונים'!N121</f>
        <v/>
      </c>
      <c r="E121" s="39" t="str">
        <f>סיכום!H121</f>
        <v/>
      </c>
      <c r="F121" s="289" t="str">
        <f t="shared" si="37"/>
        <v/>
      </c>
      <c r="G121" s="39" t="str">
        <f t="shared" si="38"/>
        <v/>
      </c>
      <c r="H121" s="39" t="str">
        <f t="shared" si="39"/>
        <v/>
      </c>
      <c r="I121" s="290">
        <f t="shared" si="24"/>
        <v>0</v>
      </c>
      <c r="J121" s="47" t="str">
        <f t="shared" si="25"/>
        <v/>
      </c>
      <c r="K121" s="47" t="str">
        <f t="shared" si="26"/>
        <v/>
      </c>
      <c r="L121" s="290">
        <f t="shared" si="27"/>
        <v>0</v>
      </c>
      <c r="M121" s="47" t="str">
        <f t="shared" si="28"/>
        <v/>
      </c>
      <c r="N121" s="47" t="str">
        <f t="shared" si="29"/>
        <v/>
      </c>
      <c r="O121" s="290">
        <f t="shared" si="30"/>
        <v>0</v>
      </c>
      <c r="P121" s="47" t="str">
        <f t="shared" si="31"/>
        <v/>
      </c>
      <c r="Q121" s="47" t="str">
        <f t="shared" si="32"/>
        <v/>
      </c>
      <c r="R121" s="290">
        <f t="shared" si="33"/>
        <v>0</v>
      </c>
      <c r="S121" s="47" t="str">
        <f t="shared" si="34"/>
        <v/>
      </c>
      <c r="T121" s="47" t="str">
        <f t="shared" si="35"/>
        <v/>
      </c>
      <c r="U121" s="48" t="str">
        <f t="shared" si="21"/>
        <v/>
      </c>
      <c r="V121" s="48"/>
      <c r="W121" s="48"/>
      <c r="X121" s="48"/>
      <c r="Y121" s="48"/>
      <c r="Z121" s="49" t="str">
        <f t="shared" si="22"/>
        <v/>
      </c>
      <c r="AC121" s="187">
        <f t="shared" si="36"/>
        <v>0</v>
      </c>
    </row>
    <row r="122" spans="2:29" x14ac:dyDescent="0.25">
      <c r="B122" s="38" t="str">
        <f t="shared" si="23"/>
        <v/>
      </c>
      <c r="C122" s="241" t="str">
        <f>סיכום!C122</f>
        <v/>
      </c>
      <c r="D122" s="39" t="str">
        <f>'סיכום לועדה- הזנת נתונים'!N122</f>
        <v/>
      </c>
      <c r="E122" s="39" t="str">
        <f>סיכום!H122</f>
        <v/>
      </c>
      <c r="F122" s="289" t="str">
        <f t="shared" si="37"/>
        <v/>
      </c>
      <c r="G122" s="39" t="str">
        <f t="shared" si="38"/>
        <v/>
      </c>
      <c r="H122" s="39" t="str">
        <f t="shared" si="39"/>
        <v/>
      </c>
      <c r="I122" s="290">
        <f t="shared" si="24"/>
        <v>0</v>
      </c>
      <c r="J122" s="47" t="str">
        <f t="shared" si="25"/>
        <v/>
      </c>
      <c r="K122" s="47" t="str">
        <f t="shared" si="26"/>
        <v/>
      </c>
      <c r="L122" s="290">
        <f t="shared" si="27"/>
        <v>0</v>
      </c>
      <c r="M122" s="47" t="str">
        <f t="shared" si="28"/>
        <v/>
      </c>
      <c r="N122" s="47" t="str">
        <f t="shared" si="29"/>
        <v/>
      </c>
      <c r="O122" s="290">
        <f t="shared" si="30"/>
        <v>0</v>
      </c>
      <c r="P122" s="47" t="str">
        <f t="shared" si="31"/>
        <v/>
      </c>
      <c r="Q122" s="47" t="str">
        <f t="shared" si="32"/>
        <v/>
      </c>
      <c r="R122" s="290">
        <f t="shared" si="33"/>
        <v>0</v>
      </c>
      <c r="S122" s="47" t="str">
        <f t="shared" si="34"/>
        <v/>
      </c>
      <c r="T122" s="47" t="str">
        <f t="shared" si="35"/>
        <v/>
      </c>
      <c r="U122" s="48" t="str">
        <f t="shared" si="21"/>
        <v/>
      </c>
      <c r="V122" s="48"/>
      <c r="W122" s="48"/>
      <c r="X122" s="48"/>
      <c r="Y122" s="48"/>
      <c r="Z122" s="49" t="str">
        <f t="shared" si="22"/>
        <v/>
      </c>
      <c r="AC122" s="187">
        <f t="shared" si="36"/>
        <v>0</v>
      </c>
    </row>
    <row r="123" spans="2:29" x14ac:dyDescent="0.25">
      <c r="B123" s="38" t="str">
        <f t="shared" si="23"/>
        <v/>
      </c>
      <c r="C123" s="241" t="str">
        <f>סיכום!C123</f>
        <v/>
      </c>
      <c r="D123" s="39" t="str">
        <f>'סיכום לועדה- הזנת נתונים'!N123</f>
        <v/>
      </c>
      <c r="E123" s="39" t="str">
        <f>סיכום!H123</f>
        <v/>
      </c>
      <c r="F123" s="289" t="str">
        <f t="shared" si="37"/>
        <v/>
      </c>
      <c r="G123" s="39" t="str">
        <f t="shared" si="38"/>
        <v/>
      </c>
      <c r="H123" s="39" t="str">
        <f t="shared" si="39"/>
        <v/>
      </c>
      <c r="I123" s="290">
        <f t="shared" si="24"/>
        <v>0</v>
      </c>
      <c r="J123" s="47" t="str">
        <f t="shared" si="25"/>
        <v/>
      </c>
      <c r="K123" s="47" t="str">
        <f t="shared" si="26"/>
        <v/>
      </c>
      <c r="L123" s="290">
        <f t="shared" si="27"/>
        <v>0</v>
      </c>
      <c r="M123" s="47" t="str">
        <f t="shared" si="28"/>
        <v/>
      </c>
      <c r="N123" s="47" t="str">
        <f t="shared" si="29"/>
        <v/>
      </c>
      <c r="O123" s="290">
        <f t="shared" si="30"/>
        <v>0</v>
      </c>
      <c r="P123" s="47" t="str">
        <f t="shared" si="31"/>
        <v/>
      </c>
      <c r="Q123" s="47" t="str">
        <f t="shared" si="32"/>
        <v/>
      </c>
      <c r="R123" s="290">
        <f t="shared" si="33"/>
        <v>0</v>
      </c>
      <c r="S123" s="47" t="str">
        <f t="shared" si="34"/>
        <v/>
      </c>
      <c r="T123" s="47" t="str">
        <f t="shared" si="35"/>
        <v/>
      </c>
      <c r="U123" s="48" t="str">
        <f t="shared" si="21"/>
        <v/>
      </c>
      <c r="V123" s="48"/>
      <c r="W123" s="48"/>
      <c r="X123" s="48"/>
      <c r="Y123" s="48"/>
      <c r="Z123" s="49" t="str">
        <f t="shared" si="22"/>
        <v/>
      </c>
      <c r="AC123" s="187">
        <f t="shared" si="36"/>
        <v>0</v>
      </c>
    </row>
    <row r="124" spans="2:29" x14ac:dyDescent="0.25">
      <c r="B124" s="38" t="str">
        <f t="shared" si="23"/>
        <v/>
      </c>
      <c r="C124" s="241" t="str">
        <f>סיכום!C124</f>
        <v/>
      </c>
      <c r="D124" s="39" t="str">
        <f>'סיכום לועדה- הזנת נתונים'!N124</f>
        <v/>
      </c>
      <c r="E124" s="39" t="str">
        <f>סיכום!H124</f>
        <v/>
      </c>
      <c r="F124" s="289" t="str">
        <f t="shared" si="37"/>
        <v/>
      </c>
      <c r="G124" s="39" t="str">
        <f t="shared" si="38"/>
        <v/>
      </c>
      <c r="H124" s="39" t="str">
        <f t="shared" si="39"/>
        <v/>
      </c>
      <c r="I124" s="290">
        <f t="shared" si="24"/>
        <v>0</v>
      </c>
      <c r="J124" s="47" t="str">
        <f t="shared" si="25"/>
        <v/>
      </c>
      <c r="K124" s="47" t="str">
        <f t="shared" si="26"/>
        <v/>
      </c>
      <c r="L124" s="290">
        <f t="shared" si="27"/>
        <v>0</v>
      </c>
      <c r="M124" s="47" t="str">
        <f t="shared" si="28"/>
        <v/>
      </c>
      <c r="N124" s="47" t="str">
        <f t="shared" si="29"/>
        <v/>
      </c>
      <c r="O124" s="290">
        <f t="shared" si="30"/>
        <v>0</v>
      </c>
      <c r="P124" s="47" t="str">
        <f t="shared" si="31"/>
        <v/>
      </c>
      <c r="Q124" s="47" t="str">
        <f t="shared" si="32"/>
        <v/>
      </c>
      <c r="R124" s="290">
        <f t="shared" si="33"/>
        <v>0</v>
      </c>
      <c r="S124" s="47" t="str">
        <f t="shared" si="34"/>
        <v/>
      </c>
      <c r="T124" s="47" t="str">
        <f t="shared" si="35"/>
        <v/>
      </c>
      <c r="U124" s="48" t="str">
        <f t="shared" si="21"/>
        <v/>
      </c>
      <c r="V124" s="48"/>
      <c r="W124" s="48"/>
      <c r="X124" s="48"/>
      <c r="Y124" s="48"/>
      <c r="Z124" s="49" t="str">
        <f t="shared" si="22"/>
        <v/>
      </c>
      <c r="AC124" s="187">
        <f t="shared" si="36"/>
        <v>0</v>
      </c>
    </row>
    <row r="125" spans="2:29" x14ac:dyDescent="0.25">
      <c r="B125" s="38" t="str">
        <f t="shared" si="23"/>
        <v/>
      </c>
      <c r="C125" s="241" t="str">
        <f>סיכום!C125</f>
        <v/>
      </c>
      <c r="D125" s="39" t="str">
        <f>'סיכום לועדה- הזנת נתונים'!N125</f>
        <v/>
      </c>
      <c r="E125" s="39" t="str">
        <f>סיכום!H125</f>
        <v/>
      </c>
      <c r="F125" s="289" t="str">
        <f t="shared" si="37"/>
        <v/>
      </c>
      <c r="G125" s="39" t="str">
        <f t="shared" si="38"/>
        <v/>
      </c>
      <c r="H125" s="39" t="str">
        <f t="shared" si="39"/>
        <v/>
      </c>
      <c r="I125" s="290">
        <f t="shared" si="24"/>
        <v>0</v>
      </c>
      <c r="J125" s="47" t="str">
        <f t="shared" si="25"/>
        <v/>
      </c>
      <c r="K125" s="47" t="str">
        <f t="shared" si="26"/>
        <v/>
      </c>
      <c r="L125" s="290">
        <f t="shared" si="27"/>
        <v>0</v>
      </c>
      <c r="M125" s="47" t="str">
        <f t="shared" si="28"/>
        <v/>
      </c>
      <c r="N125" s="47" t="str">
        <f t="shared" si="29"/>
        <v/>
      </c>
      <c r="O125" s="290">
        <f t="shared" si="30"/>
        <v>0</v>
      </c>
      <c r="P125" s="47" t="str">
        <f t="shared" si="31"/>
        <v/>
      </c>
      <c r="Q125" s="47" t="str">
        <f t="shared" si="32"/>
        <v/>
      </c>
      <c r="R125" s="290">
        <f t="shared" si="33"/>
        <v>0</v>
      </c>
      <c r="S125" s="47" t="str">
        <f t="shared" si="34"/>
        <v/>
      </c>
      <c r="T125" s="47" t="str">
        <f t="shared" si="35"/>
        <v/>
      </c>
      <c r="U125" s="48" t="str">
        <f t="shared" si="21"/>
        <v/>
      </c>
      <c r="V125" s="48"/>
      <c r="W125" s="48"/>
      <c r="X125" s="48"/>
      <c r="Y125" s="48"/>
      <c r="Z125" s="49" t="str">
        <f t="shared" si="22"/>
        <v/>
      </c>
      <c r="AC125" s="187">
        <f t="shared" si="36"/>
        <v>0</v>
      </c>
    </row>
    <row r="126" spans="2:29" x14ac:dyDescent="0.25">
      <c r="B126" s="38" t="str">
        <f t="shared" si="23"/>
        <v/>
      </c>
      <c r="C126" s="241" t="str">
        <f>סיכום!C126</f>
        <v/>
      </c>
      <c r="D126" s="39" t="str">
        <f>'סיכום לועדה- הזנת נתונים'!N126</f>
        <v/>
      </c>
      <c r="E126" s="39" t="str">
        <f>סיכום!H126</f>
        <v/>
      </c>
      <c r="F126" s="289" t="str">
        <f t="shared" si="37"/>
        <v/>
      </c>
      <c r="G126" s="39" t="str">
        <f t="shared" si="38"/>
        <v/>
      </c>
      <c r="H126" s="39" t="str">
        <f t="shared" si="39"/>
        <v/>
      </c>
      <c r="I126" s="290">
        <f t="shared" si="24"/>
        <v>0</v>
      </c>
      <c r="J126" s="47" t="str">
        <f t="shared" si="25"/>
        <v/>
      </c>
      <c r="K126" s="47" t="str">
        <f t="shared" si="26"/>
        <v/>
      </c>
      <c r="L126" s="290">
        <f t="shared" si="27"/>
        <v>0</v>
      </c>
      <c r="M126" s="47" t="str">
        <f t="shared" si="28"/>
        <v/>
      </c>
      <c r="N126" s="47" t="str">
        <f t="shared" si="29"/>
        <v/>
      </c>
      <c r="O126" s="290">
        <f t="shared" si="30"/>
        <v>0</v>
      </c>
      <c r="P126" s="47" t="str">
        <f t="shared" si="31"/>
        <v/>
      </c>
      <c r="Q126" s="47" t="str">
        <f t="shared" si="32"/>
        <v/>
      </c>
      <c r="R126" s="290">
        <f t="shared" si="33"/>
        <v>0</v>
      </c>
      <c r="S126" s="47" t="str">
        <f t="shared" si="34"/>
        <v/>
      </c>
      <c r="T126" s="47" t="str">
        <f t="shared" si="35"/>
        <v/>
      </c>
      <c r="U126" s="48" t="str">
        <f t="shared" si="21"/>
        <v/>
      </c>
      <c r="V126" s="48"/>
      <c r="W126" s="48"/>
      <c r="X126" s="48"/>
      <c r="Y126" s="48"/>
      <c r="Z126" s="49" t="str">
        <f t="shared" si="22"/>
        <v/>
      </c>
      <c r="AC126" s="187">
        <f t="shared" si="36"/>
        <v>0</v>
      </c>
    </row>
    <row r="127" spans="2:29" x14ac:dyDescent="0.25">
      <c r="B127" s="38" t="str">
        <f t="shared" si="23"/>
        <v/>
      </c>
      <c r="C127" s="241" t="str">
        <f>סיכום!C127</f>
        <v/>
      </c>
      <c r="D127" s="39" t="str">
        <f>'סיכום לועדה- הזנת נתונים'!N127</f>
        <v/>
      </c>
      <c r="E127" s="39" t="str">
        <f>סיכום!H127</f>
        <v/>
      </c>
      <c r="F127" s="289" t="str">
        <f t="shared" si="37"/>
        <v/>
      </c>
      <c r="G127" s="39" t="str">
        <f t="shared" si="38"/>
        <v/>
      </c>
      <c r="H127" s="39" t="str">
        <f t="shared" si="39"/>
        <v/>
      </c>
      <c r="I127" s="290">
        <f t="shared" si="24"/>
        <v>0</v>
      </c>
      <c r="J127" s="47" t="str">
        <f t="shared" si="25"/>
        <v/>
      </c>
      <c r="K127" s="47" t="str">
        <f t="shared" si="26"/>
        <v/>
      </c>
      <c r="L127" s="290">
        <f t="shared" si="27"/>
        <v>0</v>
      </c>
      <c r="M127" s="47" t="str">
        <f t="shared" si="28"/>
        <v/>
      </c>
      <c r="N127" s="47" t="str">
        <f t="shared" si="29"/>
        <v/>
      </c>
      <c r="O127" s="290">
        <f t="shared" si="30"/>
        <v>0</v>
      </c>
      <c r="P127" s="47" t="str">
        <f t="shared" si="31"/>
        <v/>
      </c>
      <c r="Q127" s="47" t="str">
        <f t="shared" si="32"/>
        <v/>
      </c>
      <c r="R127" s="290">
        <f t="shared" si="33"/>
        <v>0</v>
      </c>
      <c r="S127" s="47" t="str">
        <f t="shared" si="34"/>
        <v/>
      </c>
      <c r="T127" s="47" t="str">
        <f t="shared" si="35"/>
        <v/>
      </c>
      <c r="U127" s="48" t="str">
        <f>IF($C127="","",IF(AC127=0,$AH$1,IFERROR(T127,$AH$1)))</f>
        <v/>
      </c>
      <c r="V127" s="48"/>
      <c r="W127" s="48"/>
      <c r="X127" s="48"/>
      <c r="Y127" s="48"/>
      <c r="Z127" s="49" t="str">
        <f t="shared" si="22"/>
        <v/>
      </c>
      <c r="AC127" s="187">
        <f t="shared" si="36"/>
        <v>0</v>
      </c>
    </row>
    <row r="128" spans="2:29" x14ac:dyDescent="0.25">
      <c r="B128" s="38" t="str">
        <f t="shared" si="23"/>
        <v/>
      </c>
      <c r="C128" s="241" t="str">
        <f>סיכום!C128</f>
        <v/>
      </c>
      <c r="D128" s="39" t="str">
        <f>'סיכום לועדה- הזנת נתונים'!N128</f>
        <v/>
      </c>
      <c r="E128" s="39" t="str">
        <f>סיכום!H128</f>
        <v/>
      </c>
      <c r="F128" s="289" t="str">
        <f t="shared" si="37"/>
        <v/>
      </c>
      <c r="G128" s="39" t="str">
        <f t="shared" si="38"/>
        <v/>
      </c>
      <c r="H128" s="39" t="str">
        <f t="shared" si="39"/>
        <v/>
      </c>
      <c r="I128" s="290">
        <f t="shared" si="24"/>
        <v>0</v>
      </c>
      <c r="J128" s="47" t="str">
        <f t="shared" si="25"/>
        <v/>
      </c>
      <c r="K128" s="47" t="str">
        <f t="shared" si="26"/>
        <v/>
      </c>
      <c r="L128" s="290">
        <f t="shared" si="27"/>
        <v>0</v>
      </c>
      <c r="M128" s="47" t="str">
        <f t="shared" si="28"/>
        <v/>
      </c>
      <c r="N128" s="47" t="str">
        <f t="shared" si="29"/>
        <v/>
      </c>
      <c r="O128" s="290">
        <f t="shared" si="30"/>
        <v>0</v>
      </c>
      <c r="P128" s="47" t="str">
        <f t="shared" si="31"/>
        <v/>
      </c>
      <c r="Q128" s="47" t="str">
        <f t="shared" si="32"/>
        <v/>
      </c>
      <c r="R128" s="290">
        <f t="shared" si="33"/>
        <v>0</v>
      </c>
      <c r="S128" s="47" t="str">
        <f t="shared" si="34"/>
        <v/>
      </c>
      <c r="T128" s="47" t="str">
        <f t="shared" si="35"/>
        <v/>
      </c>
      <c r="U128" s="48" t="str">
        <f>IF($C128="","",IF(AC128=0,$AH$1,IFERROR(T128,$AH$1)))</f>
        <v/>
      </c>
      <c r="V128" s="48"/>
      <c r="W128" s="48"/>
      <c r="X128" s="48"/>
      <c r="Y128" s="48"/>
      <c r="Z128" s="49" t="str">
        <f t="shared" si="22"/>
        <v/>
      </c>
      <c r="AC128" s="187">
        <f t="shared" si="36"/>
        <v>0</v>
      </c>
    </row>
    <row r="129" spans="2:29" x14ac:dyDescent="0.25">
      <c r="B129" s="38" t="str">
        <f t="shared" si="23"/>
        <v/>
      </c>
      <c r="C129" s="241" t="str">
        <f>סיכום!C129</f>
        <v/>
      </c>
      <c r="D129" s="39" t="str">
        <f>'סיכום לועדה- הזנת נתונים'!N129</f>
        <v/>
      </c>
      <c r="E129" s="39" t="str">
        <f>סיכום!H129</f>
        <v/>
      </c>
      <c r="F129" s="289" t="str">
        <f t="shared" si="37"/>
        <v/>
      </c>
      <c r="G129" s="39" t="str">
        <f t="shared" si="38"/>
        <v/>
      </c>
      <c r="H129" s="39" t="str">
        <f t="shared" si="39"/>
        <v/>
      </c>
      <c r="I129" s="290">
        <f t="shared" si="24"/>
        <v>0</v>
      </c>
      <c r="J129" s="47" t="str">
        <f t="shared" si="25"/>
        <v/>
      </c>
      <c r="K129" s="47" t="str">
        <f t="shared" si="26"/>
        <v/>
      </c>
      <c r="L129" s="290">
        <f t="shared" si="27"/>
        <v>0</v>
      </c>
      <c r="M129" s="47" t="str">
        <f t="shared" si="28"/>
        <v/>
      </c>
      <c r="N129" s="47" t="str">
        <f t="shared" si="29"/>
        <v/>
      </c>
      <c r="O129" s="290">
        <f t="shared" si="30"/>
        <v>0</v>
      </c>
      <c r="P129" s="47" t="str">
        <f t="shared" si="31"/>
        <v/>
      </c>
      <c r="Q129" s="47" t="str">
        <f t="shared" si="32"/>
        <v/>
      </c>
      <c r="R129" s="290">
        <f t="shared" si="33"/>
        <v>0</v>
      </c>
      <c r="S129" s="47" t="str">
        <f t="shared" si="34"/>
        <v/>
      </c>
      <c r="T129" s="47" t="str">
        <f t="shared" si="35"/>
        <v/>
      </c>
      <c r="U129" s="48" t="str">
        <f>IF($C129="","",IF(AC129=0,$AH$1,IFERROR(T129,$AH$1)))</f>
        <v/>
      </c>
      <c r="V129" s="48"/>
      <c r="W129" s="48"/>
      <c r="X129" s="48"/>
      <c r="Y129" s="48"/>
      <c r="Z129" s="49" t="str">
        <f t="shared" si="22"/>
        <v/>
      </c>
      <c r="AC129" s="187">
        <f t="shared" si="36"/>
        <v>0</v>
      </c>
    </row>
    <row r="130" spans="2:29" ht="16.5" thickBot="1" x14ac:dyDescent="0.3">
      <c r="B130" s="38" t="str">
        <f t="shared" si="23"/>
        <v/>
      </c>
      <c r="C130" s="241" t="str">
        <f>סיכום!C130</f>
        <v/>
      </c>
      <c r="D130" s="39" t="str">
        <f>'סיכום לועדה- הזנת נתונים'!N130</f>
        <v/>
      </c>
      <c r="E130" s="39" t="str">
        <f>סיכום!H130</f>
        <v/>
      </c>
      <c r="F130" s="289" t="str">
        <f t="shared" si="37"/>
        <v/>
      </c>
      <c r="G130" s="39" t="str">
        <f t="shared" si="38"/>
        <v/>
      </c>
      <c r="H130" s="39" t="str">
        <f t="shared" si="39"/>
        <v/>
      </c>
      <c r="I130" s="290">
        <f t="shared" si="24"/>
        <v>0</v>
      </c>
      <c r="J130" s="47" t="str">
        <f t="shared" si="25"/>
        <v/>
      </c>
      <c r="K130" s="47" t="str">
        <f t="shared" si="26"/>
        <v/>
      </c>
      <c r="L130" s="290">
        <f t="shared" si="27"/>
        <v>0</v>
      </c>
      <c r="M130" s="47" t="str">
        <f t="shared" si="28"/>
        <v/>
      </c>
      <c r="N130" s="47" t="str">
        <f t="shared" si="29"/>
        <v/>
      </c>
      <c r="O130" s="290">
        <f t="shared" si="30"/>
        <v>0</v>
      </c>
      <c r="P130" s="47" t="str">
        <f t="shared" si="31"/>
        <v/>
      </c>
      <c r="Q130" s="47" t="str">
        <f t="shared" si="32"/>
        <v/>
      </c>
      <c r="R130" s="290">
        <f t="shared" si="33"/>
        <v>0</v>
      </c>
      <c r="S130" s="47" t="str">
        <f t="shared" si="34"/>
        <v/>
      </c>
      <c r="T130" s="47" t="str">
        <f t="shared" si="35"/>
        <v/>
      </c>
      <c r="U130" s="48" t="str">
        <f>IF($C130="","",IF(AC130=0,$AH$1,IFERROR(T130,$AH$1)))</f>
        <v/>
      </c>
      <c r="V130" s="48"/>
      <c r="W130" s="48"/>
      <c r="X130" s="48"/>
      <c r="Y130" s="48"/>
      <c r="Z130" s="49" t="str">
        <f t="shared" si="22"/>
        <v/>
      </c>
      <c r="AC130" s="187">
        <f t="shared" si="36"/>
        <v>0</v>
      </c>
    </row>
    <row r="131" spans="2:29" ht="19.5" thickBot="1" x14ac:dyDescent="0.35">
      <c r="B131" s="635" t="s">
        <v>77</v>
      </c>
      <c r="C131" s="557"/>
      <c r="D131" s="42">
        <f>SUM(D31:D130)</f>
        <v>5891738</v>
      </c>
      <c r="E131" s="42">
        <f>SUM(E31:E130)</f>
        <v>3076367</v>
      </c>
      <c r="F131" s="42"/>
      <c r="G131" s="42">
        <f t="shared" ref="G131:Z131" si="40">SUM(G31:G130)</f>
        <v>3001840.057757196</v>
      </c>
      <c r="H131" s="42">
        <f t="shared" si="40"/>
        <v>3076367.0000000005</v>
      </c>
      <c r="I131" s="42">
        <f t="shared" si="40"/>
        <v>17</v>
      </c>
      <c r="J131" s="42">
        <f t="shared" si="40"/>
        <v>3071011.907387462</v>
      </c>
      <c r="K131" s="42">
        <f t="shared" si="40"/>
        <v>3076367.0000000009</v>
      </c>
      <c r="L131" s="42">
        <f t="shared" si="40"/>
        <v>17</v>
      </c>
      <c r="M131" s="42">
        <f t="shared" si="40"/>
        <v>3076367.0000000009</v>
      </c>
      <c r="N131" s="42">
        <f t="shared" si="40"/>
        <v>3076367.0000000009</v>
      </c>
      <c r="O131" s="42">
        <f t="shared" si="40"/>
        <v>17</v>
      </c>
      <c r="P131" s="42">
        <f t="shared" si="40"/>
        <v>3076367.0000000009</v>
      </c>
      <c r="Q131" s="42">
        <f t="shared" si="40"/>
        <v>3076367.0000000009</v>
      </c>
      <c r="R131" s="42">
        <f t="shared" si="40"/>
        <v>17</v>
      </c>
      <c r="S131" s="42">
        <f t="shared" si="40"/>
        <v>3076367.0000000009</v>
      </c>
      <c r="T131" s="42">
        <f t="shared" si="40"/>
        <v>3076367.0000000009</v>
      </c>
      <c r="U131" s="42">
        <f t="shared" si="40"/>
        <v>3076367.0000000009</v>
      </c>
      <c r="V131" s="42"/>
      <c r="W131" s="42"/>
      <c r="X131" s="42"/>
      <c r="Y131" s="42"/>
      <c r="Z131" s="50">
        <f t="shared" si="40"/>
        <v>0.99999999999999978</v>
      </c>
    </row>
  </sheetData>
  <sheetProtection algorithmName="SHA-512" hashValue="W8Xa4DC9TRfMUAqJVHs39FaKze47nkQoIJk4fTEUGdrvNgLt1HY1iP46UHAnmLhcbcbv5UJgK/ubloEM3Nw4Yg==" saltValue="g7VTOPH55RSXERuMBdHg7Q==" spinCount="100000" sheet="1" scenarios="1" formatCells="0" formatColumns="0" formatRows="0" autoFilter="0"/>
  <mergeCells count="12">
    <mergeCell ref="F2:U2"/>
    <mergeCell ref="AC29:AC30"/>
    <mergeCell ref="B131:C131"/>
    <mergeCell ref="B28:Z28"/>
    <mergeCell ref="B29:B30"/>
    <mergeCell ref="C29:C30"/>
    <mergeCell ref="E29:E30"/>
    <mergeCell ref="F29:F30"/>
    <mergeCell ref="G29:G30"/>
    <mergeCell ref="H29:H30"/>
    <mergeCell ref="U29:U30"/>
    <mergeCell ref="Z29:Z30"/>
  </mergeCells>
  <conditionalFormatting sqref="B31:C130 E31:Z130">
    <cfRule type="expression" dxfId="56" priority="1" stopIfTrue="1">
      <formula>AND($C31="",B31&lt;&gt;"")</formula>
    </cfRule>
    <cfRule type="expression" dxfId="55" priority="2">
      <formula>$C31=""</formula>
    </cfRule>
    <cfRule type="expression" dxfId="54" priority="3">
      <formula>B$30&lt;&gt;""</formula>
    </cfRule>
  </conditionalFormatting>
  <conditionalFormatting sqref="C1:C2">
    <cfRule type="containsBlanks" dxfId="53" priority="7">
      <formula>LEN(TRIM(C1))=0</formula>
    </cfRule>
  </conditionalFormatting>
  <dataValidations count="1">
    <dataValidation type="decimal" operator="greaterThanOrEqual" allowBlank="1" showInputMessage="1" showErrorMessage="1" error="יש להזין מספר שאינו שלילי" sqref="D31:D130" xr:uid="{00000000-0002-0000-1700-000000000000}">
      <formula1>0</formula1>
    </dataValidation>
  </dataValidations>
  <printOptions horizontalCentered="1"/>
  <pageMargins left="0.51181102362204722" right="0.51181102362204722" top="0.74803149606299213" bottom="0.74803149606299213" header="0.31496062992125984" footer="0.31496062992125984"/>
  <pageSetup paperSize="9" scale="45"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AADDF42C-D993-4491-B180-A8ADAB1BECC6}">
            <xm:f>NOT(ISERROR(SEARCH($AH$1,B31)))</xm:f>
            <xm:f>$AH$1</xm:f>
            <x14:dxf>
              <fill>
                <patternFill>
                  <bgColor rgb="FFFF0000"/>
                </patternFill>
              </fill>
            </x14:dxf>
          </x14:cfRule>
          <xm:sqref>B31:C130 E31:Z130</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theme="8" tint="-0.249977111117893"/>
    <pageSetUpPr fitToPage="1"/>
  </sheetPr>
  <dimension ref="A1:GR131"/>
  <sheetViews>
    <sheetView rightToLeft="1" view="pageBreakPreview" topLeftCell="B1" zoomScale="90" zoomScaleNormal="80" zoomScaleSheetLayoutView="90" workbookViewId="0">
      <pane ySplit="30" topLeftCell="A31" activePane="bottomLeft" state="frozen"/>
      <selection activeCell="G58" sqref="G58"/>
      <selection pane="bottomLeft" activeCell="B31" sqref="B31"/>
    </sheetView>
  </sheetViews>
  <sheetFormatPr defaultColWidth="8" defaultRowHeight="15.75" x14ac:dyDescent="0.25"/>
  <cols>
    <col min="1" max="1" width="3.85546875" style="298" hidden="1" customWidth="1"/>
    <col min="2" max="2" width="11.42578125" style="298" customWidth="1"/>
    <col min="3" max="3" width="38" style="298" customWidth="1"/>
    <col min="4" max="4" width="20.85546875" style="298" customWidth="1"/>
    <col min="5" max="5" width="12.28515625" style="298" customWidth="1"/>
    <col min="6" max="6" width="12.42578125" style="298" customWidth="1"/>
    <col min="7" max="7" width="18" style="298" bestFit="1" customWidth="1"/>
    <col min="8" max="8" width="13.42578125" style="298" customWidth="1"/>
    <col min="9" max="10" width="8" style="298" hidden="1" customWidth="1"/>
    <col min="11" max="11" width="18.5703125" style="298" hidden="1" customWidth="1"/>
    <col min="12" max="12" width="16.140625" style="298" hidden="1" customWidth="1"/>
    <col min="13" max="15" width="8" style="298" hidden="1" customWidth="1"/>
    <col min="16" max="16" width="12.28515625" style="298" hidden="1" customWidth="1"/>
    <col min="17" max="200" width="8" style="298" hidden="1" customWidth="1"/>
    <col min="201" max="16384" width="8" style="298"/>
  </cols>
  <sheetData>
    <row r="1" spans="2:16" ht="21" x14ac:dyDescent="0.25">
      <c r="B1" s="249" t="s">
        <v>108</v>
      </c>
      <c r="C1" s="1">
        <f>'פרמטרים לעקרונות חישוב התמיכה'!$C$1</f>
        <v>2025</v>
      </c>
      <c r="D1" s="297" t="str">
        <f>IF(AND($H$131&lt;&gt;0,$C$2&lt;&gt;$H$131),"בדוק חישובים","")</f>
        <v/>
      </c>
      <c r="P1" s="191" t="s">
        <v>115</v>
      </c>
    </row>
    <row r="2" spans="2:16" ht="33.75" customHeight="1" thickBot="1" x14ac:dyDescent="0.3">
      <c r="B2" s="256" t="s">
        <v>15</v>
      </c>
      <c r="C2" s="2">
        <f>'פרמטרים לעקרונות חישוב התמיכה'!$C$2</f>
        <v>3076367</v>
      </c>
      <c r="K2" s="385" t="s">
        <v>362</v>
      </c>
      <c r="L2" s="385" t="s">
        <v>363</v>
      </c>
    </row>
    <row r="3" spans="2:16" x14ac:dyDescent="0.25">
      <c r="K3" s="299"/>
      <c r="L3" s="299"/>
    </row>
    <row r="4" spans="2:16" hidden="1" x14ac:dyDescent="0.25">
      <c r="K4" s="299"/>
      <c r="L4" s="299"/>
    </row>
    <row r="5" spans="2:16" hidden="1" x14ac:dyDescent="0.25">
      <c r="K5" s="299"/>
      <c r="L5" s="299"/>
    </row>
    <row r="6" spans="2:16" hidden="1" x14ac:dyDescent="0.25">
      <c r="K6" s="299"/>
      <c r="L6" s="299"/>
    </row>
    <row r="7" spans="2:16" hidden="1" x14ac:dyDescent="0.25">
      <c r="K7" s="299"/>
      <c r="L7" s="299"/>
    </row>
    <row r="8" spans="2:16" hidden="1" x14ac:dyDescent="0.25">
      <c r="K8" s="299"/>
      <c r="L8" s="299"/>
    </row>
    <row r="9" spans="2:16" hidden="1" x14ac:dyDescent="0.25">
      <c r="K9" s="299"/>
      <c r="L9" s="299"/>
    </row>
    <row r="10" spans="2:16" hidden="1" x14ac:dyDescent="0.25">
      <c r="K10" s="299"/>
      <c r="L10" s="299"/>
    </row>
    <row r="11" spans="2:16" hidden="1" x14ac:dyDescent="0.25">
      <c r="K11" s="299"/>
      <c r="L11" s="299"/>
    </row>
    <row r="12" spans="2:16" hidden="1" x14ac:dyDescent="0.25">
      <c r="K12" s="299"/>
      <c r="L12" s="299"/>
    </row>
    <row r="13" spans="2:16" hidden="1" x14ac:dyDescent="0.25">
      <c r="K13" s="299"/>
      <c r="L13" s="299"/>
    </row>
    <row r="14" spans="2:16" hidden="1" x14ac:dyDescent="0.25">
      <c r="K14" s="299"/>
      <c r="L14" s="299"/>
    </row>
    <row r="15" spans="2:16" hidden="1" x14ac:dyDescent="0.25">
      <c r="K15" s="299"/>
      <c r="L15" s="299"/>
    </row>
    <row r="16" spans="2:16" hidden="1" x14ac:dyDescent="0.25">
      <c r="K16" s="299"/>
      <c r="L16" s="299"/>
    </row>
    <row r="17" spans="2:13" hidden="1" x14ac:dyDescent="0.25">
      <c r="K17" s="299"/>
      <c r="L17" s="299"/>
    </row>
    <row r="18" spans="2:13" hidden="1" x14ac:dyDescent="0.25">
      <c r="K18" s="299"/>
      <c r="L18" s="299"/>
    </row>
    <row r="19" spans="2:13" hidden="1" x14ac:dyDescent="0.25">
      <c r="K19" s="299"/>
      <c r="L19" s="299"/>
    </row>
    <row r="20" spans="2:13" hidden="1" x14ac:dyDescent="0.25">
      <c r="K20" s="299"/>
      <c r="L20" s="299"/>
    </row>
    <row r="21" spans="2:13" hidden="1" x14ac:dyDescent="0.25">
      <c r="K21" s="299"/>
      <c r="L21" s="299"/>
    </row>
    <row r="22" spans="2:13" hidden="1" x14ac:dyDescent="0.25">
      <c r="K22" s="299"/>
      <c r="L22" s="299"/>
    </row>
    <row r="23" spans="2:13" hidden="1" x14ac:dyDescent="0.25">
      <c r="K23" s="299"/>
      <c r="L23" s="299"/>
    </row>
    <row r="24" spans="2:13" hidden="1" x14ac:dyDescent="0.25">
      <c r="K24" s="299"/>
      <c r="L24" s="299"/>
    </row>
    <row r="25" spans="2:13" hidden="1" x14ac:dyDescent="0.25">
      <c r="K25" s="299"/>
      <c r="L25" s="299"/>
    </row>
    <row r="26" spans="2:13" hidden="1" x14ac:dyDescent="0.25">
      <c r="K26" s="299"/>
      <c r="L26" s="299"/>
    </row>
    <row r="27" spans="2:13" ht="21" thickBot="1" x14ac:dyDescent="0.35">
      <c r="K27" s="432">
        <f>SUMIF(L31:L130,0,D31:D130)</f>
        <v>3076367.0000000009</v>
      </c>
      <c r="L27" s="433">
        <f>SUM(F31:F130)</f>
        <v>0</v>
      </c>
    </row>
    <row r="28" spans="2:13" ht="21" customHeight="1" thickBot="1" x14ac:dyDescent="0.3">
      <c r="B28" s="647" t="str">
        <f ca="1">MID(CELL("filename",B30),FIND("]",CELL("filename",C30),1)+1,99)</f>
        <v>קיזוזים בגין איחורים</v>
      </c>
      <c r="C28" s="648"/>
      <c r="D28" s="648"/>
      <c r="E28" s="648"/>
      <c r="F28" s="648"/>
      <c r="G28" s="648"/>
      <c r="H28" s="649"/>
    </row>
    <row r="29" spans="2:13" ht="42.75" customHeight="1" x14ac:dyDescent="0.25">
      <c r="B29" s="641" t="s">
        <v>219</v>
      </c>
      <c r="C29" s="641" t="s">
        <v>133</v>
      </c>
      <c r="D29" s="641" t="s">
        <v>364</v>
      </c>
      <c r="E29" s="294" t="s">
        <v>365</v>
      </c>
      <c r="F29" s="641" t="s">
        <v>366</v>
      </c>
      <c r="G29" s="641" t="s">
        <v>367</v>
      </c>
      <c r="H29" s="641" t="s">
        <v>368</v>
      </c>
      <c r="J29" s="645" t="s">
        <v>369</v>
      </c>
      <c r="K29" s="645" t="s">
        <v>370</v>
      </c>
      <c r="L29" s="645" t="s">
        <v>371</v>
      </c>
      <c r="M29" s="645" t="s">
        <v>372</v>
      </c>
    </row>
    <row r="30" spans="2:13" ht="31.5" customHeight="1" thickBot="1" x14ac:dyDescent="0.3">
      <c r="B30" s="642"/>
      <c r="C30" s="642"/>
      <c r="D30" s="642"/>
      <c r="E30" s="300" t="s">
        <v>121</v>
      </c>
      <c r="F30" s="642"/>
      <c r="G30" s="642"/>
      <c r="H30" s="642"/>
      <c r="J30" s="646"/>
      <c r="K30" s="646"/>
      <c r="L30" s="646"/>
      <c r="M30" s="646"/>
    </row>
    <row r="31" spans="2:13" ht="39" customHeight="1" x14ac:dyDescent="0.25">
      <c r="B31" s="46">
        <f>IF(C31="","",ROW()-30)</f>
        <v>1</v>
      </c>
      <c r="C31" s="241" t="str">
        <f>'הגבלה לסכום מבוקש (1)'!C31</f>
        <v>אנסמבל פרץ אליהו</v>
      </c>
      <c r="D31" s="434">
        <f>'הגבלה לסכום מבוקש (1)'!U31</f>
        <v>95000</v>
      </c>
      <c r="E31" s="45">
        <v>0</v>
      </c>
      <c r="F31" s="431">
        <f>IF(C31="","",IFERROR(MIN(D31,E31/365*D31),$P$1))</f>
        <v>0</v>
      </c>
      <c r="G31" s="435">
        <f>IF($C31="","",D31-F31)</f>
        <v>95000</v>
      </c>
      <c r="H31" s="435">
        <f>IF($C31="","",G31+M31)</f>
        <v>95000</v>
      </c>
      <c r="J31" s="432">
        <f>IF($C31="","",IFERROR(IF('קיזוזים- החלטות ועדה'!E31=0,0,1),0))</f>
        <v>0</v>
      </c>
      <c r="K31" s="432">
        <f>IF($C31="","",IFERROR(IF(E31=0,0,1),0))</f>
        <v>0</v>
      </c>
      <c r="L31" s="432">
        <f>IF($C31="","",IF(OR(K31=1,J31=1),1,0))</f>
        <v>0</v>
      </c>
      <c r="M31" s="436">
        <f>IF($C31="","",IF(L31=1,0,$L$27*$D31/$K$27))</f>
        <v>0</v>
      </c>
    </row>
    <row r="32" spans="2:13" ht="39" customHeight="1" x14ac:dyDescent="0.25">
      <c r="B32" s="46" t="str">
        <f t="shared" ref="B32:B95" si="0">IF(C32="","",ROW()-30)</f>
        <v/>
      </c>
      <c r="C32" s="241" t="str">
        <f>'הגבלה לסכום מבוקש (1)'!C32</f>
        <v/>
      </c>
      <c r="D32" s="434" t="str">
        <f>'הגבלה לסכום מבוקש (1)'!U32</f>
        <v/>
      </c>
      <c r="E32" s="45"/>
      <c r="F32" s="431" t="str">
        <f t="shared" ref="F32:F95" si="1">IF(C32="","",IFERROR(MIN(D32,E32/365*D32),$P$1))</f>
        <v/>
      </c>
      <c r="G32" s="435" t="str">
        <f t="shared" ref="G32:G95" si="2">IF($C32="","",D32-F32)</f>
        <v/>
      </c>
      <c r="H32" s="435" t="str">
        <f t="shared" ref="H32:H95" si="3">IF($C32="","",G32+M32)</f>
        <v/>
      </c>
      <c r="J32" s="432" t="str">
        <f>IF($C32="","",IFERROR(IF('קיזוזים- החלטות ועדה'!E32=0,0,1),0))</f>
        <v/>
      </c>
      <c r="K32" s="432" t="str">
        <f t="shared" ref="K32:K95" si="4">IF($C32="","",IFERROR(IF(E32=0,0,1),0))</f>
        <v/>
      </c>
      <c r="L32" s="432" t="str">
        <f t="shared" ref="L32:L95" si="5">IF($C32="","",IF(OR(K32=1,J32=1),1,0))</f>
        <v/>
      </c>
      <c r="M32" s="436" t="str">
        <f t="shared" ref="M32:M95" si="6">IF($C32="","",IF(L32=1,0,$L$27*$D32/$K$27))</f>
        <v/>
      </c>
    </row>
    <row r="33" spans="2:13" ht="39" customHeight="1" x14ac:dyDescent="0.25">
      <c r="B33" s="46" t="str">
        <f t="shared" si="0"/>
        <v/>
      </c>
      <c r="C33" s="241" t="str">
        <f>'הגבלה לסכום מבוקש (1)'!C33</f>
        <v/>
      </c>
      <c r="D33" s="434" t="str">
        <f>'הגבלה לסכום מבוקש (1)'!U33</f>
        <v/>
      </c>
      <c r="E33" s="45"/>
      <c r="F33" s="431" t="str">
        <f t="shared" si="1"/>
        <v/>
      </c>
      <c r="G33" s="435" t="str">
        <f t="shared" si="2"/>
        <v/>
      </c>
      <c r="H33" s="435" t="str">
        <f t="shared" si="3"/>
        <v/>
      </c>
      <c r="J33" s="432" t="str">
        <f>IF($C33="","",IFERROR(IF('קיזוזים- החלטות ועדה'!E33=0,0,1),0))</f>
        <v/>
      </c>
      <c r="K33" s="432" t="str">
        <f t="shared" si="4"/>
        <v/>
      </c>
      <c r="L33" s="432" t="str">
        <f t="shared" si="5"/>
        <v/>
      </c>
      <c r="M33" s="436" t="str">
        <f t="shared" si="6"/>
        <v/>
      </c>
    </row>
    <row r="34" spans="2:13" ht="39" customHeight="1" x14ac:dyDescent="0.25">
      <c r="B34" s="46">
        <f t="shared" si="0"/>
        <v>4</v>
      </c>
      <c r="C34" s="241" t="str">
        <f>'הגבלה לסכום מבוקש (1)'!C34</f>
        <v>יניב ד'אור - אנסמבל נאיה</v>
      </c>
      <c r="D34" s="434">
        <f>'הגבלה לסכום מבוקש (1)'!U34</f>
        <v>65000</v>
      </c>
      <c r="E34" s="45">
        <v>0</v>
      </c>
      <c r="F34" s="431">
        <f t="shared" si="1"/>
        <v>0</v>
      </c>
      <c r="G34" s="435">
        <f t="shared" si="2"/>
        <v>65000</v>
      </c>
      <c r="H34" s="435">
        <f t="shared" si="3"/>
        <v>65000</v>
      </c>
      <c r="J34" s="432">
        <f>IF($C34="","",IFERROR(IF('קיזוזים- החלטות ועדה'!E34=0,0,1),0))</f>
        <v>0</v>
      </c>
      <c r="K34" s="432">
        <f t="shared" si="4"/>
        <v>0</v>
      </c>
      <c r="L34" s="432">
        <f t="shared" si="5"/>
        <v>0</v>
      </c>
      <c r="M34" s="436">
        <f t="shared" si="6"/>
        <v>0</v>
      </c>
    </row>
    <row r="35" spans="2:13" ht="39" hidden="1" customHeight="1" x14ac:dyDescent="0.25">
      <c r="B35" s="46" t="str">
        <f t="shared" si="0"/>
        <v/>
      </c>
      <c r="C35" s="241" t="str">
        <f>'הגבלה לסכום מבוקש (1)'!C35</f>
        <v/>
      </c>
      <c r="D35" s="434" t="str">
        <f>'הגבלה לסכום מבוקש (1)'!U35</f>
        <v/>
      </c>
      <c r="E35" s="45"/>
      <c r="F35" s="431" t="str">
        <f t="shared" si="1"/>
        <v/>
      </c>
      <c r="G35" s="435" t="str">
        <f t="shared" si="2"/>
        <v/>
      </c>
      <c r="H35" s="435" t="str">
        <f t="shared" si="3"/>
        <v/>
      </c>
      <c r="J35" s="432" t="str">
        <f>IF($C35="","",IFERROR(IF('קיזוזים- החלטות ועדה'!E35=0,0,1),0))</f>
        <v/>
      </c>
      <c r="K35" s="432" t="str">
        <f t="shared" si="4"/>
        <v/>
      </c>
      <c r="L35" s="432" t="str">
        <f t="shared" si="5"/>
        <v/>
      </c>
      <c r="M35" s="436" t="str">
        <f t="shared" si="6"/>
        <v/>
      </c>
    </row>
    <row r="36" spans="2:13" ht="39" customHeight="1" x14ac:dyDescent="0.25">
      <c r="B36" s="46">
        <f t="shared" si="0"/>
        <v>6</v>
      </c>
      <c r="C36" s="241" t="str">
        <f>'הגבלה לסכום מבוקש (1)'!C36</f>
        <v>הפרויקט הקאמרי הישראלי</v>
      </c>
      <c r="D36" s="434">
        <f>'הגבלה לסכום מבוקש (1)'!U36</f>
        <v>85314.896794804066</v>
      </c>
      <c r="E36" s="45">
        <v>0</v>
      </c>
      <c r="F36" s="431">
        <f t="shared" si="1"/>
        <v>0</v>
      </c>
      <c r="G36" s="435">
        <f t="shared" si="2"/>
        <v>85314.896794804066</v>
      </c>
      <c r="H36" s="435">
        <f t="shared" si="3"/>
        <v>85314.896794804066</v>
      </c>
      <c r="J36" s="432">
        <f>IF($C36="","",IFERROR(IF('קיזוזים- החלטות ועדה'!E36=0,0,1),0))</f>
        <v>0</v>
      </c>
      <c r="K36" s="432">
        <f t="shared" si="4"/>
        <v>0</v>
      </c>
      <c r="L36" s="432">
        <f t="shared" si="5"/>
        <v>0</v>
      </c>
      <c r="M36" s="436">
        <f t="shared" si="6"/>
        <v>0</v>
      </c>
    </row>
    <row r="37" spans="2:13" ht="39" customHeight="1" x14ac:dyDescent="0.25">
      <c r="B37" s="46">
        <f t="shared" si="0"/>
        <v>7</v>
      </c>
      <c r="C37" s="241" t="str">
        <f>'הגבלה לסכום מבוקש (1)'!C37</f>
        <v>מארש דונדורמה</v>
      </c>
      <c r="D37" s="434">
        <f>'הגבלה לסכום מבוקש (1)'!U37</f>
        <v>130000</v>
      </c>
      <c r="E37" s="45">
        <v>0</v>
      </c>
      <c r="F37" s="431">
        <f t="shared" si="1"/>
        <v>0</v>
      </c>
      <c r="G37" s="435">
        <f t="shared" si="2"/>
        <v>130000</v>
      </c>
      <c r="H37" s="435">
        <f t="shared" si="3"/>
        <v>130000</v>
      </c>
      <c r="J37" s="432">
        <f>IF($C37="","",IFERROR(IF('קיזוזים- החלטות ועדה'!E37=0,0,1),0))</f>
        <v>0</v>
      </c>
      <c r="K37" s="432">
        <f t="shared" si="4"/>
        <v>0</v>
      </c>
      <c r="L37" s="432">
        <f t="shared" si="5"/>
        <v>0</v>
      </c>
      <c r="M37" s="436">
        <f t="shared" si="6"/>
        <v>0</v>
      </c>
    </row>
    <row r="38" spans="2:13" ht="39" customHeight="1" x14ac:dyDescent="0.25">
      <c r="B38" s="46">
        <f t="shared" si="0"/>
        <v>8</v>
      </c>
      <c r="C38" s="241" t="str">
        <f>'הגבלה לסכום מבוקש (1)'!C38</f>
        <v>להקת מורין נהדר</v>
      </c>
      <c r="D38" s="434">
        <f>'הגבלה לסכום מבוקש (1)'!U38</f>
        <v>32830.438409345188</v>
      </c>
      <c r="E38" s="45">
        <v>0</v>
      </c>
      <c r="F38" s="431">
        <f t="shared" si="1"/>
        <v>0</v>
      </c>
      <c r="G38" s="435">
        <f t="shared" si="2"/>
        <v>32830.438409345188</v>
      </c>
      <c r="H38" s="435">
        <f t="shared" si="3"/>
        <v>32830.438409345188</v>
      </c>
      <c r="J38" s="432">
        <f>IF($C38="","",IFERROR(IF('קיזוזים- החלטות ועדה'!E38=0,0,1),0))</f>
        <v>0</v>
      </c>
      <c r="K38" s="432">
        <f t="shared" si="4"/>
        <v>0</v>
      </c>
      <c r="L38" s="432">
        <f t="shared" si="5"/>
        <v>0</v>
      </c>
      <c r="M38" s="436">
        <f t="shared" si="6"/>
        <v>0</v>
      </c>
    </row>
    <row r="39" spans="2:13" ht="39" hidden="1" customHeight="1" x14ac:dyDescent="0.25">
      <c r="B39" s="46" t="str">
        <f t="shared" si="0"/>
        <v/>
      </c>
      <c r="C39" s="241" t="str">
        <f>'הגבלה לסכום מבוקש (1)'!C39</f>
        <v/>
      </c>
      <c r="D39" s="434" t="str">
        <f>'הגבלה לסכום מבוקש (1)'!U39</f>
        <v/>
      </c>
      <c r="E39" s="45"/>
      <c r="F39" s="431" t="str">
        <f t="shared" si="1"/>
        <v/>
      </c>
      <c r="G39" s="435" t="str">
        <f t="shared" si="2"/>
        <v/>
      </c>
      <c r="H39" s="435" t="str">
        <f t="shared" si="3"/>
        <v/>
      </c>
      <c r="J39" s="432" t="str">
        <f>IF($C39="","",IFERROR(IF('קיזוזים- החלטות ועדה'!E39=0,0,1),0))</f>
        <v/>
      </c>
      <c r="K39" s="432" t="str">
        <f t="shared" si="4"/>
        <v/>
      </c>
      <c r="L39" s="432" t="str">
        <f t="shared" si="5"/>
        <v/>
      </c>
      <c r="M39" s="436" t="str">
        <f t="shared" si="6"/>
        <v/>
      </c>
    </row>
    <row r="40" spans="2:13" ht="39" customHeight="1" x14ac:dyDescent="0.25">
      <c r="B40" s="46">
        <f t="shared" si="0"/>
        <v>10</v>
      </c>
      <c r="C40" s="241" t="str">
        <f>'הגבלה לסכום מבוקש (1)'!C40</f>
        <v>אנסמבל גלעד אפרת</v>
      </c>
      <c r="D40" s="434">
        <f>'הגבלה לסכום מבוקש (1)'!U40</f>
        <v>65000</v>
      </c>
      <c r="E40" s="45">
        <v>0</v>
      </c>
      <c r="F40" s="431">
        <f t="shared" si="1"/>
        <v>0</v>
      </c>
      <c r="G40" s="435">
        <f t="shared" si="2"/>
        <v>65000</v>
      </c>
      <c r="H40" s="435">
        <f t="shared" si="3"/>
        <v>65000</v>
      </c>
      <c r="J40" s="432">
        <f>IF($C40="","",IFERROR(IF('קיזוזים- החלטות ועדה'!E40=0,0,1),0))</f>
        <v>0</v>
      </c>
      <c r="K40" s="432">
        <f t="shared" si="4"/>
        <v>0</v>
      </c>
      <c r="L40" s="432">
        <f t="shared" si="5"/>
        <v>0</v>
      </c>
      <c r="M40" s="436">
        <f t="shared" si="6"/>
        <v>0</v>
      </c>
    </row>
    <row r="41" spans="2:13" ht="39" customHeight="1" x14ac:dyDescent="0.25">
      <c r="B41" s="46">
        <f t="shared" si="0"/>
        <v>11</v>
      </c>
      <c r="C41" s="241" t="str">
        <f>'הגבלה לסכום מבוקש (1)'!C41</f>
        <v>רביעיית כרמל</v>
      </c>
      <c r="D41" s="434">
        <f>'הגבלה לסכום מבוקש (1)'!U41</f>
        <v>128000</v>
      </c>
      <c r="E41" s="45">
        <v>0</v>
      </c>
      <c r="F41" s="431">
        <f t="shared" si="1"/>
        <v>0</v>
      </c>
      <c r="G41" s="435">
        <f t="shared" si="2"/>
        <v>128000</v>
      </c>
      <c r="H41" s="435">
        <f t="shared" si="3"/>
        <v>128000</v>
      </c>
      <c r="J41" s="432">
        <f>IF($C41="","",IFERROR(IF('קיזוזים- החלטות ועדה'!E41=0,0,1),0))</f>
        <v>0</v>
      </c>
      <c r="K41" s="432">
        <f t="shared" si="4"/>
        <v>0</v>
      </c>
      <c r="L41" s="432">
        <f t="shared" si="5"/>
        <v>0</v>
      </c>
      <c r="M41" s="436">
        <f t="shared" si="6"/>
        <v>0</v>
      </c>
    </row>
    <row r="42" spans="2:13" ht="39" customHeight="1" x14ac:dyDescent="0.25">
      <c r="B42" s="46">
        <f t="shared" si="0"/>
        <v>12</v>
      </c>
      <c r="C42" s="241" t="str">
        <f>'הגבלה לסכום מבוקש (1)'!C42</f>
        <v>שורולה</v>
      </c>
      <c r="D42" s="434">
        <f>'הגבלה לסכום מבוקש (1)'!U42</f>
        <v>39804.281679595137</v>
      </c>
      <c r="E42" s="45">
        <v>0</v>
      </c>
      <c r="F42" s="431">
        <f t="shared" si="1"/>
        <v>0</v>
      </c>
      <c r="G42" s="435">
        <f t="shared" si="2"/>
        <v>39804.281679595137</v>
      </c>
      <c r="H42" s="435">
        <f t="shared" si="3"/>
        <v>39804.281679595137</v>
      </c>
      <c r="J42" s="432">
        <f>IF($C42="","",IFERROR(IF('קיזוזים- החלטות ועדה'!E42=0,0,1),0))</f>
        <v>0</v>
      </c>
      <c r="K42" s="432">
        <f t="shared" si="4"/>
        <v>0</v>
      </c>
      <c r="L42" s="432">
        <f t="shared" si="5"/>
        <v>0</v>
      </c>
      <c r="M42" s="436">
        <f t="shared" si="6"/>
        <v>0</v>
      </c>
    </row>
    <row r="43" spans="2:13" ht="39" hidden="1" customHeight="1" x14ac:dyDescent="0.25">
      <c r="B43" s="46" t="str">
        <f t="shared" si="0"/>
        <v/>
      </c>
      <c r="C43" s="241" t="str">
        <f>'הגבלה לסכום מבוקש (1)'!C43</f>
        <v/>
      </c>
      <c r="D43" s="434" t="str">
        <f>'הגבלה לסכום מבוקש (1)'!U43</f>
        <v/>
      </c>
      <c r="E43" s="45"/>
      <c r="F43" s="431" t="str">
        <f t="shared" si="1"/>
        <v/>
      </c>
      <c r="G43" s="435" t="str">
        <f t="shared" si="2"/>
        <v/>
      </c>
      <c r="H43" s="435" t="str">
        <f t="shared" si="3"/>
        <v/>
      </c>
      <c r="J43" s="432" t="str">
        <f>IF($C43="","",IFERROR(IF('קיזוזים- החלטות ועדה'!E43=0,0,1),0))</f>
        <v/>
      </c>
      <c r="K43" s="432" t="str">
        <f t="shared" si="4"/>
        <v/>
      </c>
      <c r="L43" s="432" t="str">
        <f t="shared" si="5"/>
        <v/>
      </c>
      <c r="M43" s="436" t="str">
        <f t="shared" si="6"/>
        <v/>
      </c>
    </row>
    <row r="44" spans="2:13" ht="39" hidden="1" customHeight="1" x14ac:dyDescent="0.25">
      <c r="B44" s="46" t="str">
        <f t="shared" si="0"/>
        <v/>
      </c>
      <c r="C44" s="241" t="str">
        <f>'הגבלה לסכום מבוקש (1)'!C44</f>
        <v/>
      </c>
      <c r="D44" s="434" t="str">
        <f>'הגבלה לסכום מבוקש (1)'!U44</f>
        <v/>
      </c>
      <c r="E44" s="45"/>
      <c r="F44" s="431" t="str">
        <f t="shared" si="1"/>
        <v/>
      </c>
      <c r="G44" s="435" t="str">
        <f t="shared" si="2"/>
        <v/>
      </c>
      <c r="H44" s="435" t="str">
        <f t="shared" si="3"/>
        <v/>
      </c>
      <c r="J44" s="432" t="str">
        <f>IF($C44="","",IFERROR(IF('קיזוזים- החלטות ועדה'!E44=0,0,1),0))</f>
        <v/>
      </c>
      <c r="K44" s="432" t="str">
        <f t="shared" si="4"/>
        <v/>
      </c>
      <c r="L44" s="432" t="str">
        <f t="shared" si="5"/>
        <v/>
      </c>
      <c r="M44" s="436" t="str">
        <f t="shared" si="6"/>
        <v/>
      </c>
    </row>
    <row r="45" spans="2:13" ht="39" customHeight="1" x14ac:dyDescent="0.25">
      <c r="B45" s="46" t="str">
        <f t="shared" si="0"/>
        <v/>
      </c>
      <c r="C45" s="241" t="str">
        <f>'הגבלה לסכום מבוקש (1)'!C45</f>
        <v/>
      </c>
      <c r="D45" s="434" t="str">
        <f>'הגבלה לסכום מבוקש (1)'!U45</f>
        <v/>
      </c>
      <c r="E45" s="45"/>
      <c r="F45" s="431" t="str">
        <f t="shared" si="1"/>
        <v/>
      </c>
      <c r="G45" s="435" t="str">
        <f t="shared" si="2"/>
        <v/>
      </c>
      <c r="H45" s="435" t="str">
        <f t="shared" si="3"/>
        <v/>
      </c>
      <c r="J45" s="432" t="str">
        <f>IF($C45="","",IFERROR(IF('קיזוזים- החלטות ועדה'!E45=0,0,1),0))</f>
        <v/>
      </c>
      <c r="K45" s="432" t="str">
        <f t="shared" si="4"/>
        <v/>
      </c>
      <c r="L45" s="432" t="str">
        <f t="shared" si="5"/>
        <v/>
      </c>
      <c r="M45" s="436" t="str">
        <f t="shared" si="6"/>
        <v/>
      </c>
    </row>
    <row r="46" spans="2:13" ht="39" customHeight="1" x14ac:dyDescent="0.25">
      <c r="B46" s="46" t="str">
        <f t="shared" si="0"/>
        <v/>
      </c>
      <c r="C46" s="241" t="str">
        <f>'הגבלה לסכום מבוקש (1)'!C46</f>
        <v/>
      </c>
      <c r="D46" s="434" t="str">
        <f>'הגבלה לסכום מבוקש (1)'!U46</f>
        <v/>
      </c>
      <c r="E46" s="45"/>
      <c r="F46" s="431" t="str">
        <f t="shared" si="1"/>
        <v/>
      </c>
      <c r="G46" s="435" t="str">
        <f t="shared" si="2"/>
        <v/>
      </c>
      <c r="H46" s="435" t="str">
        <f t="shared" si="3"/>
        <v/>
      </c>
      <c r="J46" s="432" t="str">
        <f>IF($C46="","",IFERROR(IF('קיזוזים- החלטות ועדה'!E46=0,0,1),0))</f>
        <v/>
      </c>
      <c r="K46" s="432" t="str">
        <f t="shared" si="4"/>
        <v/>
      </c>
      <c r="L46" s="432" t="str">
        <f t="shared" si="5"/>
        <v/>
      </c>
      <c r="M46" s="436" t="str">
        <f t="shared" si="6"/>
        <v/>
      </c>
    </row>
    <row r="47" spans="2:13" ht="39" customHeight="1" x14ac:dyDescent="0.25">
      <c r="B47" s="46">
        <f t="shared" si="0"/>
        <v>17</v>
      </c>
      <c r="C47" s="241" t="str">
        <f>'הגבלה לסכום מבוקש (1)'!C47</f>
        <v>הרכב עמית פרידמן</v>
      </c>
      <c r="D47" s="434">
        <f>'הגבלה לסכום מבוקש (1)'!U47</f>
        <v>70000</v>
      </c>
      <c r="E47" s="45">
        <v>0</v>
      </c>
      <c r="F47" s="431">
        <f t="shared" si="1"/>
        <v>0</v>
      </c>
      <c r="G47" s="435">
        <f t="shared" si="2"/>
        <v>70000</v>
      </c>
      <c r="H47" s="435">
        <f t="shared" si="3"/>
        <v>70000</v>
      </c>
      <c r="J47" s="432">
        <f>IF($C47="","",IFERROR(IF('קיזוזים- החלטות ועדה'!E47=0,0,1),0))</f>
        <v>0</v>
      </c>
      <c r="K47" s="432">
        <f t="shared" si="4"/>
        <v>0</v>
      </c>
      <c r="L47" s="432">
        <f t="shared" si="5"/>
        <v>0</v>
      </c>
      <c r="M47" s="436">
        <f t="shared" si="6"/>
        <v>0</v>
      </c>
    </row>
    <row r="48" spans="2:13" ht="39" hidden="1" customHeight="1" x14ac:dyDescent="0.25">
      <c r="B48" s="46" t="str">
        <f t="shared" si="0"/>
        <v/>
      </c>
      <c r="C48" s="241" t="str">
        <f>'הגבלה לסכום מבוקש (1)'!C48</f>
        <v/>
      </c>
      <c r="D48" s="434" t="str">
        <f>'הגבלה לסכום מבוקש (1)'!U48</f>
        <v/>
      </c>
      <c r="E48" s="45"/>
      <c r="F48" s="431" t="str">
        <f t="shared" si="1"/>
        <v/>
      </c>
      <c r="G48" s="435" t="str">
        <f t="shared" si="2"/>
        <v/>
      </c>
      <c r="H48" s="435" t="str">
        <f t="shared" si="3"/>
        <v/>
      </c>
      <c r="J48" s="432" t="str">
        <f>IF($C48="","",IFERROR(IF('קיזוזים- החלטות ועדה'!E48=0,0,1),0))</f>
        <v/>
      </c>
      <c r="K48" s="432" t="str">
        <f t="shared" si="4"/>
        <v/>
      </c>
      <c r="L48" s="432" t="str">
        <f t="shared" si="5"/>
        <v/>
      </c>
      <c r="M48" s="436" t="str">
        <f t="shared" si="6"/>
        <v/>
      </c>
    </row>
    <row r="49" spans="2:13" ht="39" hidden="1" customHeight="1" x14ac:dyDescent="0.25">
      <c r="B49" s="46" t="str">
        <f t="shared" si="0"/>
        <v/>
      </c>
      <c r="C49" s="241" t="str">
        <f>'הגבלה לסכום מבוקש (1)'!C49</f>
        <v/>
      </c>
      <c r="D49" s="434" t="str">
        <f>'הגבלה לסכום מבוקש (1)'!U49</f>
        <v/>
      </c>
      <c r="E49" s="45"/>
      <c r="F49" s="431" t="str">
        <f t="shared" si="1"/>
        <v/>
      </c>
      <c r="G49" s="435" t="str">
        <f t="shared" si="2"/>
        <v/>
      </c>
      <c r="H49" s="435" t="str">
        <f t="shared" si="3"/>
        <v/>
      </c>
      <c r="J49" s="432" t="str">
        <f>IF($C49="","",IFERROR(IF('קיזוזים- החלטות ועדה'!E49=0,0,1),0))</f>
        <v/>
      </c>
      <c r="K49" s="432" t="str">
        <f t="shared" si="4"/>
        <v/>
      </c>
      <c r="L49" s="432" t="str">
        <f t="shared" si="5"/>
        <v/>
      </c>
      <c r="M49" s="436" t="str">
        <f t="shared" si="6"/>
        <v/>
      </c>
    </row>
    <row r="50" spans="2:13" ht="39" hidden="1" customHeight="1" x14ac:dyDescent="0.25">
      <c r="B50" s="46" t="str">
        <f t="shared" si="0"/>
        <v/>
      </c>
      <c r="C50" s="241" t="str">
        <f>'הגבלה לסכום מבוקש (1)'!C50</f>
        <v/>
      </c>
      <c r="D50" s="434" t="str">
        <f>'הגבלה לסכום מבוקש (1)'!U50</f>
        <v/>
      </c>
      <c r="E50" s="45"/>
      <c r="F50" s="431" t="str">
        <f t="shared" si="1"/>
        <v/>
      </c>
      <c r="G50" s="435" t="str">
        <f t="shared" si="2"/>
        <v/>
      </c>
      <c r="H50" s="435" t="str">
        <f t="shared" si="3"/>
        <v/>
      </c>
      <c r="J50" s="432" t="str">
        <f>IF($C50="","",IFERROR(IF('קיזוזים- החלטות ועדה'!E50=0,0,1),0))</f>
        <v/>
      </c>
      <c r="K50" s="432" t="str">
        <f t="shared" si="4"/>
        <v/>
      </c>
      <c r="L50" s="432" t="str">
        <f t="shared" si="5"/>
        <v/>
      </c>
      <c r="M50" s="436" t="str">
        <f t="shared" si="6"/>
        <v/>
      </c>
    </row>
    <row r="51" spans="2:13" ht="39" customHeight="1" x14ac:dyDescent="0.25">
      <c r="B51" s="46">
        <f t="shared" si="0"/>
        <v>21</v>
      </c>
      <c r="C51" s="241" t="str">
        <f>'הגבלה לסכום מבוקש (1)'!C51</f>
        <v>חמישיית תל אביב לכלי נשיפה</v>
      </c>
      <c r="D51" s="434">
        <f>'הגבלה לסכום מבוקש (1)'!U51</f>
        <v>90000</v>
      </c>
      <c r="E51" s="45">
        <v>0</v>
      </c>
      <c r="F51" s="431">
        <f t="shared" si="1"/>
        <v>0</v>
      </c>
      <c r="G51" s="435">
        <f t="shared" si="2"/>
        <v>90000</v>
      </c>
      <c r="H51" s="435">
        <f t="shared" si="3"/>
        <v>90000</v>
      </c>
      <c r="J51" s="432">
        <f>IF($C51="","",IFERROR(IF('קיזוזים- החלטות ועדה'!E51=0,0,1),0))</f>
        <v>0</v>
      </c>
      <c r="K51" s="432">
        <f t="shared" si="4"/>
        <v>0</v>
      </c>
      <c r="L51" s="432">
        <f t="shared" si="5"/>
        <v>0</v>
      </c>
      <c r="M51" s="436">
        <f t="shared" si="6"/>
        <v>0</v>
      </c>
    </row>
    <row r="52" spans="2:13" ht="39" customHeight="1" x14ac:dyDescent="0.25">
      <c r="B52" s="46">
        <f t="shared" si="0"/>
        <v>22</v>
      </c>
      <c r="C52" s="241" t="str">
        <f>'הגבלה לסכום מבוקש (1)'!C52</f>
        <v>הרכב אקוט</v>
      </c>
      <c r="D52" s="434">
        <f>'הגבלה לסכום מבוקש (1)'!U52</f>
        <v>120000</v>
      </c>
      <c r="E52" s="45">
        <v>0</v>
      </c>
      <c r="F52" s="431">
        <f t="shared" si="1"/>
        <v>0</v>
      </c>
      <c r="G52" s="435">
        <f t="shared" si="2"/>
        <v>120000</v>
      </c>
      <c r="H52" s="435">
        <f t="shared" si="3"/>
        <v>120000</v>
      </c>
      <c r="J52" s="432">
        <f>IF($C52="","",IFERROR(IF('קיזוזים- החלטות ועדה'!E52=0,0,1),0))</f>
        <v>0</v>
      </c>
      <c r="K52" s="432">
        <f t="shared" si="4"/>
        <v>0</v>
      </c>
      <c r="L52" s="432">
        <f t="shared" si="5"/>
        <v>0</v>
      </c>
      <c r="M52" s="436">
        <f t="shared" si="6"/>
        <v>0</v>
      </c>
    </row>
    <row r="53" spans="2:13" ht="39" customHeight="1" x14ac:dyDescent="0.25">
      <c r="B53" s="46">
        <f t="shared" si="0"/>
        <v>23</v>
      </c>
      <c r="C53" s="241" t="str">
        <f>'הגבלה לסכום מבוקש (1)'!C53</f>
        <v>שלישיית עתר</v>
      </c>
      <c r="D53" s="434">
        <f>'הגבלה לסכום מבוקש (1)'!U53</f>
        <v>75000</v>
      </c>
      <c r="E53" s="45">
        <v>0</v>
      </c>
      <c r="F53" s="431">
        <f t="shared" si="1"/>
        <v>0</v>
      </c>
      <c r="G53" s="435">
        <f t="shared" si="2"/>
        <v>75000</v>
      </c>
      <c r="H53" s="435">
        <f t="shared" si="3"/>
        <v>75000</v>
      </c>
      <c r="J53" s="432">
        <f>IF($C53="","",IFERROR(IF('קיזוזים- החלטות ועדה'!E53=0,0,1),0))</f>
        <v>0</v>
      </c>
      <c r="K53" s="432">
        <f t="shared" si="4"/>
        <v>0</v>
      </c>
      <c r="L53" s="432">
        <f t="shared" si="5"/>
        <v>0</v>
      </c>
      <c r="M53" s="436">
        <f t="shared" si="6"/>
        <v>0</v>
      </c>
    </row>
    <row r="54" spans="2:13" ht="39" customHeight="1" x14ac:dyDescent="0.25">
      <c r="B54" s="46" t="str">
        <f t="shared" si="0"/>
        <v/>
      </c>
      <c r="C54" s="241" t="str">
        <f>'הגבלה לסכום מבוקש (1)'!C54</f>
        <v/>
      </c>
      <c r="D54" s="434" t="str">
        <f>'הגבלה לסכום מבוקש (1)'!U54</f>
        <v/>
      </c>
      <c r="E54" s="45"/>
      <c r="F54" s="431" t="str">
        <f t="shared" si="1"/>
        <v/>
      </c>
      <c r="G54" s="435" t="str">
        <f t="shared" si="2"/>
        <v/>
      </c>
      <c r="H54" s="435" t="str">
        <f t="shared" si="3"/>
        <v/>
      </c>
      <c r="J54" s="432" t="str">
        <f>IF($C54="","",IFERROR(IF('קיזוזים- החלטות ועדה'!E54=0,0,1),0))</f>
        <v/>
      </c>
      <c r="K54" s="432" t="str">
        <f t="shared" si="4"/>
        <v/>
      </c>
      <c r="L54" s="432" t="str">
        <f t="shared" si="5"/>
        <v/>
      </c>
      <c r="M54" s="436" t="str">
        <f t="shared" si="6"/>
        <v/>
      </c>
    </row>
    <row r="55" spans="2:13" ht="39" hidden="1" customHeight="1" x14ac:dyDescent="0.25">
      <c r="B55" s="46" t="str">
        <f t="shared" si="0"/>
        <v/>
      </c>
      <c r="C55" s="241" t="str">
        <f>'הגבלה לסכום מבוקש (1)'!C55</f>
        <v/>
      </c>
      <c r="D55" s="434" t="str">
        <f>'הגבלה לסכום מבוקש (1)'!U55</f>
        <v/>
      </c>
      <c r="E55" s="45"/>
      <c r="F55" s="431" t="str">
        <f t="shared" si="1"/>
        <v/>
      </c>
      <c r="G55" s="435" t="str">
        <f t="shared" si="2"/>
        <v/>
      </c>
      <c r="H55" s="435" t="str">
        <f t="shared" si="3"/>
        <v/>
      </c>
      <c r="J55" s="432" t="str">
        <f>IF($C55="","",IFERROR(IF('קיזוזים- החלטות ועדה'!E55=0,0,1),0))</f>
        <v/>
      </c>
      <c r="K55" s="432" t="str">
        <f t="shared" si="4"/>
        <v/>
      </c>
      <c r="L55" s="432" t="str">
        <f t="shared" si="5"/>
        <v/>
      </c>
      <c r="M55" s="436" t="str">
        <f t="shared" si="6"/>
        <v/>
      </c>
    </row>
    <row r="56" spans="2:13" ht="39" customHeight="1" x14ac:dyDescent="0.25">
      <c r="B56" s="46">
        <f t="shared" si="0"/>
        <v>26</v>
      </c>
      <c r="C56" s="241" t="str">
        <f>'הגבלה לסכום מבוקש (1)'!C56</f>
        <v>אנסמבל מצו</v>
      </c>
      <c r="D56" s="434">
        <f>'הגבלה לסכום מבוקש (1)'!U56</f>
        <v>94996.732183776636</v>
      </c>
      <c r="E56" s="45">
        <v>0</v>
      </c>
      <c r="F56" s="431">
        <f t="shared" si="1"/>
        <v>0</v>
      </c>
      <c r="G56" s="435">
        <f t="shared" si="2"/>
        <v>94996.732183776636</v>
      </c>
      <c r="H56" s="435">
        <f t="shared" si="3"/>
        <v>94996.732183776636</v>
      </c>
      <c r="J56" s="432">
        <f>IF($C56="","",IFERROR(IF('קיזוזים- החלטות ועדה'!E56=0,0,1),0))</f>
        <v>0</v>
      </c>
      <c r="K56" s="432">
        <f t="shared" si="4"/>
        <v>0</v>
      </c>
      <c r="L56" s="432">
        <f t="shared" si="5"/>
        <v>0</v>
      </c>
      <c r="M56" s="436">
        <f t="shared" si="6"/>
        <v>0</v>
      </c>
    </row>
    <row r="57" spans="2:13" ht="39" customHeight="1" x14ac:dyDescent="0.25">
      <c r="B57" s="46" t="str">
        <f t="shared" si="0"/>
        <v/>
      </c>
      <c r="C57" s="241" t="str">
        <f>'הגבלה לסכום מבוקש (1)'!C57</f>
        <v/>
      </c>
      <c r="D57" s="434" t="str">
        <f>'הגבלה לסכום מבוקש (1)'!U57</f>
        <v/>
      </c>
      <c r="E57" s="45"/>
      <c r="F57" s="431" t="str">
        <f t="shared" si="1"/>
        <v/>
      </c>
      <c r="G57" s="435" t="str">
        <f t="shared" si="2"/>
        <v/>
      </c>
      <c r="H57" s="435" t="str">
        <f t="shared" si="3"/>
        <v/>
      </c>
      <c r="J57" s="432" t="str">
        <f>IF($C57="","",IFERROR(IF('קיזוזים- החלטות ועדה'!E57=0,0,1),0))</f>
        <v/>
      </c>
      <c r="K57" s="432" t="str">
        <f t="shared" si="4"/>
        <v/>
      </c>
      <c r="L57" s="432" t="str">
        <f t="shared" si="5"/>
        <v/>
      </c>
      <c r="M57" s="436" t="str">
        <f t="shared" si="6"/>
        <v/>
      </c>
    </row>
    <row r="58" spans="2:13" ht="39" customHeight="1" x14ac:dyDescent="0.25">
      <c r="B58" s="46">
        <f t="shared" si="0"/>
        <v>28</v>
      </c>
      <c r="C58" s="241" t="str">
        <f>'הגבלה לסכום מבוקש (1)'!C58</f>
        <v>תמיכה שותפת- קבוצת מוסיקה נובה</v>
      </c>
      <c r="D58" s="434">
        <f>'הגבלה לסכום מבוקש (1)'!U58</f>
        <v>90285.497612872961</v>
      </c>
      <c r="E58" s="45">
        <v>0</v>
      </c>
      <c r="F58" s="431">
        <f t="shared" si="1"/>
        <v>0</v>
      </c>
      <c r="G58" s="435">
        <f t="shared" si="2"/>
        <v>90285.497612872961</v>
      </c>
      <c r="H58" s="435">
        <f t="shared" si="3"/>
        <v>90285.497612872961</v>
      </c>
      <c r="J58" s="432">
        <f>IF($C58="","",IFERROR(IF('קיזוזים- החלטות ועדה'!E58=0,0,1),0))</f>
        <v>0</v>
      </c>
      <c r="K58" s="432">
        <f t="shared" si="4"/>
        <v>0</v>
      </c>
      <c r="L58" s="432">
        <f t="shared" si="5"/>
        <v>0</v>
      </c>
      <c r="M58" s="436">
        <f t="shared" si="6"/>
        <v>0</v>
      </c>
    </row>
    <row r="59" spans="2:13" ht="39" hidden="1" customHeight="1" x14ac:dyDescent="0.25">
      <c r="B59" s="46" t="str">
        <f t="shared" si="0"/>
        <v/>
      </c>
      <c r="C59" s="241" t="str">
        <f>'הגבלה לסכום מבוקש (1)'!C59</f>
        <v/>
      </c>
      <c r="D59" s="434" t="str">
        <f>'הגבלה לסכום מבוקש (1)'!U59</f>
        <v/>
      </c>
      <c r="E59" s="45"/>
      <c r="F59" s="431" t="str">
        <f t="shared" si="1"/>
        <v/>
      </c>
      <c r="G59" s="435" t="str">
        <f t="shared" si="2"/>
        <v/>
      </c>
      <c r="H59" s="435" t="str">
        <f t="shared" si="3"/>
        <v/>
      </c>
      <c r="J59" s="432" t="str">
        <f>IF($C59="","",IFERROR(IF('קיזוזים- החלטות ועדה'!E59=0,0,1),0))</f>
        <v/>
      </c>
      <c r="K59" s="432" t="str">
        <f t="shared" si="4"/>
        <v/>
      </c>
      <c r="L59" s="432" t="str">
        <f t="shared" si="5"/>
        <v/>
      </c>
      <c r="M59" s="436" t="str">
        <f t="shared" si="6"/>
        <v/>
      </c>
    </row>
    <row r="60" spans="2:13" ht="39" hidden="1" customHeight="1" x14ac:dyDescent="0.25">
      <c r="B60" s="46" t="str">
        <f t="shared" si="0"/>
        <v/>
      </c>
      <c r="C60" s="241" t="str">
        <f>'הגבלה לסכום מבוקש (1)'!C60</f>
        <v/>
      </c>
      <c r="D60" s="434" t="str">
        <f>'הגבלה לסכום מבוקש (1)'!U60</f>
        <v/>
      </c>
      <c r="E60" s="45"/>
      <c r="F60" s="431" t="str">
        <f t="shared" si="1"/>
        <v/>
      </c>
      <c r="G60" s="435" t="str">
        <f t="shared" si="2"/>
        <v/>
      </c>
      <c r="H60" s="435" t="str">
        <f t="shared" si="3"/>
        <v/>
      </c>
      <c r="J60" s="432" t="str">
        <f>IF($C60="","",IFERROR(IF('קיזוזים- החלטות ועדה'!E60=0,0,1),0))</f>
        <v/>
      </c>
      <c r="K60" s="432" t="str">
        <f t="shared" si="4"/>
        <v/>
      </c>
      <c r="L60" s="432" t="str">
        <f t="shared" si="5"/>
        <v/>
      </c>
      <c r="M60" s="436" t="str">
        <f t="shared" si="6"/>
        <v/>
      </c>
    </row>
    <row r="61" spans="2:13" ht="39" hidden="1" customHeight="1" x14ac:dyDescent="0.25">
      <c r="B61" s="46" t="str">
        <f t="shared" si="0"/>
        <v/>
      </c>
      <c r="C61" s="241" t="str">
        <f>'הגבלה לסכום מבוקש (1)'!C61</f>
        <v/>
      </c>
      <c r="D61" s="434" t="str">
        <f>'הגבלה לסכום מבוקש (1)'!U61</f>
        <v/>
      </c>
      <c r="E61" s="45"/>
      <c r="F61" s="431" t="str">
        <f t="shared" si="1"/>
        <v/>
      </c>
      <c r="G61" s="435" t="str">
        <f t="shared" si="2"/>
        <v/>
      </c>
      <c r="H61" s="435" t="str">
        <f t="shared" si="3"/>
        <v/>
      </c>
      <c r="J61" s="432" t="str">
        <f>IF($C61="","",IFERROR(IF('קיזוזים- החלטות ועדה'!E61=0,0,1),0))</f>
        <v/>
      </c>
      <c r="K61" s="432" t="str">
        <f t="shared" si="4"/>
        <v/>
      </c>
      <c r="L61" s="432" t="str">
        <f t="shared" si="5"/>
        <v/>
      </c>
      <c r="M61" s="436" t="str">
        <f t="shared" si="6"/>
        <v/>
      </c>
    </row>
    <row r="62" spans="2:13" ht="39" hidden="1" customHeight="1" x14ac:dyDescent="0.25">
      <c r="B62" s="46" t="str">
        <f t="shared" si="0"/>
        <v/>
      </c>
      <c r="C62" s="241" t="str">
        <f>'הגבלה לסכום מבוקש (1)'!C62</f>
        <v/>
      </c>
      <c r="D62" s="434" t="str">
        <f>'הגבלה לסכום מבוקש (1)'!U62</f>
        <v/>
      </c>
      <c r="E62" s="45"/>
      <c r="F62" s="431" t="str">
        <f t="shared" si="1"/>
        <v/>
      </c>
      <c r="G62" s="435" t="str">
        <f t="shared" si="2"/>
        <v/>
      </c>
      <c r="H62" s="435" t="str">
        <f t="shared" si="3"/>
        <v/>
      </c>
      <c r="J62" s="432" t="str">
        <f>IF($C62="","",IFERROR(IF('קיזוזים- החלטות ועדה'!E62=0,0,1),0))</f>
        <v/>
      </c>
      <c r="K62" s="432" t="str">
        <f t="shared" si="4"/>
        <v/>
      </c>
      <c r="L62" s="432" t="str">
        <f t="shared" si="5"/>
        <v/>
      </c>
      <c r="M62" s="436" t="str">
        <f t="shared" si="6"/>
        <v/>
      </c>
    </row>
    <row r="63" spans="2:13" ht="39" hidden="1" customHeight="1" x14ac:dyDescent="0.25">
      <c r="B63" s="46" t="str">
        <f t="shared" si="0"/>
        <v/>
      </c>
      <c r="C63" s="241" t="str">
        <f>'הגבלה לסכום מבוקש (1)'!C63</f>
        <v/>
      </c>
      <c r="D63" s="434" t="str">
        <f>'הגבלה לסכום מבוקש (1)'!U63</f>
        <v/>
      </c>
      <c r="E63" s="45"/>
      <c r="F63" s="431" t="str">
        <f t="shared" si="1"/>
        <v/>
      </c>
      <c r="G63" s="435" t="str">
        <f t="shared" si="2"/>
        <v/>
      </c>
      <c r="H63" s="435" t="str">
        <f t="shared" si="3"/>
        <v/>
      </c>
      <c r="J63" s="432" t="str">
        <f>IF($C63="","",IFERROR(IF('קיזוזים- החלטות ועדה'!E63=0,0,1),0))</f>
        <v/>
      </c>
      <c r="K63" s="432" t="str">
        <f t="shared" si="4"/>
        <v/>
      </c>
      <c r="L63" s="432" t="str">
        <f t="shared" si="5"/>
        <v/>
      </c>
      <c r="M63" s="436" t="str">
        <f t="shared" si="6"/>
        <v/>
      </c>
    </row>
    <row r="64" spans="2:13" ht="39" hidden="1" customHeight="1" x14ac:dyDescent="0.25">
      <c r="B64" s="46" t="str">
        <f t="shared" si="0"/>
        <v/>
      </c>
      <c r="C64" s="241" t="str">
        <f>'הגבלה לסכום מבוקש (1)'!C64</f>
        <v/>
      </c>
      <c r="D64" s="434" t="str">
        <f>'הגבלה לסכום מבוקש (1)'!U64</f>
        <v/>
      </c>
      <c r="E64" s="45"/>
      <c r="F64" s="431" t="str">
        <f t="shared" si="1"/>
        <v/>
      </c>
      <c r="G64" s="435" t="str">
        <f t="shared" si="2"/>
        <v/>
      </c>
      <c r="H64" s="435" t="str">
        <f t="shared" si="3"/>
        <v/>
      </c>
      <c r="J64" s="432" t="str">
        <f>IF($C64="","",IFERROR(IF('קיזוזים- החלטות ועדה'!E64=0,0,1),0))</f>
        <v/>
      </c>
      <c r="K64" s="432" t="str">
        <f t="shared" si="4"/>
        <v/>
      </c>
      <c r="L64" s="432" t="str">
        <f t="shared" si="5"/>
        <v/>
      </c>
      <c r="M64" s="436" t="str">
        <f t="shared" si="6"/>
        <v/>
      </c>
    </row>
    <row r="65" spans="2:13" ht="39" customHeight="1" x14ac:dyDescent="0.25">
      <c r="B65" s="46">
        <f t="shared" si="0"/>
        <v>35</v>
      </c>
      <c r="C65" s="241" t="str">
        <f>'הגבלה לסכום מבוקש (1)'!C65</f>
        <v>אנסמבל מיתר</v>
      </c>
      <c r="D65" s="434">
        <f>'הגבלה לסכום מבוקש (1)'!U65</f>
        <v>210804.2648913592</v>
      </c>
      <c r="E65" s="45">
        <v>0</v>
      </c>
      <c r="F65" s="431">
        <f t="shared" si="1"/>
        <v>0</v>
      </c>
      <c r="G65" s="435">
        <f t="shared" si="2"/>
        <v>210804.2648913592</v>
      </c>
      <c r="H65" s="435">
        <f t="shared" si="3"/>
        <v>210804.2648913592</v>
      </c>
      <c r="J65" s="432">
        <f>IF($C65="","",IFERROR(IF('קיזוזים- החלטות ועדה'!E65=0,0,1),0))</f>
        <v>0</v>
      </c>
      <c r="K65" s="432">
        <f t="shared" si="4"/>
        <v>0</v>
      </c>
      <c r="L65" s="432">
        <f t="shared" si="5"/>
        <v>0</v>
      </c>
      <c r="M65" s="436">
        <f t="shared" si="6"/>
        <v>0</v>
      </c>
    </row>
    <row r="66" spans="2:13" ht="39" hidden="1" customHeight="1" x14ac:dyDescent="0.25">
      <c r="B66" s="46" t="str">
        <f t="shared" si="0"/>
        <v/>
      </c>
      <c r="C66" s="241" t="str">
        <f>'הגבלה לסכום מבוקש (1)'!C66</f>
        <v/>
      </c>
      <c r="D66" s="434" t="str">
        <f>'הגבלה לסכום מבוקש (1)'!U66</f>
        <v/>
      </c>
      <c r="E66" s="45"/>
      <c r="F66" s="431" t="str">
        <f t="shared" si="1"/>
        <v/>
      </c>
      <c r="G66" s="435" t="str">
        <f t="shared" si="2"/>
        <v/>
      </c>
      <c r="H66" s="435" t="str">
        <f t="shared" si="3"/>
        <v/>
      </c>
      <c r="J66" s="432" t="str">
        <f>IF($C66="","",IFERROR(IF('קיזוזים- החלטות ועדה'!E66=0,0,1),0))</f>
        <v/>
      </c>
      <c r="K66" s="432" t="str">
        <f t="shared" si="4"/>
        <v/>
      </c>
      <c r="L66" s="432" t="str">
        <f t="shared" si="5"/>
        <v/>
      </c>
      <c r="M66" s="436" t="str">
        <f t="shared" si="6"/>
        <v/>
      </c>
    </row>
    <row r="67" spans="2:13" ht="39" customHeight="1" x14ac:dyDescent="0.25">
      <c r="B67" s="46">
        <f t="shared" si="0"/>
        <v>37</v>
      </c>
      <c r="C67" s="241" t="str">
        <f>'הגבלה לסכום מבוקש (1)'!C67</f>
        <v>אנסמבל ארז נטף</v>
      </c>
      <c r="D67" s="434">
        <f>'הגבלה לסכום מבוקש (1)'!U67</f>
        <v>85000</v>
      </c>
      <c r="E67" s="45">
        <v>0</v>
      </c>
      <c r="F67" s="431">
        <f t="shared" si="1"/>
        <v>0</v>
      </c>
      <c r="G67" s="435">
        <f t="shared" si="2"/>
        <v>85000</v>
      </c>
      <c r="H67" s="435">
        <f t="shared" si="3"/>
        <v>85000</v>
      </c>
      <c r="J67" s="432">
        <f>IF($C67="","",IFERROR(IF('קיזוזים- החלטות ועדה'!E67=0,0,1),0))</f>
        <v>0</v>
      </c>
      <c r="K67" s="432">
        <f t="shared" si="4"/>
        <v>0</v>
      </c>
      <c r="L67" s="432">
        <f t="shared" si="5"/>
        <v>0</v>
      </c>
      <c r="M67" s="436">
        <f t="shared" si="6"/>
        <v>0</v>
      </c>
    </row>
    <row r="68" spans="2:13" ht="39" hidden="1" customHeight="1" x14ac:dyDescent="0.25">
      <c r="B68" s="46" t="str">
        <f t="shared" si="0"/>
        <v/>
      </c>
      <c r="C68" s="241" t="str">
        <f>'הגבלה לסכום מבוקש (1)'!C68</f>
        <v/>
      </c>
      <c r="D68" s="434" t="str">
        <f>'הגבלה לסכום מבוקש (1)'!U68</f>
        <v/>
      </c>
      <c r="E68" s="45"/>
      <c r="F68" s="431" t="str">
        <f t="shared" si="1"/>
        <v/>
      </c>
      <c r="G68" s="435" t="str">
        <f t="shared" si="2"/>
        <v/>
      </c>
      <c r="H68" s="435" t="str">
        <f t="shared" si="3"/>
        <v/>
      </c>
      <c r="J68" s="432" t="str">
        <f>IF($C68="","",IFERROR(IF('קיזוזים- החלטות ועדה'!E68=0,0,1),0))</f>
        <v/>
      </c>
      <c r="K68" s="432" t="str">
        <f t="shared" si="4"/>
        <v/>
      </c>
      <c r="L68" s="432" t="str">
        <f t="shared" si="5"/>
        <v/>
      </c>
      <c r="M68" s="436" t="str">
        <f t="shared" si="6"/>
        <v/>
      </c>
    </row>
    <row r="69" spans="2:13" ht="39" hidden="1" customHeight="1" x14ac:dyDescent="0.25">
      <c r="B69" s="46" t="str">
        <f t="shared" si="0"/>
        <v/>
      </c>
      <c r="C69" s="241" t="str">
        <f>'הגבלה לסכום מבוקש (1)'!C69</f>
        <v/>
      </c>
      <c r="D69" s="434" t="str">
        <f>'הגבלה לסכום מבוקש (1)'!U69</f>
        <v/>
      </c>
      <c r="E69" s="45"/>
      <c r="F69" s="431" t="str">
        <f t="shared" si="1"/>
        <v/>
      </c>
      <c r="G69" s="435" t="str">
        <f t="shared" si="2"/>
        <v/>
      </c>
      <c r="H69" s="435" t="str">
        <f t="shared" si="3"/>
        <v/>
      </c>
      <c r="J69" s="432" t="str">
        <f>IF($C69="","",IFERROR(IF('קיזוזים- החלטות ועדה'!E69=0,0,1),0))</f>
        <v/>
      </c>
      <c r="K69" s="432" t="str">
        <f t="shared" si="4"/>
        <v/>
      </c>
      <c r="L69" s="432" t="str">
        <f t="shared" si="5"/>
        <v/>
      </c>
      <c r="M69" s="436" t="str">
        <f t="shared" si="6"/>
        <v/>
      </c>
    </row>
    <row r="70" spans="2:13" ht="39" customHeight="1" x14ac:dyDescent="0.25">
      <c r="B70" s="46">
        <f t="shared" si="0"/>
        <v>40</v>
      </c>
      <c r="C70" s="241" t="str">
        <f>'הגבלה לסכום מבוקש (1)'!C70</f>
        <v>תו המשווה (ע"ר)</v>
      </c>
      <c r="D70" s="434">
        <f>'הגבלה לסכום מבוקש (1)'!U70</f>
        <v>114404.20944372902</v>
      </c>
      <c r="E70" s="45">
        <v>0</v>
      </c>
      <c r="F70" s="431">
        <f t="shared" si="1"/>
        <v>0</v>
      </c>
      <c r="G70" s="435">
        <f t="shared" si="2"/>
        <v>114404.20944372902</v>
      </c>
      <c r="H70" s="435">
        <f t="shared" si="3"/>
        <v>114404.20944372902</v>
      </c>
      <c r="J70" s="432">
        <f>IF($C70="","",IFERROR(IF('קיזוזים- החלטות ועדה'!E70=0,0,1),0))</f>
        <v>0</v>
      </c>
      <c r="K70" s="432">
        <f t="shared" si="4"/>
        <v>0</v>
      </c>
      <c r="L70" s="432">
        <f t="shared" si="5"/>
        <v>0</v>
      </c>
      <c r="M70" s="436">
        <f t="shared" si="6"/>
        <v>0</v>
      </c>
    </row>
    <row r="71" spans="2:13" ht="39" hidden="1" customHeight="1" x14ac:dyDescent="0.25">
      <c r="B71" s="46" t="str">
        <f t="shared" si="0"/>
        <v/>
      </c>
      <c r="C71" s="241" t="str">
        <f>'הגבלה לסכום מבוקש (1)'!C71</f>
        <v/>
      </c>
      <c r="D71" s="434" t="str">
        <f>'הגבלה לסכום מבוקש (1)'!U71</f>
        <v/>
      </c>
      <c r="E71" s="45"/>
      <c r="F71" s="431" t="str">
        <f t="shared" si="1"/>
        <v/>
      </c>
      <c r="G71" s="435" t="str">
        <f t="shared" si="2"/>
        <v/>
      </c>
      <c r="H71" s="435" t="str">
        <f t="shared" si="3"/>
        <v/>
      </c>
      <c r="J71" s="432" t="str">
        <f>IF($C71="","",IFERROR(IF('קיזוזים- החלטות ועדה'!E71=0,0,1),0))</f>
        <v/>
      </c>
      <c r="K71" s="432" t="str">
        <f t="shared" si="4"/>
        <v/>
      </c>
      <c r="L71" s="432" t="str">
        <f t="shared" si="5"/>
        <v/>
      </c>
      <c r="M71" s="436" t="str">
        <f t="shared" si="6"/>
        <v/>
      </c>
    </row>
    <row r="72" spans="2:13" ht="39" hidden="1" customHeight="1" x14ac:dyDescent="0.25">
      <c r="B72" s="46" t="str">
        <f t="shared" si="0"/>
        <v/>
      </c>
      <c r="C72" s="241" t="str">
        <f>'הגבלה לסכום מבוקש (1)'!C72</f>
        <v/>
      </c>
      <c r="D72" s="434" t="str">
        <f>'הגבלה לסכום מבוקש (1)'!U72</f>
        <v/>
      </c>
      <c r="E72" s="45"/>
      <c r="F72" s="431" t="str">
        <f t="shared" si="1"/>
        <v/>
      </c>
      <c r="G72" s="435" t="str">
        <f t="shared" si="2"/>
        <v/>
      </c>
      <c r="H72" s="435" t="str">
        <f t="shared" si="3"/>
        <v/>
      </c>
      <c r="J72" s="432" t="str">
        <f>IF($C72="","",IFERROR(IF('קיזוזים- החלטות ועדה'!E72=0,0,1),0))</f>
        <v/>
      </c>
      <c r="K72" s="432" t="str">
        <f t="shared" si="4"/>
        <v/>
      </c>
      <c r="L72" s="432" t="str">
        <f t="shared" si="5"/>
        <v/>
      </c>
      <c r="M72" s="436" t="str">
        <f t="shared" si="6"/>
        <v/>
      </c>
    </row>
    <row r="73" spans="2:13" ht="39" customHeight="1" x14ac:dyDescent="0.25">
      <c r="B73" s="46">
        <f t="shared" si="0"/>
        <v>43</v>
      </c>
      <c r="C73" s="241" t="str">
        <f>'הגבלה לסכום מבוקש (1)'!C73</f>
        <v>בר קיימא ואקלקוטנטקט</v>
      </c>
      <c r="D73" s="434">
        <f>'הגבלה לסכום מבוקש (1)'!U73</f>
        <v>134079.05030349543</v>
      </c>
      <c r="E73" s="45">
        <v>0</v>
      </c>
      <c r="F73" s="431">
        <f t="shared" si="1"/>
        <v>0</v>
      </c>
      <c r="G73" s="435">
        <f t="shared" si="2"/>
        <v>134079.05030349543</v>
      </c>
      <c r="H73" s="435">
        <f t="shared" si="3"/>
        <v>134079.05030349543</v>
      </c>
      <c r="J73" s="432">
        <f>IF($C73="","",IFERROR(IF('קיזוזים- החלטות ועדה'!E73=0,0,1),0))</f>
        <v>0</v>
      </c>
      <c r="K73" s="432">
        <f t="shared" si="4"/>
        <v>0</v>
      </c>
      <c r="L73" s="432">
        <f t="shared" si="5"/>
        <v>0</v>
      </c>
      <c r="M73" s="436">
        <f t="shared" si="6"/>
        <v>0</v>
      </c>
    </row>
    <row r="74" spans="2:13" ht="39" hidden="1" customHeight="1" x14ac:dyDescent="0.25">
      <c r="B74" s="46" t="str">
        <f t="shared" si="0"/>
        <v/>
      </c>
      <c r="C74" s="241" t="str">
        <f>'הגבלה לסכום מבוקש (1)'!C74</f>
        <v/>
      </c>
      <c r="D74" s="434" t="str">
        <f>'הגבלה לסכום מבוקש (1)'!U74</f>
        <v/>
      </c>
      <c r="E74" s="45"/>
      <c r="F74" s="431" t="str">
        <f t="shared" si="1"/>
        <v/>
      </c>
      <c r="G74" s="435" t="str">
        <f t="shared" si="2"/>
        <v/>
      </c>
      <c r="H74" s="435" t="str">
        <f t="shared" si="3"/>
        <v/>
      </c>
      <c r="J74" s="432" t="str">
        <f>IF($C74="","",IFERROR(IF('קיזוזים- החלטות ועדה'!E74=0,0,1),0))</f>
        <v/>
      </c>
      <c r="K74" s="432" t="str">
        <f t="shared" si="4"/>
        <v/>
      </c>
      <c r="L74" s="432" t="str">
        <f t="shared" si="5"/>
        <v/>
      </c>
      <c r="M74" s="436" t="str">
        <f t="shared" si="6"/>
        <v/>
      </c>
    </row>
    <row r="75" spans="2:13" ht="39" customHeight="1" x14ac:dyDescent="0.25">
      <c r="B75" s="46">
        <f t="shared" si="0"/>
        <v>45</v>
      </c>
      <c r="C75" s="241" t="str">
        <f>'הגבלה לסכום מבוקש (1)'!C75</f>
        <v>אלקאת התזמורת התימנית</v>
      </c>
      <c r="D75" s="434">
        <f>'הגבלה לסכום מבוקש (1)'!U75</f>
        <v>71593.155601257778</v>
      </c>
      <c r="E75" s="45">
        <v>0</v>
      </c>
      <c r="F75" s="431">
        <f t="shared" si="1"/>
        <v>0</v>
      </c>
      <c r="G75" s="435">
        <f t="shared" si="2"/>
        <v>71593.155601257778</v>
      </c>
      <c r="H75" s="435">
        <f t="shared" si="3"/>
        <v>71593.155601257778</v>
      </c>
      <c r="J75" s="432">
        <f>IF($C75="","",IFERROR(IF('קיזוזים- החלטות ועדה'!E75=0,0,1),0))</f>
        <v>0</v>
      </c>
      <c r="K75" s="432">
        <f t="shared" si="4"/>
        <v>0</v>
      </c>
      <c r="L75" s="432">
        <f t="shared" si="5"/>
        <v>0</v>
      </c>
      <c r="M75" s="436">
        <f t="shared" si="6"/>
        <v>0</v>
      </c>
    </row>
    <row r="76" spans="2:13" ht="39" hidden="1" customHeight="1" x14ac:dyDescent="0.25">
      <c r="B76" s="46" t="str">
        <f t="shared" si="0"/>
        <v/>
      </c>
      <c r="C76" s="241" t="str">
        <f>'הגבלה לסכום מבוקש (1)'!C76</f>
        <v/>
      </c>
      <c r="D76" s="434" t="str">
        <f>'הגבלה לסכום מבוקש (1)'!U76</f>
        <v/>
      </c>
      <c r="E76" s="45"/>
      <c r="F76" s="431" t="str">
        <f t="shared" si="1"/>
        <v/>
      </c>
      <c r="G76" s="435" t="str">
        <f t="shared" si="2"/>
        <v/>
      </c>
      <c r="H76" s="435" t="str">
        <f t="shared" si="3"/>
        <v/>
      </c>
      <c r="J76" s="432" t="str">
        <f>IF($C76="","",IFERROR(IF('קיזוזים- החלטות ועדה'!E76=0,0,1),0))</f>
        <v/>
      </c>
      <c r="K76" s="432" t="str">
        <f t="shared" si="4"/>
        <v/>
      </c>
      <c r="L76" s="432" t="str">
        <f t="shared" si="5"/>
        <v/>
      </c>
      <c r="M76" s="436" t="str">
        <f t="shared" si="6"/>
        <v/>
      </c>
    </row>
    <row r="77" spans="2:13" ht="39" hidden="1" customHeight="1" x14ac:dyDescent="0.25">
      <c r="B77" s="46" t="str">
        <f t="shared" si="0"/>
        <v/>
      </c>
      <c r="C77" s="241" t="str">
        <f>'הגבלה לסכום מבוקש (1)'!C77</f>
        <v/>
      </c>
      <c r="D77" s="434" t="str">
        <f>'הגבלה לסכום מבוקש (1)'!U77</f>
        <v/>
      </c>
      <c r="E77" s="45"/>
      <c r="F77" s="431" t="str">
        <f t="shared" si="1"/>
        <v/>
      </c>
      <c r="G77" s="435" t="str">
        <f t="shared" si="2"/>
        <v/>
      </c>
      <c r="H77" s="435" t="str">
        <f t="shared" si="3"/>
        <v/>
      </c>
      <c r="J77" s="432" t="str">
        <f>IF($C77="","",IFERROR(IF('קיזוזים- החלטות ועדה'!E77=0,0,1),0))</f>
        <v/>
      </c>
      <c r="K77" s="432" t="str">
        <f t="shared" si="4"/>
        <v/>
      </c>
      <c r="L77" s="432" t="str">
        <f t="shared" si="5"/>
        <v/>
      </c>
      <c r="M77" s="436" t="str">
        <f t="shared" si="6"/>
        <v/>
      </c>
    </row>
    <row r="78" spans="2:13" ht="39" customHeight="1" x14ac:dyDescent="0.25">
      <c r="B78" s="46">
        <f t="shared" si="0"/>
        <v>48</v>
      </c>
      <c r="C78" s="241" t="str">
        <f>'הגבלה לסכום מבוקש (1)'!C78</f>
        <v>גיא מינטוס- טריו</v>
      </c>
      <c r="D78" s="434">
        <f>'הגבלה לסכום מבוקש (1)'!U78</f>
        <v>85000</v>
      </c>
      <c r="E78" s="45">
        <v>0</v>
      </c>
      <c r="F78" s="431">
        <f t="shared" si="1"/>
        <v>0</v>
      </c>
      <c r="G78" s="435">
        <f t="shared" si="2"/>
        <v>85000</v>
      </c>
      <c r="H78" s="435">
        <f t="shared" si="3"/>
        <v>85000</v>
      </c>
      <c r="J78" s="432">
        <f>IF($C78="","",IFERROR(IF('קיזוזים- החלטות ועדה'!E78=0,0,1),0))</f>
        <v>0</v>
      </c>
      <c r="K78" s="432">
        <f t="shared" si="4"/>
        <v>0</v>
      </c>
      <c r="L78" s="432">
        <f t="shared" si="5"/>
        <v>0</v>
      </c>
      <c r="M78" s="436">
        <f t="shared" si="6"/>
        <v>0</v>
      </c>
    </row>
    <row r="79" spans="2:13" ht="39" hidden="1" customHeight="1" x14ac:dyDescent="0.25">
      <c r="B79" s="46" t="str">
        <f t="shared" si="0"/>
        <v/>
      </c>
      <c r="C79" s="241" t="str">
        <f>'הגבלה לסכום מבוקש (1)'!C79</f>
        <v/>
      </c>
      <c r="D79" s="434" t="str">
        <f>'הגבלה לסכום מבוקש (1)'!U79</f>
        <v/>
      </c>
      <c r="E79" s="45"/>
      <c r="F79" s="431" t="str">
        <f t="shared" si="1"/>
        <v/>
      </c>
      <c r="G79" s="435" t="str">
        <f t="shared" si="2"/>
        <v/>
      </c>
      <c r="H79" s="435" t="str">
        <f t="shared" si="3"/>
        <v/>
      </c>
      <c r="J79" s="432" t="str">
        <f>IF($C79="","",IFERROR(IF('קיזוזים- החלטות ועדה'!E79=0,0,1),0))</f>
        <v/>
      </c>
      <c r="K79" s="432" t="str">
        <f t="shared" si="4"/>
        <v/>
      </c>
      <c r="L79" s="432" t="str">
        <f t="shared" si="5"/>
        <v/>
      </c>
      <c r="M79" s="436" t="str">
        <f t="shared" si="6"/>
        <v/>
      </c>
    </row>
    <row r="80" spans="2:13" ht="39" hidden="1" customHeight="1" x14ac:dyDescent="0.25">
      <c r="B80" s="46" t="str">
        <f t="shared" si="0"/>
        <v/>
      </c>
      <c r="C80" s="241" t="str">
        <f>'הגבלה לסכום מבוקש (1)'!C80</f>
        <v/>
      </c>
      <c r="D80" s="434" t="str">
        <f>'הגבלה לסכום מבוקש (1)'!U80</f>
        <v/>
      </c>
      <c r="E80" s="45"/>
      <c r="F80" s="431" t="str">
        <f t="shared" si="1"/>
        <v/>
      </c>
      <c r="G80" s="435" t="str">
        <f t="shared" si="2"/>
        <v/>
      </c>
      <c r="H80" s="435" t="str">
        <f t="shared" si="3"/>
        <v/>
      </c>
      <c r="J80" s="432" t="str">
        <f>IF($C80="","",IFERROR(IF('קיזוזים- החלטות ועדה'!E80=0,0,1),0))</f>
        <v/>
      </c>
      <c r="K80" s="432" t="str">
        <f t="shared" si="4"/>
        <v/>
      </c>
      <c r="L80" s="432" t="str">
        <f t="shared" si="5"/>
        <v/>
      </c>
      <c r="M80" s="436" t="str">
        <f t="shared" si="6"/>
        <v/>
      </c>
    </row>
    <row r="81" spans="2:13" ht="39" hidden="1" customHeight="1" x14ac:dyDescent="0.25">
      <c r="B81" s="46" t="str">
        <f t="shared" si="0"/>
        <v/>
      </c>
      <c r="C81" s="241" t="str">
        <f>'הגבלה לסכום מבוקש (1)'!C81</f>
        <v/>
      </c>
      <c r="D81" s="434" t="str">
        <f>'הגבלה לסכום מבוקש (1)'!U81</f>
        <v/>
      </c>
      <c r="E81" s="45"/>
      <c r="F81" s="431" t="str">
        <f t="shared" si="1"/>
        <v/>
      </c>
      <c r="G81" s="435" t="str">
        <f t="shared" si="2"/>
        <v/>
      </c>
      <c r="H81" s="435" t="str">
        <f t="shared" si="3"/>
        <v/>
      </c>
      <c r="J81" s="432" t="str">
        <f>IF($C81="","",IFERROR(IF('קיזוזים- החלטות ועדה'!E81=0,0,1),0))</f>
        <v/>
      </c>
      <c r="K81" s="432" t="str">
        <f t="shared" si="4"/>
        <v/>
      </c>
      <c r="L81" s="432" t="str">
        <f t="shared" si="5"/>
        <v/>
      </c>
      <c r="M81" s="436" t="str">
        <f t="shared" si="6"/>
        <v/>
      </c>
    </row>
    <row r="82" spans="2:13" ht="39" customHeight="1" x14ac:dyDescent="0.25">
      <c r="B82" s="46">
        <f t="shared" si="0"/>
        <v>52</v>
      </c>
      <c r="C82" s="241" t="str">
        <f>'הגבלה לסכום מבוקש (1)'!C82</f>
        <v xml:space="preserve">פולקעס - בר-קיימא לתרבות </v>
      </c>
      <c r="D82" s="434">
        <f>'הגבלה לסכום מבוקש (1)'!U82</f>
        <v>138814.93741556921</v>
      </c>
      <c r="E82" s="45">
        <v>0</v>
      </c>
      <c r="F82" s="431">
        <f t="shared" si="1"/>
        <v>0</v>
      </c>
      <c r="G82" s="435">
        <f t="shared" si="2"/>
        <v>138814.93741556921</v>
      </c>
      <c r="H82" s="435">
        <f t="shared" si="3"/>
        <v>138814.93741556921</v>
      </c>
      <c r="J82" s="432">
        <f>IF($C82="","",IFERROR(IF('קיזוזים- החלטות ועדה'!E82=0,0,1),0))</f>
        <v>0</v>
      </c>
      <c r="K82" s="432">
        <f t="shared" si="4"/>
        <v>0</v>
      </c>
      <c r="L82" s="432">
        <f t="shared" si="5"/>
        <v>0</v>
      </c>
      <c r="M82" s="436">
        <f t="shared" si="6"/>
        <v>0</v>
      </c>
    </row>
    <row r="83" spans="2:13" ht="39" hidden="1" customHeight="1" x14ac:dyDescent="0.25">
      <c r="B83" s="46" t="str">
        <f t="shared" si="0"/>
        <v/>
      </c>
      <c r="C83" s="241" t="str">
        <f>'הגבלה לסכום מבוקש (1)'!C83</f>
        <v/>
      </c>
      <c r="D83" s="434" t="str">
        <f>'הגבלה לסכום מבוקש (1)'!U83</f>
        <v/>
      </c>
      <c r="E83" s="45"/>
      <c r="F83" s="431" t="str">
        <f t="shared" si="1"/>
        <v/>
      </c>
      <c r="G83" s="435" t="str">
        <f t="shared" si="2"/>
        <v/>
      </c>
      <c r="H83" s="435" t="str">
        <f t="shared" si="3"/>
        <v/>
      </c>
      <c r="J83" s="432" t="str">
        <f>IF($C83="","",IFERROR(IF('קיזוזים- החלטות ועדה'!E83=0,0,1),0))</f>
        <v/>
      </c>
      <c r="K83" s="432" t="str">
        <f t="shared" si="4"/>
        <v/>
      </c>
      <c r="L83" s="432" t="str">
        <f t="shared" si="5"/>
        <v/>
      </c>
      <c r="M83" s="436" t="str">
        <f t="shared" si="6"/>
        <v/>
      </c>
    </row>
    <row r="84" spans="2:13" ht="39" hidden="1" customHeight="1" x14ac:dyDescent="0.25">
      <c r="B84" s="46" t="str">
        <f t="shared" si="0"/>
        <v/>
      </c>
      <c r="C84" s="241" t="str">
        <f>'הגבלה לסכום מבוקש (1)'!C84</f>
        <v/>
      </c>
      <c r="D84" s="434" t="str">
        <f>'הגבלה לסכום מבוקש (1)'!U84</f>
        <v/>
      </c>
      <c r="E84" s="45"/>
      <c r="F84" s="431" t="str">
        <f t="shared" si="1"/>
        <v/>
      </c>
      <c r="G84" s="435" t="str">
        <f t="shared" si="2"/>
        <v/>
      </c>
      <c r="H84" s="435" t="str">
        <f t="shared" si="3"/>
        <v/>
      </c>
      <c r="J84" s="432" t="str">
        <f>IF($C84="","",IFERROR(IF('קיזוזים- החלטות ועדה'!E84=0,0,1),0))</f>
        <v/>
      </c>
      <c r="K84" s="432" t="str">
        <f t="shared" si="4"/>
        <v/>
      </c>
      <c r="L84" s="432" t="str">
        <f t="shared" si="5"/>
        <v/>
      </c>
      <c r="M84" s="436" t="str">
        <f t="shared" si="6"/>
        <v/>
      </c>
    </row>
    <row r="85" spans="2:13" ht="39" customHeight="1" x14ac:dyDescent="0.25">
      <c r="B85" s="46">
        <f t="shared" si="0"/>
        <v>55</v>
      </c>
      <c r="C85" s="241" t="str">
        <f>'הגבלה לסכום מבוקש (1)'!C85</f>
        <v>מכון רננות</v>
      </c>
      <c r="D85" s="434">
        <f>'הגבלה לסכום מבוקש (1)'!U85</f>
        <v>60000</v>
      </c>
      <c r="E85" s="45">
        <v>0</v>
      </c>
      <c r="F85" s="431">
        <f t="shared" si="1"/>
        <v>0</v>
      </c>
      <c r="G85" s="435">
        <f t="shared" si="2"/>
        <v>60000</v>
      </c>
      <c r="H85" s="435">
        <f t="shared" si="3"/>
        <v>60000</v>
      </c>
      <c r="J85" s="432">
        <f>IF($C85="","",IFERROR(IF('קיזוזים- החלטות ועדה'!E85=0,0,1),0))</f>
        <v>0</v>
      </c>
      <c r="K85" s="432">
        <f t="shared" si="4"/>
        <v>0</v>
      </c>
      <c r="L85" s="432">
        <f t="shared" si="5"/>
        <v>0</v>
      </c>
      <c r="M85" s="436">
        <f t="shared" si="6"/>
        <v>0</v>
      </c>
    </row>
    <row r="86" spans="2:13" ht="39" hidden="1" customHeight="1" x14ac:dyDescent="0.25">
      <c r="B86" s="46" t="str">
        <f t="shared" si="0"/>
        <v/>
      </c>
      <c r="C86" s="241" t="str">
        <f>'הגבלה לסכום מבוקש (1)'!C86</f>
        <v/>
      </c>
      <c r="D86" s="434" t="str">
        <f>'הגבלה לסכום מבוקש (1)'!U86</f>
        <v/>
      </c>
      <c r="E86" s="45"/>
      <c r="F86" s="431" t="str">
        <f t="shared" si="1"/>
        <v/>
      </c>
      <c r="G86" s="435" t="str">
        <f t="shared" si="2"/>
        <v/>
      </c>
      <c r="H86" s="435" t="str">
        <f t="shared" si="3"/>
        <v/>
      </c>
      <c r="J86" s="432" t="str">
        <f>IF($C86="","",IFERROR(IF('קיזוזים- החלטות ועדה'!E86=0,0,1),0))</f>
        <v/>
      </c>
      <c r="K86" s="432" t="str">
        <f t="shared" si="4"/>
        <v/>
      </c>
      <c r="L86" s="432" t="str">
        <f t="shared" si="5"/>
        <v/>
      </c>
      <c r="M86" s="436" t="str">
        <f t="shared" si="6"/>
        <v/>
      </c>
    </row>
    <row r="87" spans="2:13" ht="39" customHeight="1" x14ac:dyDescent="0.25">
      <c r="B87" s="46">
        <f t="shared" si="0"/>
        <v>57</v>
      </c>
      <c r="C87" s="241" t="str">
        <f>'הגבלה לסכום מבוקש (1)'!C87</f>
        <v>עמותת מפעל המוזיקה צימבליסטה</v>
      </c>
      <c r="D87" s="434">
        <f>'הגבלה לסכום מבוקש (1)'!U87</f>
        <v>85948.962656008371</v>
      </c>
      <c r="E87" s="45">
        <v>0</v>
      </c>
      <c r="F87" s="431">
        <f t="shared" si="1"/>
        <v>0</v>
      </c>
      <c r="G87" s="435">
        <f t="shared" si="2"/>
        <v>85948.962656008371</v>
      </c>
      <c r="H87" s="435">
        <f t="shared" si="3"/>
        <v>85948.962656008371</v>
      </c>
      <c r="J87" s="432">
        <f>IF($C87="","",IFERROR(IF('קיזוזים- החלטות ועדה'!E87=0,0,1),0))</f>
        <v>0</v>
      </c>
      <c r="K87" s="432">
        <f t="shared" si="4"/>
        <v>0</v>
      </c>
      <c r="L87" s="432">
        <f t="shared" si="5"/>
        <v>0</v>
      </c>
      <c r="M87" s="436">
        <f t="shared" si="6"/>
        <v>0</v>
      </c>
    </row>
    <row r="88" spans="2:13" ht="39" hidden="1" customHeight="1" x14ac:dyDescent="0.25">
      <c r="B88" s="46" t="str">
        <f t="shared" si="0"/>
        <v/>
      </c>
      <c r="C88" s="241" t="str">
        <f>'הגבלה לסכום מבוקש (1)'!C88</f>
        <v/>
      </c>
      <c r="D88" s="434" t="str">
        <f>'הגבלה לסכום מבוקש (1)'!U88</f>
        <v/>
      </c>
      <c r="E88" s="45"/>
      <c r="F88" s="431" t="str">
        <f t="shared" si="1"/>
        <v/>
      </c>
      <c r="G88" s="435" t="str">
        <f t="shared" si="2"/>
        <v/>
      </c>
      <c r="H88" s="435" t="str">
        <f t="shared" si="3"/>
        <v/>
      </c>
      <c r="J88" s="432" t="str">
        <f>IF($C88="","",IFERROR(IF('קיזוזים- החלטות ועדה'!E88=0,0,1),0))</f>
        <v/>
      </c>
      <c r="K88" s="432" t="str">
        <f t="shared" si="4"/>
        <v/>
      </c>
      <c r="L88" s="432" t="str">
        <f t="shared" si="5"/>
        <v/>
      </c>
      <c r="M88" s="436" t="str">
        <f t="shared" si="6"/>
        <v/>
      </c>
    </row>
    <row r="89" spans="2:13" ht="39" customHeight="1" x14ac:dyDescent="0.25">
      <c r="B89" s="46">
        <f t="shared" si="0"/>
        <v>59</v>
      </c>
      <c r="C89" s="241" t="str">
        <f>'הגבלה לסכום מבוקש (1)'!C89</f>
        <v>העמותה לקידום המוסיקה הערבית</v>
      </c>
      <c r="D89" s="434">
        <f>'הגבלה לסכום מבוקש (1)'!U89</f>
        <v>223702.42707733833</v>
      </c>
      <c r="E89" s="45">
        <v>0</v>
      </c>
      <c r="F89" s="431">
        <f t="shared" si="1"/>
        <v>0</v>
      </c>
      <c r="G89" s="435">
        <f t="shared" si="2"/>
        <v>223702.42707733833</v>
      </c>
      <c r="H89" s="435">
        <f t="shared" si="3"/>
        <v>223702.42707733833</v>
      </c>
      <c r="J89" s="432">
        <f>IF($C89="","",IFERROR(IF('קיזוזים- החלטות ועדה'!E89=0,0,1),0))</f>
        <v>0</v>
      </c>
      <c r="K89" s="432">
        <f t="shared" si="4"/>
        <v>0</v>
      </c>
      <c r="L89" s="432">
        <f t="shared" si="5"/>
        <v>0</v>
      </c>
      <c r="M89" s="436">
        <f t="shared" si="6"/>
        <v>0</v>
      </c>
    </row>
    <row r="90" spans="2:13" ht="39" customHeight="1" x14ac:dyDescent="0.25">
      <c r="B90" s="46">
        <f t="shared" si="0"/>
        <v>60</v>
      </c>
      <c r="C90" s="241" t="str">
        <f>'הגבלה לסכום מבוקש (1)'!C90</f>
        <v>תמיכה בתזמורת TLV (הערבית יהודית)</v>
      </c>
      <c r="D90" s="434">
        <f>'הגבלה לסכום מבוקש (1)'!U90</f>
        <v>95484.98126058279</v>
      </c>
      <c r="E90" s="45">
        <v>0</v>
      </c>
      <c r="F90" s="431">
        <f t="shared" si="1"/>
        <v>0</v>
      </c>
      <c r="G90" s="435">
        <f t="shared" si="2"/>
        <v>95484.98126058279</v>
      </c>
      <c r="H90" s="435">
        <f t="shared" si="3"/>
        <v>95484.98126058279</v>
      </c>
      <c r="J90" s="432">
        <f>IF($C90="","",IFERROR(IF('קיזוזים- החלטות ועדה'!E90=0,0,1),0))</f>
        <v>0</v>
      </c>
      <c r="K90" s="432">
        <f t="shared" si="4"/>
        <v>0</v>
      </c>
      <c r="L90" s="432">
        <f t="shared" si="5"/>
        <v>0</v>
      </c>
      <c r="M90" s="436">
        <f t="shared" si="6"/>
        <v>0</v>
      </c>
    </row>
    <row r="91" spans="2:13" ht="39" customHeight="1" x14ac:dyDescent="0.25">
      <c r="B91" s="46">
        <f t="shared" si="0"/>
        <v>61</v>
      </c>
      <c r="C91" s="241" t="str">
        <f>'הגבלה לסכום מבוקש (1)'!C91</f>
        <v>אנסמבל גליל</v>
      </c>
      <c r="D91" s="434">
        <f>'הגבלה לסכום מבוקש (1)'!U91</f>
        <v>60000</v>
      </c>
      <c r="E91" s="45">
        <v>0</v>
      </c>
      <c r="F91" s="431">
        <f t="shared" si="1"/>
        <v>0</v>
      </c>
      <c r="G91" s="435">
        <f t="shared" si="2"/>
        <v>60000</v>
      </c>
      <c r="H91" s="435">
        <f t="shared" si="3"/>
        <v>60000</v>
      </c>
      <c r="J91" s="432">
        <f>IF($C91="","",IFERROR(IF('קיזוזים- החלטות ועדה'!E91=0,0,1),0))</f>
        <v>0</v>
      </c>
      <c r="K91" s="432">
        <f t="shared" si="4"/>
        <v>0</v>
      </c>
      <c r="L91" s="432">
        <f t="shared" si="5"/>
        <v>0</v>
      </c>
      <c r="M91" s="436">
        <f t="shared" si="6"/>
        <v>0</v>
      </c>
    </row>
    <row r="92" spans="2:13" ht="39" customHeight="1" x14ac:dyDescent="0.25">
      <c r="B92" s="46">
        <f t="shared" si="0"/>
        <v>62</v>
      </c>
      <c r="C92" s="241" t="str">
        <f>'הגבלה לסכום מבוקש (1)'!C92</f>
        <v>דריה- הרכב אינסטרומנטלי</v>
      </c>
      <c r="D92" s="434">
        <f>'הגבלה לסכום מבוקש (1)'!U92</f>
        <v>43686.952954856009</v>
      </c>
      <c r="E92" s="45">
        <v>0</v>
      </c>
      <c r="F92" s="431">
        <f t="shared" si="1"/>
        <v>0</v>
      </c>
      <c r="G92" s="435">
        <f t="shared" si="2"/>
        <v>43686.952954856009</v>
      </c>
      <c r="H92" s="435">
        <f t="shared" si="3"/>
        <v>43686.952954856009</v>
      </c>
      <c r="J92" s="432">
        <f>IF($C92="","",IFERROR(IF('קיזוזים- החלטות ועדה'!E92=0,0,1),0))</f>
        <v>0</v>
      </c>
      <c r="K92" s="432">
        <f t="shared" si="4"/>
        <v>0</v>
      </c>
      <c r="L92" s="432">
        <f t="shared" si="5"/>
        <v>0</v>
      </c>
      <c r="M92" s="436">
        <f t="shared" si="6"/>
        <v>0</v>
      </c>
    </row>
    <row r="93" spans="2:13" ht="39" customHeight="1" x14ac:dyDescent="0.25">
      <c r="B93" s="46">
        <f t="shared" si="0"/>
        <v>63</v>
      </c>
      <c r="C93" s="241" t="str">
        <f>'הגבלה לסכום מבוקש (1)'!C93</f>
        <v>להקת שלוש</v>
      </c>
      <c r="D93" s="434">
        <f>'הגבלה לסכום מבוקש (1)'!U93</f>
        <v>50000</v>
      </c>
      <c r="E93" s="45">
        <v>0</v>
      </c>
      <c r="F93" s="431">
        <f t="shared" si="1"/>
        <v>0</v>
      </c>
      <c r="G93" s="435">
        <f t="shared" si="2"/>
        <v>50000</v>
      </c>
      <c r="H93" s="435">
        <f t="shared" si="3"/>
        <v>50000</v>
      </c>
      <c r="J93" s="432">
        <f>IF($C93="","",IFERROR(IF('קיזוזים- החלטות ועדה'!E93=0,0,1),0))</f>
        <v>0</v>
      </c>
      <c r="K93" s="432">
        <f t="shared" si="4"/>
        <v>0</v>
      </c>
      <c r="L93" s="432">
        <f t="shared" si="5"/>
        <v>0</v>
      </c>
      <c r="M93" s="436">
        <f t="shared" si="6"/>
        <v>0</v>
      </c>
    </row>
    <row r="94" spans="2:13" ht="39" customHeight="1" x14ac:dyDescent="0.25">
      <c r="B94" s="46">
        <f t="shared" si="0"/>
        <v>64</v>
      </c>
      <c r="C94" s="241" t="str">
        <f>'הגבלה לסכום מבוקש (1)'!C94</f>
        <v>רביעיית טוסקאניני</v>
      </c>
      <c r="D94" s="434">
        <f>'הגבלה לסכום מבוקש (1)'!U94</f>
        <v>38362.134176260923</v>
      </c>
      <c r="E94" s="45">
        <v>0</v>
      </c>
      <c r="F94" s="431">
        <f t="shared" si="1"/>
        <v>0</v>
      </c>
      <c r="G94" s="435">
        <f t="shared" si="2"/>
        <v>38362.134176260923</v>
      </c>
      <c r="H94" s="435">
        <f t="shared" si="3"/>
        <v>38362.134176260923</v>
      </c>
      <c r="J94" s="432">
        <f>IF($C94="","",IFERROR(IF('קיזוזים- החלטות ועדה'!E94=0,0,1),0))</f>
        <v>0</v>
      </c>
      <c r="K94" s="432">
        <f t="shared" si="4"/>
        <v>0</v>
      </c>
      <c r="L94" s="432">
        <f t="shared" si="5"/>
        <v>0</v>
      </c>
      <c r="M94" s="436">
        <f t="shared" si="6"/>
        <v>0</v>
      </c>
    </row>
    <row r="95" spans="2:13" ht="39" customHeight="1" x14ac:dyDescent="0.25">
      <c r="B95" s="46">
        <f t="shared" si="0"/>
        <v>65</v>
      </c>
      <c r="C95" s="241" t="str">
        <f>'הגבלה לסכום מבוקש (1)'!C95</f>
        <v>תקוע-קבוצה מוזיקלית - 'דאפה' 2024</v>
      </c>
      <c r="D95" s="434">
        <f>'הגבלה לסכום מבוקש (1)'!U95</f>
        <v>104841.10811467086</v>
      </c>
      <c r="E95" s="45">
        <v>0</v>
      </c>
      <c r="F95" s="431">
        <f t="shared" si="1"/>
        <v>0</v>
      </c>
      <c r="G95" s="435">
        <f t="shared" si="2"/>
        <v>104841.10811467086</v>
      </c>
      <c r="H95" s="435">
        <f t="shared" si="3"/>
        <v>104841.10811467086</v>
      </c>
      <c r="J95" s="432">
        <f>IF($C95="","",IFERROR(IF('קיזוזים- החלטות ועדה'!E95=0,0,1),0))</f>
        <v>0</v>
      </c>
      <c r="K95" s="432">
        <f t="shared" si="4"/>
        <v>0</v>
      </c>
      <c r="L95" s="432">
        <f t="shared" si="5"/>
        <v>0</v>
      </c>
      <c r="M95" s="436">
        <f t="shared" si="6"/>
        <v>0</v>
      </c>
    </row>
    <row r="96" spans="2:13" ht="39" customHeight="1" x14ac:dyDescent="0.25">
      <c r="B96" s="46">
        <f t="shared" ref="B96:B130" si="7">IF(C96="","",ROW()-30)</f>
        <v>66</v>
      </c>
      <c r="C96" s="241" t="str">
        <f>'הגבלה לסכום מבוקש (1)'!C96</f>
        <v>טריו בן חיים</v>
      </c>
      <c r="D96" s="434">
        <f>'הגבלה לסכום מבוקש (1)'!U96</f>
        <v>44394.089758849463</v>
      </c>
      <c r="E96" s="45">
        <v>0</v>
      </c>
      <c r="F96" s="431">
        <f t="shared" ref="F96:F130" si="8">IF(C96="","",IFERROR(MIN(D96,E96/365*D96),$P$1))</f>
        <v>0</v>
      </c>
      <c r="G96" s="435">
        <f t="shared" ref="G96:G130" si="9">IF($C96="","",D96-F96)</f>
        <v>44394.089758849463</v>
      </c>
      <c r="H96" s="435">
        <f t="shared" ref="H96:H130" si="10">IF($C96="","",G96+M96)</f>
        <v>44394.089758849463</v>
      </c>
      <c r="J96" s="432">
        <f>IF($C96="","",IFERROR(IF('קיזוזים- החלטות ועדה'!E96=0,0,1),0))</f>
        <v>0</v>
      </c>
      <c r="K96" s="432">
        <f t="shared" ref="K96:K130" si="11">IF($C96="","",IFERROR(IF(E96=0,0,1),0))</f>
        <v>0</v>
      </c>
      <c r="L96" s="432">
        <f t="shared" ref="L96:L130" si="12">IF($C96="","",IF(OR(K96=1,J96=1),1,0))</f>
        <v>0</v>
      </c>
      <c r="M96" s="436">
        <f t="shared" ref="M96:M130" si="13">IF($C96="","",IF(L96=1,0,$L$27*$D96/$K$27))</f>
        <v>0</v>
      </c>
    </row>
    <row r="97" spans="2:13" ht="39" hidden="1" customHeight="1" x14ac:dyDescent="0.25">
      <c r="B97" s="46" t="str">
        <f t="shared" si="7"/>
        <v/>
      </c>
      <c r="C97" s="241" t="str">
        <f>'הגבלה לסכום מבוקש (1)'!C97</f>
        <v/>
      </c>
      <c r="D97" s="434" t="str">
        <f>'הגבלה לסכום מבוקש (1)'!U97</f>
        <v/>
      </c>
      <c r="E97" s="45"/>
      <c r="F97" s="431" t="str">
        <f t="shared" si="8"/>
        <v/>
      </c>
      <c r="G97" s="435" t="str">
        <f t="shared" si="9"/>
        <v/>
      </c>
      <c r="H97" s="435" t="str">
        <f t="shared" si="10"/>
        <v/>
      </c>
      <c r="J97" s="432" t="str">
        <f>IF($C97="","",IFERROR(IF('קיזוזים- החלטות ועדה'!E97=0,0,1),0))</f>
        <v/>
      </c>
      <c r="K97" s="432" t="str">
        <f t="shared" si="11"/>
        <v/>
      </c>
      <c r="L97" s="432" t="str">
        <f t="shared" si="12"/>
        <v/>
      </c>
      <c r="M97" s="436" t="str">
        <f t="shared" si="13"/>
        <v/>
      </c>
    </row>
    <row r="98" spans="2:13" ht="39" customHeight="1" x14ac:dyDescent="0.25">
      <c r="B98" s="46">
        <f t="shared" si="7"/>
        <v>68</v>
      </c>
      <c r="C98" s="241" t="str">
        <f>'הגבלה לסכום מבוקש (1)'!C98</f>
        <v>אמיתי אריכא והפרויקט D1</v>
      </c>
      <c r="D98" s="434">
        <f>'הגבלה לסכום מבוקש (1)'!U98</f>
        <v>45000</v>
      </c>
      <c r="E98" s="45">
        <v>0</v>
      </c>
      <c r="F98" s="431">
        <f t="shared" si="8"/>
        <v>0</v>
      </c>
      <c r="G98" s="435">
        <f t="shared" si="9"/>
        <v>45000</v>
      </c>
      <c r="H98" s="435">
        <f t="shared" si="10"/>
        <v>45000</v>
      </c>
      <c r="J98" s="432">
        <f>IF($C98="","",IFERROR(IF('קיזוזים- החלטות ועדה'!E98=0,0,1),0))</f>
        <v>0</v>
      </c>
      <c r="K98" s="432">
        <f t="shared" si="11"/>
        <v>0</v>
      </c>
      <c r="L98" s="432">
        <f t="shared" si="12"/>
        <v>0</v>
      </c>
      <c r="M98" s="436">
        <f t="shared" si="13"/>
        <v>0</v>
      </c>
    </row>
    <row r="99" spans="2:13" ht="20.25" x14ac:dyDescent="0.25">
      <c r="B99" s="46" t="str">
        <f t="shared" si="7"/>
        <v/>
      </c>
      <c r="C99" s="241" t="str">
        <f>'הגבלה לסכום מבוקש (1)'!C99</f>
        <v/>
      </c>
      <c r="D99" s="434" t="str">
        <f>'הגבלה לסכום מבוקש (1)'!U99</f>
        <v/>
      </c>
      <c r="E99" s="45"/>
      <c r="F99" s="431" t="str">
        <f t="shared" si="8"/>
        <v/>
      </c>
      <c r="G99" s="435" t="str">
        <f t="shared" si="9"/>
        <v/>
      </c>
      <c r="H99" s="435" t="str">
        <f t="shared" si="10"/>
        <v/>
      </c>
      <c r="J99" s="432" t="str">
        <f>IF($C99="","",IFERROR(IF('קיזוזים- החלטות ועדה'!E99=0,0,1),0))</f>
        <v/>
      </c>
      <c r="K99" s="432" t="str">
        <f t="shared" si="11"/>
        <v/>
      </c>
      <c r="L99" s="432" t="str">
        <f t="shared" si="12"/>
        <v/>
      </c>
      <c r="M99" s="436" t="str">
        <f t="shared" si="13"/>
        <v/>
      </c>
    </row>
    <row r="100" spans="2:13" ht="20.25" x14ac:dyDescent="0.25">
      <c r="B100" s="46" t="str">
        <f t="shared" si="7"/>
        <v/>
      </c>
      <c r="C100" s="241" t="str">
        <f>'הגבלה לסכום מבוקש (1)'!C100</f>
        <v/>
      </c>
      <c r="D100" s="434" t="str">
        <f>'הגבלה לסכום מבוקש (1)'!U100</f>
        <v/>
      </c>
      <c r="E100" s="45"/>
      <c r="F100" s="431" t="str">
        <f t="shared" si="8"/>
        <v/>
      </c>
      <c r="G100" s="435" t="str">
        <f t="shared" si="9"/>
        <v/>
      </c>
      <c r="H100" s="435" t="str">
        <f t="shared" si="10"/>
        <v/>
      </c>
      <c r="J100" s="432" t="str">
        <f>IF($C100="","",IFERROR(IF('קיזוזים- החלטות ועדה'!E100=0,0,1),0))</f>
        <v/>
      </c>
      <c r="K100" s="432" t="str">
        <f t="shared" si="11"/>
        <v/>
      </c>
      <c r="L100" s="432" t="str">
        <f t="shared" si="12"/>
        <v/>
      </c>
      <c r="M100" s="436" t="str">
        <f t="shared" si="13"/>
        <v/>
      </c>
    </row>
    <row r="101" spans="2:13" ht="20.25" x14ac:dyDescent="0.25">
      <c r="B101" s="46" t="str">
        <f t="shared" si="7"/>
        <v/>
      </c>
      <c r="C101" s="241" t="str">
        <f>'הגבלה לסכום מבוקש (1)'!C101</f>
        <v/>
      </c>
      <c r="D101" s="434" t="str">
        <f>'הגבלה לסכום מבוקש (1)'!U101</f>
        <v/>
      </c>
      <c r="E101" s="45"/>
      <c r="F101" s="431" t="str">
        <f t="shared" si="8"/>
        <v/>
      </c>
      <c r="G101" s="435" t="str">
        <f t="shared" si="9"/>
        <v/>
      </c>
      <c r="H101" s="435" t="str">
        <f t="shared" si="10"/>
        <v/>
      </c>
      <c r="J101" s="432" t="str">
        <f>IF($C101="","",IFERROR(IF('קיזוזים- החלטות ועדה'!E101=0,0,1),0))</f>
        <v/>
      </c>
      <c r="K101" s="432" t="str">
        <f t="shared" si="11"/>
        <v/>
      </c>
      <c r="L101" s="432" t="str">
        <f t="shared" si="12"/>
        <v/>
      </c>
      <c r="M101" s="436" t="str">
        <f t="shared" si="13"/>
        <v/>
      </c>
    </row>
    <row r="102" spans="2:13" ht="20.25" x14ac:dyDescent="0.25">
      <c r="B102" s="46" t="str">
        <f t="shared" si="7"/>
        <v/>
      </c>
      <c r="C102" s="241" t="str">
        <f>'הגבלה לסכום מבוקש (1)'!C102</f>
        <v/>
      </c>
      <c r="D102" s="434" t="str">
        <f>'הגבלה לסכום מבוקש (1)'!U102</f>
        <v/>
      </c>
      <c r="E102" s="45"/>
      <c r="F102" s="431" t="str">
        <f t="shared" si="8"/>
        <v/>
      </c>
      <c r="G102" s="435" t="str">
        <f t="shared" si="9"/>
        <v/>
      </c>
      <c r="H102" s="435" t="str">
        <f t="shared" si="10"/>
        <v/>
      </c>
      <c r="J102" s="432" t="str">
        <f>IF($C102="","",IFERROR(IF('קיזוזים- החלטות ועדה'!E102=0,0,1),0))</f>
        <v/>
      </c>
      <c r="K102" s="432" t="str">
        <f t="shared" si="11"/>
        <v/>
      </c>
      <c r="L102" s="432" t="str">
        <f t="shared" si="12"/>
        <v/>
      </c>
      <c r="M102" s="436" t="str">
        <f t="shared" si="13"/>
        <v/>
      </c>
    </row>
    <row r="103" spans="2:13" ht="20.25" x14ac:dyDescent="0.25">
      <c r="B103" s="46" t="str">
        <f t="shared" si="7"/>
        <v/>
      </c>
      <c r="C103" s="241" t="str">
        <f>'הגבלה לסכום מבוקש (1)'!C103</f>
        <v/>
      </c>
      <c r="D103" s="434" t="str">
        <f>'הגבלה לסכום מבוקש (1)'!U103</f>
        <v/>
      </c>
      <c r="E103" s="45"/>
      <c r="F103" s="431" t="str">
        <f t="shared" si="8"/>
        <v/>
      </c>
      <c r="G103" s="435" t="str">
        <f t="shared" si="9"/>
        <v/>
      </c>
      <c r="H103" s="435" t="str">
        <f t="shared" si="10"/>
        <v/>
      </c>
      <c r="J103" s="432" t="str">
        <f>IF($C103="","",IFERROR(IF('קיזוזים- החלטות ועדה'!E103=0,0,1),0))</f>
        <v/>
      </c>
      <c r="K103" s="432" t="str">
        <f t="shared" si="11"/>
        <v/>
      </c>
      <c r="L103" s="432" t="str">
        <f t="shared" si="12"/>
        <v/>
      </c>
      <c r="M103" s="436" t="str">
        <f t="shared" si="13"/>
        <v/>
      </c>
    </row>
    <row r="104" spans="2:13" ht="20.25" x14ac:dyDescent="0.25">
      <c r="B104" s="46" t="str">
        <f t="shared" si="7"/>
        <v/>
      </c>
      <c r="C104" s="241" t="str">
        <f>'הגבלה לסכום מבוקש (1)'!C104</f>
        <v/>
      </c>
      <c r="D104" s="434" t="str">
        <f>'הגבלה לסכום מבוקש (1)'!U104</f>
        <v/>
      </c>
      <c r="E104" s="45"/>
      <c r="F104" s="431" t="str">
        <f t="shared" si="8"/>
        <v/>
      </c>
      <c r="G104" s="435" t="str">
        <f t="shared" si="9"/>
        <v/>
      </c>
      <c r="H104" s="435" t="str">
        <f t="shared" si="10"/>
        <v/>
      </c>
      <c r="J104" s="432" t="str">
        <f>IF($C104="","",IFERROR(IF('קיזוזים- החלטות ועדה'!E104=0,0,1),0))</f>
        <v/>
      </c>
      <c r="K104" s="432" t="str">
        <f t="shared" si="11"/>
        <v/>
      </c>
      <c r="L104" s="432" t="str">
        <f t="shared" si="12"/>
        <v/>
      </c>
      <c r="M104" s="436" t="str">
        <f t="shared" si="13"/>
        <v/>
      </c>
    </row>
    <row r="105" spans="2:13" ht="20.25" x14ac:dyDescent="0.25">
      <c r="B105" s="46">
        <f t="shared" si="7"/>
        <v>75</v>
      </c>
      <c r="C105" s="241" t="str">
        <f>'הגבלה לסכום מבוקש (1)'!C105</f>
        <v>לבונטין 7</v>
      </c>
      <c r="D105" s="434">
        <f>'הגבלה לסכום מבוקש (1)'!U105</f>
        <v>74924.348521178836</v>
      </c>
      <c r="E105" s="45">
        <v>0</v>
      </c>
      <c r="F105" s="431">
        <f t="shared" si="8"/>
        <v>0</v>
      </c>
      <c r="G105" s="435">
        <f t="shared" si="9"/>
        <v>74924.348521178836</v>
      </c>
      <c r="H105" s="435">
        <f t="shared" si="10"/>
        <v>74924.348521178836</v>
      </c>
      <c r="J105" s="432">
        <f>IF($C105="","",IFERROR(IF('קיזוזים- החלטות ועדה'!E105=0,0,1),0))</f>
        <v>0</v>
      </c>
      <c r="K105" s="432">
        <f t="shared" si="11"/>
        <v>0</v>
      </c>
      <c r="L105" s="432">
        <f t="shared" si="12"/>
        <v>0</v>
      </c>
      <c r="M105" s="436">
        <f t="shared" si="13"/>
        <v>0</v>
      </c>
    </row>
    <row r="106" spans="2:13" ht="20.25" x14ac:dyDescent="0.25">
      <c r="B106" s="46">
        <f t="shared" si="7"/>
        <v>76</v>
      </c>
      <c r="C106" s="241" t="str">
        <f>'הגבלה לסכום מבוקש (1)'!C106</f>
        <v>מולטי פיאנו- פליציה בלומנטל</v>
      </c>
      <c r="D106" s="434">
        <f>'הגבלה לסכום מבוקש (1)'!U106</f>
        <v>54445.873871104304</v>
      </c>
      <c r="E106" s="45">
        <v>0</v>
      </c>
      <c r="F106" s="431">
        <f t="shared" si="8"/>
        <v>0</v>
      </c>
      <c r="G106" s="435">
        <f t="shared" si="9"/>
        <v>54445.873871104304</v>
      </c>
      <c r="H106" s="435">
        <f t="shared" si="10"/>
        <v>54445.873871104304</v>
      </c>
      <c r="J106" s="432">
        <f>IF($C106="","",IFERROR(IF('קיזוזים- החלטות ועדה'!E106=0,0,1),0))</f>
        <v>0</v>
      </c>
      <c r="K106" s="432">
        <f t="shared" si="11"/>
        <v>0</v>
      </c>
      <c r="L106" s="432">
        <f t="shared" si="12"/>
        <v>0</v>
      </c>
      <c r="M106" s="436">
        <f t="shared" si="13"/>
        <v>0</v>
      </c>
    </row>
    <row r="107" spans="2:13" ht="20.25" x14ac:dyDescent="0.25">
      <c r="B107" s="46">
        <f t="shared" si="7"/>
        <v>77</v>
      </c>
      <c r="C107" s="241" t="str">
        <f>'הגבלה לסכום מבוקש (1)'!C107</f>
        <v>ארמון בזמן - העמותה לתרבות רב תחומית</v>
      </c>
      <c r="D107" s="434">
        <f>'הגבלה לסכום מבוקש (1)'!U107</f>
        <v>74648.657273345394</v>
      </c>
      <c r="E107" s="45">
        <v>0</v>
      </c>
      <c r="F107" s="431">
        <f t="shared" si="8"/>
        <v>0</v>
      </c>
      <c r="G107" s="435">
        <f t="shared" si="9"/>
        <v>74648.657273345394</v>
      </c>
      <c r="H107" s="435">
        <f t="shared" si="10"/>
        <v>74648.657273345394</v>
      </c>
      <c r="J107" s="432">
        <f>IF($C107="","",IFERROR(IF('קיזוזים- החלטות ועדה'!E107=0,0,1),0))</f>
        <v>0</v>
      </c>
      <c r="K107" s="432">
        <f t="shared" si="11"/>
        <v>0</v>
      </c>
      <c r="L107" s="432">
        <f t="shared" si="12"/>
        <v>0</v>
      </c>
      <c r="M107" s="436">
        <f t="shared" si="13"/>
        <v>0</v>
      </c>
    </row>
    <row r="108" spans="2:13" ht="20.25" x14ac:dyDescent="0.25">
      <c r="B108" s="46" t="str">
        <f t="shared" si="7"/>
        <v/>
      </c>
      <c r="C108" s="241" t="str">
        <f>'הגבלה לסכום מבוקש (1)'!C108</f>
        <v/>
      </c>
      <c r="D108" s="434" t="str">
        <f>'הגבלה לסכום מבוקש (1)'!U108</f>
        <v/>
      </c>
      <c r="E108" s="45"/>
      <c r="F108" s="431" t="str">
        <f t="shared" si="8"/>
        <v/>
      </c>
      <c r="G108" s="435" t="str">
        <f t="shared" si="9"/>
        <v/>
      </c>
      <c r="H108" s="435" t="str">
        <f t="shared" si="10"/>
        <v/>
      </c>
      <c r="J108" s="432" t="str">
        <f>IF($C108="","",IFERROR(IF('קיזוזים- החלטות ועדה'!E108=0,0,1),0))</f>
        <v/>
      </c>
      <c r="K108" s="432" t="str">
        <f t="shared" si="11"/>
        <v/>
      </c>
      <c r="L108" s="432" t="str">
        <f t="shared" si="12"/>
        <v/>
      </c>
      <c r="M108" s="436" t="str">
        <f t="shared" si="13"/>
        <v/>
      </c>
    </row>
    <row r="109" spans="2:13" ht="20.25" x14ac:dyDescent="0.25">
      <c r="B109" s="46" t="str">
        <f t="shared" si="7"/>
        <v/>
      </c>
      <c r="C109" s="241" t="str">
        <f>'הגבלה לסכום מבוקש (1)'!C109</f>
        <v/>
      </c>
      <c r="D109" s="434" t="str">
        <f>'הגבלה לסכום מבוקש (1)'!U109</f>
        <v/>
      </c>
      <c r="E109" s="45"/>
      <c r="F109" s="431" t="str">
        <f t="shared" si="8"/>
        <v/>
      </c>
      <c r="G109" s="435" t="str">
        <f t="shared" si="9"/>
        <v/>
      </c>
      <c r="H109" s="435" t="str">
        <f t="shared" si="10"/>
        <v/>
      </c>
      <c r="J109" s="432" t="str">
        <f>IF($C109="","",IFERROR(IF('קיזוזים- החלטות ועדה'!E109=0,0,1),0))</f>
        <v/>
      </c>
      <c r="K109" s="432" t="str">
        <f t="shared" si="11"/>
        <v/>
      </c>
      <c r="L109" s="432" t="str">
        <f t="shared" si="12"/>
        <v/>
      </c>
      <c r="M109" s="436" t="str">
        <f t="shared" si="13"/>
        <v/>
      </c>
    </row>
    <row r="110" spans="2:13" ht="20.25" x14ac:dyDescent="0.25">
      <c r="B110" s="46" t="str">
        <f t="shared" si="7"/>
        <v/>
      </c>
      <c r="C110" s="241" t="str">
        <f>'הגבלה לסכום מבוקש (1)'!C110</f>
        <v/>
      </c>
      <c r="D110" s="434" t="str">
        <f>'הגבלה לסכום מבוקש (1)'!U110</f>
        <v/>
      </c>
      <c r="E110" s="45"/>
      <c r="F110" s="431" t="str">
        <f t="shared" si="8"/>
        <v/>
      </c>
      <c r="G110" s="435" t="str">
        <f t="shared" si="9"/>
        <v/>
      </c>
      <c r="H110" s="435" t="str">
        <f t="shared" si="10"/>
        <v/>
      </c>
      <c r="J110" s="432" t="str">
        <f>IF($C110="","",IFERROR(IF('קיזוזים- החלטות ועדה'!E110=0,0,1),0))</f>
        <v/>
      </c>
      <c r="K110" s="432" t="str">
        <f t="shared" si="11"/>
        <v/>
      </c>
      <c r="L110" s="432" t="str">
        <f t="shared" si="12"/>
        <v/>
      </c>
      <c r="M110" s="436" t="str">
        <f t="shared" si="13"/>
        <v/>
      </c>
    </row>
    <row r="111" spans="2:13" ht="20.25" x14ac:dyDescent="0.25">
      <c r="B111" s="46" t="str">
        <f t="shared" si="7"/>
        <v/>
      </c>
      <c r="C111" s="241" t="str">
        <f>'הגבלה לסכום מבוקש (1)'!C111</f>
        <v/>
      </c>
      <c r="D111" s="434" t="str">
        <f>'הגבלה לסכום מבוקש (1)'!U111</f>
        <v/>
      </c>
      <c r="E111" s="45"/>
      <c r="F111" s="431" t="str">
        <f t="shared" si="8"/>
        <v/>
      </c>
      <c r="G111" s="435" t="str">
        <f t="shared" si="9"/>
        <v/>
      </c>
      <c r="H111" s="435" t="str">
        <f t="shared" si="10"/>
        <v/>
      </c>
      <c r="J111" s="432" t="str">
        <f>IF($C111="","",IFERROR(IF('קיזוזים- החלטות ועדה'!E111=0,0,1),0))</f>
        <v/>
      </c>
      <c r="K111" s="432" t="str">
        <f t="shared" si="11"/>
        <v/>
      </c>
      <c r="L111" s="432" t="str">
        <f t="shared" si="12"/>
        <v/>
      </c>
      <c r="M111" s="436" t="str">
        <f t="shared" si="13"/>
        <v/>
      </c>
    </row>
    <row r="112" spans="2:13" ht="20.25" x14ac:dyDescent="0.25">
      <c r="B112" s="46" t="str">
        <f t="shared" si="7"/>
        <v/>
      </c>
      <c r="C112" s="241" t="str">
        <f>'הגבלה לסכום מבוקש (1)'!C112</f>
        <v/>
      </c>
      <c r="D112" s="434" t="str">
        <f>'הגבלה לסכום מבוקש (1)'!U112</f>
        <v/>
      </c>
      <c r="E112" s="45"/>
      <c r="F112" s="431" t="str">
        <f t="shared" si="8"/>
        <v/>
      </c>
      <c r="G112" s="435" t="str">
        <f t="shared" si="9"/>
        <v/>
      </c>
      <c r="H112" s="435" t="str">
        <f t="shared" si="10"/>
        <v/>
      </c>
      <c r="J112" s="432" t="str">
        <f>IF($C112="","",IFERROR(IF('קיזוזים- החלטות ועדה'!E112=0,0,1),0))</f>
        <v/>
      </c>
      <c r="K112" s="432" t="str">
        <f t="shared" si="11"/>
        <v/>
      </c>
      <c r="L112" s="432" t="str">
        <f t="shared" si="12"/>
        <v/>
      </c>
      <c r="M112" s="436" t="str">
        <f t="shared" si="13"/>
        <v/>
      </c>
    </row>
    <row r="113" spans="2:13" ht="20.25" x14ac:dyDescent="0.25">
      <c r="B113" s="46" t="str">
        <f t="shared" si="7"/>
        <v/>
      </c>
      <c r="C113" s="241" t="str">
        <f>'הגבלה לסכום מבוקש (1)'!C113</f>
        <v/>
      </c>
      <c r="D113" s="434" t="str">
        <f>'הגבלה לסכום מבוקש (1)'!U113</f>
        <v/>
      </c>
      <c r="E113" s="45"/>
      <c r="F113" s="431" t="str">
        <f t="shared" si="8"/>
        <v/>
      </c>
      <c r="G113" s="435" t="str">
        <f t="shared" si="9"/>
        <v/>
      </c>
      <c r="H113" s="435" t="str">
        <f t="shared" si="10"/>
        <v/>
      </c>
      <c r="J113" s="432" t="str">
        <f>IF($C113="","",IFERROR(IF('קיזוזים- החלטות ועדה'!E113=0,0,1),0))</f>
        <v/>
      </c>
      <c r="K113" s="432" t="str">
        <f t="shared" si="11"/>
        <v/>
      </c>
      <c r="L113" s="432" t="str">
        <f t="shared" si="12"/>
        <v/>
      </c>
      <c r="M113" s="436" t="str">
        <f t="shared" si="13"/>
        <v/>
      </c>
    </row>
    <row r="114" spans="2:13" ht="20.25" x14ac:dyDescent="0.25">
      <c r="B114" s="46" t="str">
        <f t="shared" si="7"/>
        <v/>
      </c>
      <c r="C114" s="241" t="str">
        <f>'הגבלה לסכום מבוקש (1)'!C114</f>
        <v/>
      </c>
      <c r="D114" s="434" t="str">
        <f>'הגבלה לסכום מבוקש (1)'!U114</f>
        <v/>
      </c>
      <c r="E114" s="45"/>
      <c r="F114" s="431" t="str">
        <f t="shared" si="8"/>
        <v/>
      </c>
      <c r="G114" s="435" t="str">
        <f t="shared" si="9"/>
        <v/>
      </c>
      <c r="H114" s="435" t="str">
        <f t="shared" si="10"/>
        <v/>
      </c>
      <c r="J114" s="432" t="str">
        <f>IF($C114="","",IFERROR(IF('קיזוזים- החלטות ועדה'!E114=0,0,1),0))</f>
        <v/>
      </c>
      <c r="K114" s="432" t="str">
        <f t="shared" si="11"/>
        <v/>
      </c>
      <c r="L114" s="432" t="str">
        <f t="shared" si="12"/>
        <v/>
      </c>
      <c r="M114" s="436" t="str">
        <f t="shared" si="13"/>
        <v/>
      </c>
    </row>
    <row r="115" spans="2:13" ht="20.25" x14ac:dyDescent="0.25">
      <c r="B115" s="46" t="str">
        <f t="shared" si="7"/>
        <v/>
      </c>
      <c r="C115" s="241" t="str">
        <f>'הגבלה לסכום מבוקש (1)'!C115</f>
        <v/>
      </c>
      <c r="D115" s="434" t="str">
        <f>'הגבלה לסכום מבוקש (1)'!U115</f>
        <v/>
      </c>
      <c r="E115" s="45"/>
      <c r="F115" s="431" t="str">
        <f t="shared" si="8"/>
        <v/>
      </c>
      <c r="G115" s="435" t="str">
        <f t="shared" si="9"/>
        <v/>
      </c>
      <c r="H115" s="435" t="str">
        <f t="shared" si="10"/>
        <v/>
      </c>
      <c r="J115" s="432" t="str">
        <f>IF($C115="","",IFERROR(IF('קיזוזים- החלטות ועדה'!E115=0,0,1),0))</f>
        <v/>
      </c>
      <c r="K115" s="432" t="str">
        <f t="shared" si="11"/>
        <v/>
      </c>
      <c r="L115" s="432" t="str">
        <f t="shared" si="12"/>
        <v/>
      </c>
      <c r="M115" s="436" t="str">
        <f t="shared" si="13"/>
        <v/>
      </c>
    </row>
    <row r="116" spans="2:13" ht="20.25" x14ac:dyDescent="0.25">
      <c r="B116" s="46" t="str">
        <f t="shared" si="7"/>
        <v/>
      </c>
      <c r="C116" s="241" t="str">
        <f>'הגבלה לסכום מבוקש (1)'!C116</f>
        <v/>
      </c>
      <c r="D116" s="434" t="str">
        <f>'הגבלה לסכום מבוקש (1)'!U116</f>
        <v/>
      </c>
      <c r="E116" s="45"/>
      <c r="F116" s="431" t="str">
        <f t="shared" si="8"/>
        <v/>
      </c>
      <c r="G116" s="435" t="str">
        <f t="shared" si="9"/>
        <v/>
      </c>
      <c r="H116" s="435" t="str">
        <f t="shared" si="10"/>
        <v/>
      </c>
      <c r="J116" s="432" t="str">
        <f>IF($C116="","",IFERROR(IF('קיזוזים- החלטות ועדה'!E116=0,0,1),0))</f>
        <v/>
      </c>
      <c r="K116" s="432" t="str">
        <f t="shared" si="11"/>
        <v/>
      </c>
      <c r="L116" s="432" t="str">
        <f t="shared" si="12"/>
        <v/>
      </c>
      <c r="M116" s="436" t="str">
        <f t="shared" si="13"/>
        <v/>
      </c>
    </row>
    <row r="117" spans="2:13" ht="20.25" x14ac:dyDescent="0.25">
      <c r="B117" s="46" t="str">
        <f t="shared" si="7"/>
        <v/>
      </c>
      <c r="C117" s="241" t="str">
        <f>'הגבלה לסכום מבוקש (1)'!C117</f>
        <v/>
      </c>
      <c r="D117" s="434" t="str">
        <f>'הגבלה לסכום מבוקש (1)'!U117</f>
        <v/>
      </c>
      <c r="E117" s="45"/>
      <c r="F117" s="431" t="str">
        <f t="shared" si="8"/>
        <v/>
      </c>
      <c r="G117" s="435" t="str">
        <f t="shared" si="9"/>
        <v/>
      </c>
      <c r="H117" s="435" t="str">
        <f t="shared" si="10"/>
        <v/>
      </c>
      <c r="J117" s="432" t="str">
        <f>IF($C117="","",IFERROR(IF('קיזוזים- החלטות ועדה'!E117=0,0,1),0))</f>
        <v/>
      </c>
      <c r="K117" s="432" t="str">
        <f t="shared" si="11"/>
        <v/>
      </c>
      <c r="L117" s="432" t="str">
        <f t="shared" si="12"/>
        <v/>
      </c>
      <c r="M117" s="436" t="str">
        <f t="shared" si="13"/>
        <v/>
      </c>
    </row>
    <row r="118" spans="2:13" ht="20.25" x14ac:dyDescent="0.25">
      <c r="B118" s="46" t="str">
        <f t="shared" si="7"/>
        <v/>
      </c>
      <c r="C118" s="241" t="str">
        <f>'הגבלה לסכום מבוקש (1)'!C118</f>
        <v/>
      </c>
      <c r="D118" s="434" t="str">
        <f>'הגבלה לסכום מבוקש (1)'!U118</f>
        <v/>
      </c>
      <c r="E118" s="45"/>
      <c r="F118" s="431" t="str">
        <f t="shared" si="8"/>
        <v/>
      </c>
      <c r="G118" s="435" t="str">
        <f t="shared" si="9"/>
        <v/>
      </c>
      <c r="H118" s="435" t="str">
        <f t="shared" si="10"/>
        <v/>
      </c>
      <c r="J118" s="432" t="str">
        <f>IF($C118="","",IFERROR(IF('קיזוזים- החלטות ועדה'!E118=0,0,1),0))</f>
        <v/>
      </c>
      <c r="K118" s="432" t="str">
        <f t="shared" si="11"/>
        <v/>
      </c>
      <c r="L118" s="432" t="str">
        <f t="shared" si="12"/>
        <v/>
      </c>
      <c r="M118" s="436" t="str">
        <f t="shared" si="13"/>
        <v/>
      </c>
    </row>
    <row r="119" spans="2:13" ht="20.25" x14ac:dyDescent="0.25">
      <c r="B119" s="46" t="str">
        <f t="shared" si="7"/>
        <v/>
      </c>
      <c r="C119" s="241" t="str">
        <f>'הגבלה לסכום מבוקש (1)'!C119</f>
        <v/>
      </c>
      <c r="D119" s="434" t="str">
        <f>'הגבלה לסכום מבוקש (1)'!U119</f>
        <v/>
      </c>
      <c r="E119" s="45"/>
      <c r="F119" s="431" t="str">
        <f t="shared" si="8"/>
        <v/>
      </c>
      <c r="G119" s="435" t="str">
        <f t="shared" si="9"/>
        <v/>
      </c>
      <c r="H119" s="435" t="str">
        <f t="shared" si="10"/>
        <v/>
      </c>
      <c r="J119" s="432" t="str">
        <f>IF($C119="","",IFERROR(IF('קיזוזים- החלטות ועדה'!E119=0,0,1),0))</f>
        <v/>
      </c>
      <c r="K119" s="432" t="str">
        <f t="shared" si="11"/>
        <v/>
      </c>
      <c r="L119" s="432" t="str">
        <f t="shared" si="12"/>
        <v/>
      </c>
      <c r="M119" s="436" t="str">
        <f t="shared" si="13"/>
        <v/>
      </c>
    </row>
    <row r="120" spans="2:13" ht="20.25" x14ac:dyDescent="0.25">
      <c r="B120" s="46" t="str">
        <f t="shared" si="7"/>
        <v/>
      </c>
      <c r="C120" s="241" t="str">
        <f>'הגבלה לסכום מבוקש (1)'!C120</f>
        <v/>
      </c>
      <c r="D120" s="434" t="str">
        <f>'הגבלה לסכום מבוקש (1)'!U120</f>
        <v/>
      </c>
      <c r="E120" s="45"/>
      <c r="F120" s="431" t="str">
        <f t="shared" si="8"/>
        <v/>
      </c>
      <c r="G120" s="435" t="str">
        <f t="shared" si="9"/>
        <v/>
      </c>
      <c r="H120" s="435" t="str">
        <f t="shared" si="10"/>
        <v/>
      </c>
      <c r="J120" s="432" t="str">
        <f>IF($C120="","",IFERROR(IF('קיזוזים- החלטות ועדה'!E120=0,0,1),0))</f>
        <v/>
      </c>
      <c r="K120" s="432" t="str">
        <f t="shared" si="11"/>
        <v/>
      </c>
      <c r="L120" s="432" t="str">
        <f t="shared" si="12"/>
        <v/>
      </c>
      <c r="M120" s="436" t="str">
        <f t="shared" si="13"/>
        <v/>
      </c>
    </row>
    <row r="121" spans="2:13" ht="20.25" x14ac:dyDescent="0.25">
      <c r="B121" s="46" t="str">
        <f t="shared" si="7"/>
        <v/>
      </c>
      <c r="C121" s="241" t="str">
        <f>'הגבלה לסכום מבוקש (1)'!C121</f>
        <v/>
      </c>
      <c r="D121" s="434" t="str">
        <f>'הגבלה לסכום מבוקש (1)'!U121</f>
        <v/>
      </c>
      <c r="E121" s="45"/>
      <c r="F121" s="431" t="str">
        <f t="shared" si="8"/>
        <v/>
      </c>
      <c r="G121" s="435" t="str">
        <f t="shared" si="9"/>
        <v/>
      </c>
      <c r="H121" s="435" t="str">
        <f t="shared" si="10"/>
        <v/>
      </c>
      <c r="J121" s="432" t="str">
        <f>IF($C121="","",IFERROR(IF('קיזוזים- החלטות ועדה'!E121=0,0,1),0))</f>
        <v/>
      </c>
      <c r="K121" s="432" t="str">
        <f t="shared" si="11"/>
        <v/>
      </c>
      <c r="L121" s="432" t="str">
        <f t="shared" si="12"/>
        <v/>
      </c>
      <c r="M121" s="436" t="str">
        <f t="shared" si="13"/>
        <v/>
      </c>
    </row>
    <row r="122" spans="2:13" ht="20.25" x14ac:dyDescent="0.25">
      <c r="B122" s="46" t="str">
        <f t="shared" si="7"/>
        <v/>
      </c>
      <c r="C122" s="241" t="str">
        <f>'הגבלה לסכום מבוקש (1)'!C122</f>
        <v/>
      </c>
      <c r="D122" s="434" t="str">
        <f>'הגבלה לסכום מבוקש (1)'!U122</f>
        <v/>
      </c>
      <c r="E122" s="45"/>
      <c r="F122" s="431" t="str">
        <f t="shared" si="8"/>
        <v/>
      </c>
      <c r="G122" s="435" t="str">
        <f t="shared" si="9"/>
        <v/>
      </c>
      <c r="H122" s="435" t="str">
        <f t="shared" si="10"/>
        <v/>
      </c>
      <c r="J122" s="432" t="str">
        <f>IF($C122="","",IFERROR(IF('קיזוזים- החלטות ועדה'!E122=0,0,1),0))</f>
        <v/>
      </c>
      <c r="K122" s="432" t="str">
        <f t="shared" si="11"/>
        <v/>
      </c>
      <c r="L122" s="432" t="str">
        <f t="shared" si="12"/>
        <v/>
      </c>
      <c r="M122" s="436" t="str">
        <f t="shared" si="13"/>
        <v/>
      </c>
    </row>
    <row r="123" spans="2:13" ht="20.25" x14ac:dyDescent="0.25">
      <c r="B123" s="46" t="str">
        <f t="shared" si="7"/>
        <v/>
      </c>
      <c r="C123" s="241" t="str">
        <f>'הגבלה לסכום מבוקש (1)'!C123</f>
        <v/>
      </c>
      <c r="D123" s="434" t="str">
        <f>'הגבלה לסכום מבוקש (1)'!U123</f>
        <v/>
      </c>
      <c r="E123" s="45"/>
      <c r="F123" s="431" t="str">
        <f t="shared" si="8"/>
        <v/>
      </c>
      <c r="G123" s="435" t="str">
        <f t="shared" si="9"/>
        <v/>
      </c>
      <c r="H123" s="435" t="str">
        <f t="shared" si="10"/>
        <v/>
      </c>
      <c r="J123" s="432" t="str">
        <f>IF($C123="","",IFERROR(IF('קיזוזים- החלטות ועדה'!E123=0,0,1),0))</f>
        <v/>
      </c>
      <c r="K123" s="432" t="str">
        <f t="shared" si="11"/>
        <v/>
      </c>
      <c r="L123" s="432" t="str">
        <f t="shared" si="12"/>
        <v/>
      </c>
      <c r="M123" s="436" t="str">
        <f t="shared" si="13"/>
        <v/>
      </c>
    </row>
    <row r="124" spans="2:13" ht="20.25" x14ac:dyDescent="0.25">
      <c r="B124" s="46" t="str">
        <f t="shared" si="7"/>
        <v/>
      </c>
      <c r="C124" s="241" t="str">
        <f>'הגבלה לסכום מבוקש (1)'!C124</f>
        <v/>
      </c>
      <c r="D124" s="434" t="str">
        <f>'הגבלה לסכום מבוקש (1)'!U124</f>
        <v/>
      </c>
      <c r="E124" s="45"/>
      <c r="F124" s="431" t="str">
        <f t="shared" si="8"/>
        <v/>
      </c>
      <c r="G124" s="435" t="str">
        <f t="shared" si="9"/>
        <v/>
      </c>
      <c r="H124" s="435" t="str">
        <f t="shared" si="10"/>
        <v/>
      </c>
      <c r="J124" s="432" t="str">
        <f>IF($C124="","",IFERROR(IF('קיזוזים- החלטות ועדה'!E124=0,0,1),0))</f>
        <v/>
      </c>
      <c r="K124" s="432" t="str">
        <f t="shared" si="11"/>
        <v/>
      </c>
      <c r="L124" s="432" t="str">
        <f t="shared" si="12"/>
        <v/>
      </c>
      <c r="M124" s="436" t="str">
        <f t="shared" si="13"/>
        <v/>
      </c>
    </row>
    <row r="125" spans="2:13" ht="20.25" x14ac:dyDescent="0.25">
      <c r="B125" s="46" t="str">
        <f t="shared" si="7"/>
        <v/>
      </c>
      <c r="C125" s="241" t="str">
        <f>'הגבלה לסכום מבוקש (1)'!C125</f>
        <v/>
      </c>
      <c r="D125" s="434" t="str">
        <f>'הגבלה לסכום מבוקש (1)'!U125</f>
        <v/>
      </c>
      <c r="E125" s="45"/>
      <c r="F125" s="431" t="str">
        <f t="shared" si="8"/>
        <v/>
      </c>
      <c r="G125" s="435" t="str">
        <f t="shared" si="9"/>
        <v/>
      </c>
      <c r="H125" s="435" t="str">
        <f t="shared" si="10"/>
        <v/>
      </c>
      <c r="J125" s="432" t="str">
        <f>IF($C125="","",IFERROR(IF('קיזוזים- החלטות ועדה'!E125=0,0,1),0))</f>
        <v/>
      </c>
      <c r="K125" s="432" t="str">
        <f t="shared" si="11"/>
        <v/>
      </c>
      <c r="L125" s="432" t="str">
        <f t="shared" si="12"/>
        <v/>
      </c>
      <c r="M125" s="436" t="str">
        <f t="shared" si="13"/>
        <v/>
      </c>
    </row>
    <row r="126" spans="2:13" ht="20.25" x14ac:dyDescent="0.25">
      <c r="B126" s="46" t="str">
        <f t="shared" si="7"/>
        <v/>
      </c>
      <c r="C126" s="241" t="str">
        <f>'הגבלה לסכום מבוקש (1)'!C126</f>
        <v/>
      </c>
      <c r="D126" s="434" t="str">
        <f>'הגבלה לסכום מבוקש (1)'!U126</f>
        <v/>
      </c>
      <c r="E126" s="45"/>
      <c r="F126" s="431" t="str">
        <f t="shared" si="8"/>
        <v/>
      </c>
      <c r="G126" s="435" t="str">
        <f t="shared" si="9"/>
        <v/>
      </c>
      <c r="H126" s="435" t="str">
        <f t="shared" si="10"/>
        <v/>
      </c>
      <c r="J126" s="432" t="str">
        <f>IF($C126="","",IFERROR(IF('קיזוזים- החלטות ועדה'!E126=0,0,1),0))</f>
        <v/>
      </c>
      <c r="K126" s="432" t="str">
        <f t="shared" si="11"/>
        <v/>
      </c>
      <c r="L126" s="432" t="str">
        <f t="shared" si="12"/>
        <v/>
      </c>
      <c r="M126" s="436" t="str">
        <f t="shared" si="13"/>
        <v/>
      </c>
    </row>
    <row r="127" spans="2:13" ht="20.25" x14ac:dyDescent="0.25">
      <c r="B127" s="46" t="str">
        <f t="shared" si="7"/>
        <v/>
      </c>
      <c r="C127" s="241" t="str">
        <f>'הגבלה לסכום מבוקש (1)'!C127</f>
        <v/>
      </c>
      <c r="D127" s="434" t="str">
        <f>'הגבלה לסכום מבוקש (1)'!U127</f>
        <v/>
      </c>
      <c r="E127" s="45"/>
      <c r="F127" s="431" t="str">
        <f t="shared" si="8"/>
        <v/>
      </c>
      <c r="G127" s="435" t="str">
        <f t="shared" si="9"/>
        <v/>
      </c>
      <c r="H127" s="435" t="str">
        <f t="shared" si="10"/>
        <v/>
      </c>
      <c r="J127" s="432" t="str">
        <f>IF($C127="","",IFERROR(IF('קיזוזים- החלטות ועדה'!E127=0,0,1),0))</f>
        <v/>
      </c>
      <c r="K127" s="432" t="str">
        <f t="shared" si="11"/>
        <v/>
      </c>
      <c r="L127" s="432" t="str">
        <f t="shared" si="12"/>
        <v/>
      </c>
      <c r="M127" s="436" t="str">
        <f t="shared" si="13"/>
        <v/>
      </c>
    </row>
    <row r="128" spans="2:13" ht="20.25" x14ac:dyDescent="0.25">
      <c r="B128" s="46" t="str">
        <f t="shared" si="7"/>
        <v/>
      </c>
      <c r="C128" s="241" t="str">
        <f>'הגבלה לסכום מבוקש (1)'!C128</f>
        <v/>
      </c>
      <c r="D128" s="434" t="str">
        <f>'הגבלה לסכום מבוקש (1)'!U128</f>
        <v/>
      </c>
      <c r="E128" s="45"/>
      <c r="F128" s="431" t="str">
        <f t="shared" si="8"/>
        <v/>
      </c>
      <c r="G128" s="435" t="str">
        <f t="shared" si="9"/>
        <v/>
      </c>
      <c r="H128" s="435" t="str">
        <f t="shared" si="10"/>
        <v/>
      </c>
      <c r="J128" s="432" t="str">
        <f>IF($C128="","",IFERROR(IF('קיזוזים- החלטות ועדה'!E128=0,0,1),0))</f>
        <v/>
      </c>
      <c r="K128" s="432" t="str">
        <f t="shared" si="11"/>
        <v/>
      </c>
      <c r="L128" s="432" t="str">
        <f t="shared" si="12"/>
        <v/>
      </c>
      <c r="M128" s="436" t="str">
        <f t="shared" si="13"/>
        <v/>
      </c>
    </row>
    <row r="129" spans="2:13" ht="20.25" x14ac:dyDescent="0.25">
      <c r="B129" s="46" t="str">
        <f t="shared" si="7"/>
        <v/>
      </c>
      <c r="C129" s="241" t="str">
        <f>'הגבלה לסכום מבוקש (1)'!C129</f>
        <v/>
      </c>
      <c r="D129" s="434" t="str">
        <f>'הגבלה לסכום מבוקש (1)'!U129</f>
        <v/>
      </c>
      <c r="E129" s="45"/>
      <c r="F129" s="431" t="str">
        <f t="shared" si="8"/>
        <v/>
      </c>
      <c r="G129" s="435" t="str">
        <f t="shared" si="9"/>
        <v/>
      </c>
      <c r="H129" s="435" t="str">
        <f t="shared" si="10"/>
        <v/>
      </c>
      <c r="J129" s="432" t="str">
        <f>IF($C129="","",IFERROR(IF('קיזוזים- החלטות ועדה'!E129=0,0,1),0))</f>
        <v/>
      </c>
      <c r="K129" s="432" t="str">
        <f t="shared" si="11"/>
        <v/>
      </c>
      <c r="L129" s="432" t="str">
        <f t="shared" si="12"/>
        <v/>
      </c>
      <c r="M129" s="436" t="str">
        <f t="shared" si="13"/>
        <v/>
      </c>
    </row>
    <row r="130" spans="2:13" ht="21" thickBot="1" x14ac:dyDescent="0.3">
      <c r="B130" s="46" t="str">
        <f t="shared" si="7"/>
        <v/>
      </c>
      <c r="C130" s="241" t="str">
        <f>'הגבלה לסכום מבוקש (1)'!C130</f>
        <v/>
      </c>
      <c r="D130" s="434" t="str">
        <f>'הגבלה לסכום מבוקש (1)'!U130</f>
        <v/>
      </c>
      <c r="E130" s="45"/>
      <c r="F130" s="431" t="str">
        <f t="shared" si="8"/>
        <v/>
      </c>
      <c r="G130" s="435" t="str">
        <f t="shared" si="9"/>
        <v/>
      </c>
      <c r="H130" s="435" t="str">
        <f t="shared" si="10"/>
        <v/>
      </c>
      <c r="J130" s="432" t="str">
        <f>IF($C130="","",IFERROR(IF('קיזוזים- החלטות ועדה'!E130=0,0,1),0))</f>
        <v/>
      </c>
      <c r="K130" s="432" t="str">
        <f t="shared" si="11"/>
        <v/>
      </c>
      <c r="L130" s="432" t="str">
        <f t="shared" si="12"/>
        <v/>
      </c>
      <c r="M130" s="436" t="str">
        <f t="shared" si="13"/>
        <v/>
      </c>
    </row>
    <row r="131" spans="2:13" ht="19.5" thickBot="1" x14ac:dyDescent="0.35">
      <c r="B131" s="635" t="s">
        <v>77</v>
      </c>
      <c r="C131" s="557"/>
      <c r="D131" s="42">
        <f>SUM(D31:D130)</f>
        <v>3076367.0000000009</v>
      </c>
      <c r="E131" s="42">
        <f>SUM(E31:E130)</f>
        <v>0</v>
      </c>
      <c r="F131" s="42">
        <f>SUM(F31:F130)</f>
        <v>0</v>
      </c>
      <c r="G131" s="42">
        <f>SUM(G31:G130)</f>
        <v>3076367.0000000009</v>
      </c>
      <c r="H131" s="42">
        <f>SUM(H31:H130)</f>
        <v>3076367.0000000009</v>
      </c>
    </row>
  </sheetData>
  <sheetProtection algorithmName="SHA-512" hashValue="bpDI69L6ayn8Yh4lDTJl9Fu3tqiy/d6fc/eHUhgpdwTL4Y+E9aiJCJ6PjF6v98+PbfmYYqHHugXzGU/i1N9GvA==" saltValue="967uWgcYmexCdJMUK7u38A==" spinCount="100000" sheet="1" scenarios="1" formatCells="0" formatColumns="0" formatRows="0" autoFilter="0"/>
  <mergeCells count="12">
    <mergeCell ref="B28:H28"/>
    <mergeCell ref="B29:B30"/>
    <mergeCell ref="C29:C30"/>
    <mergeCell ref="D29:D30"/>
    <mergeCell ref="F29:F30"/>
    <mergeCell ref="G29:G30"/>
    <mergeCell ref="H29:H30"/>
    <mergeCell ref="J29:J30"/>
    <mergeCell ref="K29:K30"/>
    <mergeCell ref="L29:L30"/>
    <mergeCell ref="M29:M30"/>
    <mergeCell ref="B131:C131"/>
  </mergeCells>
  <conditionalFormatting sqref="B31:H130">
    <cfRule type="expression" dxfId="51" priority="1" stopIfTrue="1">
      <formula>AND($C31="",B31&lt;&gt;"")</formula>
    </cfRule>
    <cfRule type="expression" dxfId="50" priority="2">
      <formula>$C31=""</formula>
    </cfRule>
    <cfRule type="expression" dxfId="49" priority="3">
      <formula>B$30&lt;&gt;""</formula>
    </cfRule>
  </conditionalFormatting>
  <conditionalFormatting sqref="C1:C2">
    <cfRule type="containsBlanks" dxfId="48" priority="8">
      <formula>LEN(TRIM(C1))=0</formula>
    </cfRule>
  </conditionalFormatting>
  <dataValidations count="1">
    <dataValidation type="whole" operator="greaterThanOrEqual" allowBlank="1" showInputMessage="1" showErrorMessage="1" error="יש להזין מספר שאינו שלילי" sqref="E31:E130" xr:uid="{00000000-0002-0000-1800-000000000000}">
      <formula1>0</formula1>
    </dataValidation>
  </dataValidations>
  <printOptions horizontalCentered="1"/>
  <pageMargins left="0.51181102362204722" right="0.51181102362204722" top="0.44" bottom="0.43" header="0.31496062992125984" footer="0.17"/>
  <pageSetup paperSize="9" scale="77" fitToHeight="0" orientation="portrait" horizontalDpi="1200" verticalDpi="1200" r:id="rId1"/>
  <headerFooter>
    <oddHeader>&amp;C&amp;"-,מודגש"&amp;Uמבחנים לתמיכה של משרד התרבות והספורט</oddHeader>
    <oddFooter>&amp;Lא. חפץ ושות'
יעוץ כלכלי&amp;C&amp;P</oddFooter>
  </headerFooter>
  <rowBreaks count="1" manualBreakCount="1">
    <brk id="123" min="1" max="7" man="1"/>
  </rowBreaks>
  <extLst>
    <ext xmlns:x14="http://schemas.microsoft.com/office/spreadsheetml/2009/9/main" uri="{78C0D931-6437-407d-A8EE-F0AAD7539E65}">
      <x14:conditionalFormattings>
        <x14:conditionalFormatting xmlns:xm="http://schemas.microsoft.com/office/excel/2006/main">
          <x14:cfRule type="containsText" priority="4" operator="containsText" id="{2766D02E-46FB-4FEF-AC51-0209B2E0745E}">
            <xm:f>NOT(ISERROR(SEARCH($P$1,B31)))</xm:f>
            <xm:f>$P$1</xm:f>
            <x14:dxf>
              <fill>
                <patternFill>
                  <bgColor rgb="FFFF0000"/>
                </patternFill>
              </fill>
            </x14:dxf>
          </x14:cfRule>
          <xm:sqref>B31:H130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tabColor theme="8" tint="-0.249977111117893"/>
  </sheetPr>
  <dimension ref="A1:GR131"/>
  <sheetViews>
    <sheetView rightToLeft="1" view="pageBreakPreview" zoomScaleNormal="80" zoomScaleSheetLayoutView="100" workbookViewId="0">
      <pane xSplit="1" ySplit="30" topLeftCell="B31" activePane="bottomRight" state="frozen"/>
      <selection pane="topRight" activeCell="G58" sqref="G58"/>
      <selection pane="bottomLeft" activeCell="G58" sqref="G58"/>
      <selection pane="bottomRight" activeCell="B31" sqref="B31"/>
    </sheetView>
  </sheetViews>
  <sheetFormatPr defaultColWidth="8" defaultRowHeight="21" x14ac:dyDescent="0.35"/>
  <cols>
    <col min="1" max="1" width="8" style="301" hidden="1" customWidth="1"/>
    <col min="2" max="2" width="11.28515625" style="301" customWidth="1"/>
    <col min="3" max="3" width="37.42578125" style="301" bestFit="1" customWidth="1"/>
    <col min="4" max="4" width="13.7109375" style="301" customWidth="1"/>
    <col min="5" max="5" width="14.5703125" style="301" customWidth="1"/>
    <col min="6" max="6" width="14" style="301" customWidth="1"/>
    <col min="7" max="7" width="13.28515625" style="301" customWidth="1"/>
    <col min="8" max="9" width="8" style="301" hidden="1" customWidth="1"/>
    <col min="10" max="10" width="19.42578125" style="301" hidden="1" customWidth="1"/>
    <col min="11" max="11" width="18.85546875" style="301" hidden="1" customWidth="1"/>
    <col min="12" max="200" width="8" style="301" hidden="1" customWidth="1"/>
    <col min="201" max="16384" width="8" style="301"/>
  </cols>
  <sheetData>
    <row r="1" spans="2:16" x14ac:dyDescent="0.35">
      <c r="B1" s="249" t="s">
        <v>108</v>
      </c>
      <c r="C1" s="1">
        <f>'פרמטרים לעקרונות חישוב התמיכה'!$C$1</f>
        <v>2025</v>
      </c>
      <c r="D1" s="297" t="str">
        <f>IF(AND($G$131&lt;&gt;0,$C$2&lt;&gt;$G$131),"בדוק חישובים","")</f>
        <v/>
      </c>
      <c r="P1" s="191" t="s">
        <v>115</v>
      </c>
    </row>
    <row r="2" spans="2:16" ht="30.75" thickBot="1" x14ac:dyDescent="0.4">
      <c r="B2" s="256" t="s">
        <v>15</v>
      </c>
      <c r="C2" s="2">
        <f>'פרמטרים לעקרונות חישוב התמיכה'!$C$2</f>
        <v>3076367</v>
      </c>
      <c r="J2" s="385" t="s">
        <v>362</v>
      </c>
      <c r="K2" s="385" t="s">
        <v>363</v>
      </c>
    </row>
    <row r="3" spans="2:16" x14ac:dyDescent="0.35">
      <c r="C3" s="186"/>
      <c r="D3" s="186"/>
      <c r="E3" s="186"/>
      <c r="F3" s="186"/>
      <c r="G3" s="186"/>
      <c r="I3" s="186"/>
      <c r="J3" s="302"/>
      <c r="K3" s="302"/>
      <c r="L3" s="186"/>
    </row>
    <row r="4" spans="2:16" hidden="1" x14ac:dyDescent="0.35">
      <c r="J4" s="299"/>
      <c r="K4" s="299"/>
    </row>
    <row r="5" spans="2:16" hidden="1" x14ac:dyDescent="0.35">
      <c r="C5" s="186"/>
      <c r="J5" s="299"/>
      <c r="K5" s="299"/>
    </row>
    <row r="6" spans="2:16" hidden="1" x14ac:dyDescent="0.35">
      <c r="J6" s="299"/>
      <c r="K6" s="299"/>
    </row>
    <row r="7" spans="2:16" hidden="1" x14ac:dyDescent="0.35">
      <c r="J7" s="299"/>
      <c r="K7" s="299"/>
    </row>
    <row r="8" spans="2:16" hidden="1" x14ac:dyDescent="0.35">
      <c r="J8" s="299"/>
      <c r="K8" s="299"/>
    </row>
    <row r="9" spans="2:16" ht="21" hidden="1" customHeight="1" x14ac:dyDescent="0.35">
      <c r="J9" s="299"/>
      <c r="K9" s="299"/>
    </row>
    <row r="10" spans="2:16" hidden="1" x14ac:dyDescent="0.35">
      <c r="J10" s="299"/>
      <c r="K10" s="299"/>
    </row>
    <row r="11" spans="2:16" hidden="1" x14ac:dyDescent="0.35">
      <c r="J11" s="299"/>
      <c r="K11" s="299"/>
    </row>
    <row r="12" spans="2:16" hidden="1" x14ac:dyDescent="0.35">
      <c r="J12" s="299"/>
      <c r="K12" s="299"/>
    </row>
    <row r="13" spans="2:16" hidden="1" x14ac:dyDescent="0.35">
      <c r="J13" s="299"/>
      <c r="K13" s="299"/>
    </row>
    <row r="14" spans="2:16" hidden="1" x14ac:dyDescent="0.35">
      <c r="J14" s="299"/>
      <c r="K14" s="299"/>
    </row>
    <row r="15" spans="2:16" hidden="1" x14ac:dyDescent="0.35">
      <c r="J15" s="299"/>
      <c r="K15" s="299"/>
    </row>
    <row r="16" spans="2:16" hidden="1" x14ac:dyDescent="0.35">
      <c r="J16" s="299"/>
      <c r="K16" s="299"/>
    </row>
    <row r="17" spans="2:12" hidden="1" x14ac:dyDescent="0.35">
      <c r="J17" s="299"/>
      <c r="K17" s="299"/>
    </row>
    <row r="18" spans="2:12" hidden="1" x14ac:dyDescent="0.35">
      <c r="J18" s="299"/>
      <c r="K18" s="299"/>
    </row>
    <row r="19" spans="2:12" hidden="1" x14ac:dyDescent="0.35">
      <c r="J19" s="299"/>
      <c r="K19" s="299"/>
    </row>
    <row r="20" spans="2:12" hidden="1" x14ac:dyDescent="0.35">
      <c r="J20" s="299"/>
      <c r="K20" s="299"/>
    </row>
    <row r="21" spans="2:12" hidden="1" x14ac:dyDescent="0.35">
      <c r="J21" s="299"/>
      <c r="K21" s="299"/>
    </row>
    <row r="22" spans="2:12" hidden="1" x14ac:dyDescent="0.35">
      <c r="J22" s="299"/>
      <c r="K22" s="299"/>
    </row>
    <row r="23" spans="2:12" hidden="1" x14ac:dyDescent="0.35">
      <c r="J23" s="299"/>
      <c r="K23" s="299"/>
    </row>
    <row r="24" spans="2:12" hidden="1" x14ac:dyDescent="0.35">
      <c r="J24" s="299"/>
      <c r="K24" s="299"/>
    </row>
    <row r="25" spans="2:12" hidden="1" x14ac:dyDescent="0.35">
      <c r="J25" s="299"/>
      <c r="K25" s="299"/>
    </row>
    <row r="26" spans="2:12" hidden="1" x14ac:dyDescent="0.35">
      <c r="J26" s="299"/>
      <c r="K26" s="299"/>
    </row>
    <row r="27" spans="2:12" ht="21.75" thickBot="1" x14ac:dyDescent="0.4">
      <c r="J27" s="432">
        <f>SUMIF(K31:K130,0,D31:D130)</f>
        <v>3076367.0000000009</v>
      </c>
      <c r="K27" s="433">
        <f>SUM(E31:E130)</f>
        <v>0</v>
      </c>
    </row>
    <row r="28" spans="2:12" ht="21" customHeight="1" thickBot="1" x14ac:dyDescent="0.4">
      <c r="B28" s="647" t="str">
        <f ca="1">MID(CELL("filename",B30),FIND("]",CELL("filename",C30),1)+1,99)</f>
        <v>קיזוזים- החלטות ועדה</v>
      </c>
      <c r="C28" s="648"/>
      <c r="D28" s="648"/>
      <c r="E28" s="648"/>
      <c r="F28" s="648"/>
      <c r="G28" s="649"/>
    </row>
    <row r="29" spans="2:12" ht="36" customHeight="1" x14ac:dyDescent="0.35">
      <c r="B29" s="641" t="s">
        <v>219</v>
      </c>
      <c r="C29" s="594" t="s">
        <v>133</v>
      </c>
      <c r="D29" s="641" t="s">
        <v>373</v>
      </c>
      <c r="E29" s="294" t="s">
        <v>366</v>
      </c>
      <c r="F29" s="641" t="s">
        <v>367</v>
      </c>
      <c r="G29" s="643" t="s">
        <v>368</v>
      </c>
      <c r="I29" s="645" t="s">
        <v>369</v>
      </c>
      <c r="J29" s="645" t="s">
        <v>370</v>
      </c>
      <c r="K29" s="645" t="s">
        <v>371</v>
      </c>
      <c r="L29" s="645" t="s">
        <v>372</v>
      </c>
    </row>
    <row r="30" spans="2:12" ht="32.25" thickBot="1" x14ac:dyDescent="0.4">
      <c r="B30" s="642"/>
      <c r="C30" s="595"/>
      <c r="D30" s="642"/>
      <c r="E30" s="300" t="s">
        <v>120</v>
      </c>
      <c r="F30" s="642"/>
      <c r="G30" s="644"/>
      <c r="I30" s="646"/>
      <c r="J30" s="646"/>
      <c r="K30" s="646"/>
      <c r="L30" s="646"/>
    </row>
    <row r="31" spans="2:12" ht="32.25" customHeight="1" x14ac:dyDescent="0.35">
      <c r="B31" s="44">
        <f>IF(C31="","",ROW()-30)</f>
        <v>1</v>
      </c>
      <c r="C31" s="241" t="str">
        <f>'קיזוזים בגין איחורים'!C31</f>
        <v>אנסמבל פרץ אליהו</v>
      </c>
      <c r="D31" s="434">
        <f>'קיזוזים בגין איחורים'!H31</f>
        <v>95000</v>
      </c>
      <c r="E31" s="45"/>
      <c r="F31" s="435">
        <f t="shared" ref="F31:F62" si="0">IF($C31="","",IF(E31&gt;D31,$P$1,D31-E31))</f>
        <v>95000</v>
      </c>
      <c r="G31" s="435">
        <f>IF($C31="","",F31+L31)</f>
        <v>95000</v>
      </c>
      <c r="I31" s="432">
        <f>IF($C31="","",IFERROR(IF(E31=0,0,1),0))</f>
        <v>0</v>
      </c>
      <c r="J31" s="432">
        <f>IF($C31="","",IFERROR(IF('קיזוזים בגין איחורים'!E31=0,0,1),0))</f>
        <v>0</v>
      </c>
      <c r="K31" s="432">
        <f>IF($C31="","",IF(OR(J31=1,I31=1),1,0))</f>
        <v>0</v>
      </c>
      <c r="L31" s="432">
        <f t="shared" ref="L31:L62" si="1">IF($C31="","",IF(K31=1,0,$K$27*$D31/$J$27))</f>
        <v>0</v>
      </c>
    </row>
    <row r="32" spans="2:12" ht="32.25" customHeight="1" x14ac:dyDescent="0.35">
      <c r="B32" s="44" t="str">
        <f t="shared" ref="B32:B95" si="2">IF(C32="","",ROW()-30)</f>
        <v/>
      </c>
      <c r="C32" s="241" t="str">
        <f>'קיזוזים בגין איחורים'!C32</f>
        <v/>
      </c>
      <c r="D32" s="434" t="str">
        <f>'קיזוזים בגין איחורים'!H32</f>
        <v/>
      </c>
      <c r="E32" s="45"/>
      <c r="F32" s="435" t="str">
        <f t="shared" si="0"/>
        <v/>
      </c>
      <c r="G32" s="435" t="str">
        <f t="shared" ref="G32:G95" si="3">IF($C32="","",F32+L32)</f>
        <v/>
      </c>
      <c r="I32" s="432" t="str">
        <f t="shared" ref="I32:I95" si="4">IF($C32="","",IFERROR(IF(E32=0,0,1),0))</f>
        <v/>
      </c>
      <c r="J32" s="432" t="str">
        <f>IF($C32="","",IFERROR(IF('קיזוזים בגין איחורים'!E32=0,0,1),0))</f>
        <v/>
      </c>
      <c r="K32" s="432" t="str">
        <f t="shared" ref="K32:K95" si="5">IF($C32="","",IF(OR(J32=1,I32=1),1,0))</f>
        <v/>
      </c>
      <c r="L32" s="432" t="str">
        <f t="shared" si="1"/>
        <v/>
      </c>
    </row>
    <row r="33" spans="2:12" ht="32.25" customHeight="1" x14ac:dyDescent="0.35">
      <c r="B33" s="44" t="str">
        <f t="shared" si="2"/>
        <v/>
      </c>
      <c r="C33" s="241" t="str">
        <f>'קיזוזים בגין איחורים'!C33</f>
        <v/>
      </c>
      <c r="D33" s="434" t="str">
        <f>'קיזוזים בגין איחורים'!H33</f>
        <v/>
      </c>
      <c r="E33" s="45"/>
      <c r="F33" s="435" t="str">
        <f t="shared" si="0"/>
        <v/>
      </c>
      <c r="G33" s="435" t="str">
        <f t="shared" si="3"/>
        <v/>
      </c>
      <c r="I33" s="432" t="str">
        <f t="shared" si="4"/>
        <v/>
      </c>
      <c r="J33" s="432" t="str">
        <f>IF($C33="","",IFERROR(IF('קיזוזים בגין איחורים'!E33=0,0,1),0))</f>
        <v/>
      </c>
      <c r="K33" s="432" t="str">
        <f t="shared" si="5"/>
        <v/>
      </c>
      <c r="L33" s="432" t="str">
        <f t="shared" si="1"/>
        <v/>
      </c>
    </row>
    <row r="34" spans="2:12" ht="32.25" customHeight="1" x14ac:dyDescent="0.35">
      <c r="B34" s="44">
        <f t="shared" si="2"/>
        <v>4</v>
      </c>
      <c r="C34" s="241" t="str">
        <f>'קיזוזים בגין איחורים'!C34</f>
        <v>יניב ד'אור - אנסמבל נאיה</v>
      </c>
      <c r="D34" s="434">
        <f>'קיזוזים בגין איחורים'!H34</f>
        <v>65000</v>
      </c>
      <c r="E34" s="45"/>
      <c r="F34" s="435">
        <f t="shared" si="0"/>
        <v>65000</v>
      </c>
      <c r="G34" s="435">
        <f t="shared" si="3"/>
        <v>65000</v>
      </c>
      <c r="I34" s="432">
        <f t="shared" si="4"/>
        <v>0</v>
      </c>
      <c r="J34" s="432">
        <f>IF($C34="","",IFERROR(IF('קיזוזים בגין איחורים'!E34=0,0,1),0))</f>
        <v>0</v>
      </c>
      <c r="K34" s="432">
        <f t="shared" si="5"/>
        <v>0</v>
      </c>
      <c r="L34" s="432">
        <f t="shared" si="1"/>
        <v>0</v>
      </c>
    </row>
    <row r="35" spans="2:12" ht="32.25" hidden="1" customHeight="1" x14ac:dyDescent="0.35">
      <c r="B35" s="44" t="str">
        <f t="shared" si="2"/>
        <v/>
      </c>
      <c r="C35" s="241" t="str">
        <f>'קיזוזים בגין איחורים'!C35</f>
        <v/>
      </c>
      <c r="D35" s="434" t="str">
        <f>'קיזוזים בגין איחורים'!H35</f>
        <v/>
      </c>
      <c r="E35" s="45"/>
      <c r="F35" s="435" t="str">
        <f t="shared" si="0"/>
        <v/>
      </c>
      <c r="G35" s="435" t="str">
        <f t="shared" si="3"/>
        <v/>
      </c>
      <c r="I35" s="432" t="str">
        <f t="shared" si="4"/>
        <v/>
      </c>
      <c r="J35" s="432" t="str">
        <f>IF($C35="","",IFERROR(IF('קיזוזים בגין איחורים'!E35=0,0,1),0))</f>
        <v/>
      </c>
      <c r="K35" s="432" t="str">
        <f t="shared" si="5"/>
        <v/>
      </c>
      <c r="L35" s="432" t="str">
        <f t="shared" si="1"/>
        <v/>
      </c>
    </row>
    <row r="36" spans="2:12" ht="32.25" customHeight="1" x14ac:dyDescent="0.35">
      <c r="B36" s="44">
        <f t="shared" si="2"/>
        <v>6</v>
      </c>
      <c r="C36" s="241" t="str">
        <f>'קיזוזים בגין איחורים'!C36</f>
        <v>הפרויקט הקאמרי הישראלי</v>
      </c>
      <c r="D36" s="434">
        <f>'קיזוזים בגין איחורים'!H36</f>
        <v>85314.896794804066</v>
      </c>
      <c r="E36" s="45"/>
      <c r="F36" s="435">
        <f t="shared" si="0"/>
        <v>85314.896794804066</v>
      </c>
      <c r="G36" s="435">
        <f t="shared" si="3"/>
        <v>85314.896794804066</v>
      </c>
      <c r="I36" s="432">
        <f t="shared" si="4"/>
        <v>0</v>
      </c>
      <c r="J36" s="432">
        <f>IF($C36="","",IFERROR(IF('קיזוזים בגין איחורים'!E36=0,0,1),0))</f>
        <v>0</v>
      </c>
      <c r="K36" s="432">
        <f t="shared" si="5"/>
        <v>0</v>
      </c>
      <c r="L36" s="432">
        <f t="shared" si="1"/>
        <v>0</v>
      </c>
    </row>
    <row r="37" spans="2:12" ht="32.25" customHeight="1" x14ac:dyDescent="0.35">
      <c r="B37" s="44">
        <f t="shared" si="2"/>
        <v>7</v>
      </c>
      <c r="C37" s="241" t="str">
        <f>'קיזוזים בגין איחורים'!C37</f>
        <v>מארש דונדורמה</v>
      </c>
      <c r="D37" s="434">
        <f>'קיזוזים בגין איחורים'!H37</f>
        <v>130000</v>
      </c>
      <c r="E37" s="45"/>
      <c r="F37" s="435">
        <f t="shared" si="0"/>
        <v>130000</v>
      </c>
      <c r="G37" s="435">
        <f t="shared" si="3"/>
        <v>130000</v>
      </c>
      <c r="I37" s="432">
        <f t="shared" si="4"/>
        <v>0</v>
      </c>
      <c r="J37" s="432">
        <f>IF($C37="","",IFERROR(IF('קיזוזים בגין איחורים'!E37=0,0,1),0))</f>
        <v>0</v>
      </c>
      <c r="K37" s="432">
        <f t="shared" si="5"/>
        <v>0</v>
      </c>
      <c r="L37" s="432">
        <f t="shared" si="1"/>
        <v>0</v>
      </c>
    </row>
    <row r="38" spans="2:12" ht="32.25" customHeight="1" x14ac:dyDescent="0.35">
      <c r="B38" s="44">
        <f t="shared" si="2"/>
        <v>8</v>
      </c>
      <c r="C38" s="241" t="str">
        <f>'קיזוזים בגין איחורים'!C38</f>
        <v>להקת מורין נהדר</v>
      </c>
      <c r="D38" s="434">
        <f>'קיזוזים בגין איחורים'!H38</f>
        <v>32830.438409345188</v>
      </c>
      <c r="E38" s="45"/>
      <c r="F38" s="435">
        <f t="shared" si="0"/>
        <v>32830.438409345188</v>
      </c>
      <c r="G38" s="435">
        <f t="shared" si="3"/>
        <v>32830.438409345188</v>
      </c>
      <c r="I38" s="432">
        <f t="shared" si="4"/>
        <v>0</v>
      </c>
      <c r="J38" s="432">
        <f>IF($C38="","",IFERROR(IF('קיזוזים בגין איחורים'!E38=0,0,1),0))</f>
        <v>0</v>
      </c>
      <c r="K38" s="432">
        <f t="shared" si="5"/>
        <v>0</v>
      </c>
      <c r="L38" s="432">
        <f t="shared" si="1"/>
        <v>0</v>
      </c>
    </row>
    <row r="39" spans="2:12" ht="32.25" hidden="1" customHeight="1" x14ac:dyDescent="0.35">
      <c r="B39" s="44" t="str">
        <f t="shared" si="2"/>
        <v/>
      </c>
      <c r="C39" s="241" t="str">
        <f>'קיזוזים בגין איחורים'!C39</f>
        <v/>
      </c>
      <c r="D39" s="434" t="str">
        <f>'קיזוזים בגין איחורים'!H39</f>
        <v/>
      </c>
      <c r="E39" s="45"/>
      <c r="F39" s="435" t="str">
        <f t="shared" si="0"/>
        <v/>
      </c>
      <c r="G39" s="435" t="str">
        <f t="shared" si="3"/>
        <v/>
      </c>
      <c r="I39" s="432" t="str">
        <f t="shared" si="4"/>
        <v/>
      </c>
      <c r="J39" s="432" t="str">
        <f>IF($C39="","",IFERROR(IF('קיזוזים בגין איחורים'!E39=0,0,1),0))</f>
        <v/>
      </c>
      <c r="K39" s="432" t="str">
        <f t="shared" si="5"/>
        <v/>
      </c>
      <c r="L39" s="432" t="str">
        <f t="shared" si="1"/>
        <v/>
      </c>
    </row>
    <row r="40" spans="2:12" ht="32.25" customHeight="1" x14ac:dyDescent="0.35">
      <c r="B40" s="44">
        <f t="shared" si="2"/>
        <v>10</v>
      </c>
      <c r="C40" s="241" t="str">
        <f>'קיזוזים בגין איחורים'!C40</f>
        <v>אנסמבל גלעד אפרת</v>
      </c>
      <c r="D40" s="434">
        <f>'קיזוזים בגין איחורים'!H40</f>
        <v>65000</v>
      </c>
      <c r="E40" s="45"/>
      <c r="F40" s="435">
        <f t="shared" si="0"/>
        <v>65000</v>
      </c>
      <c r="G40" s="435">
        <f t="shared" si="3"/>
        <v>65000</v>
      </c>
      <c r="I40" s="432">
        <f t="shared" si="4"/>
        <v>0</v>
      </c>
      <c r="J40" s="432">
        <f>IF($C40="","",IFERROR(IF('קיזוזים בגין איחורים'!E40=0,0,1),0))</f>
        <v>0</v>
      </c>
      <c r="K40" s="432">
        <f t="shared" si="5"/>
        <v>0</v>
      </c>
      <c r="L40" s="432">
        <f t="shared" si="1"/>
        <v>0</v>
      </c>
    </row>
    <row r="41" spans="2:12" ht="32.25" customHeight="1" x14ac:dyDescent="0.35">
      <c r="B41" s="44">
        <f t="shared" si="2"/>
        <v>11</v>
      </c>
      <c r="C41" s="241" t="str">
        <f>'קיזוזים בגין איחורים'!C41</f>
        <v>רביעיית כרמל</v>
      </c>
      <c r="D41" s="434">
        <f>'קיזוזים בגין איחורים'!H41</f>
        <v>128000</v>
      </c>
      <c r="E41" s="45"/>
      <c r="F41" s="435">
        <f t="shared" si="0"/>
        <v>128000</v>
      </c>
      <c r="G41" s="435">
        <f t="shared" si="3"/>
        <v>128000</v>
      </c>
      <c r="I41" s="432">
        <f t="shared" si="4"/>
        <v>0</v>
      </c>
      <c r="J41" s="432">
        <f>IF($C41="","",IFERROR(IF('קיזוזים בגין איחורים'!E41=0,0,1),0))</f>
        <v>0</v>
      </c>
      <c r="K41" s="432">
        <f t="shared" si="5"/>
        <v>0</v>
      </c>
      <c r="L41" s="432">
        <f t="shared" si="1"/>
        <v>0</v>
      </c>
    </row>
    <row r="42" spans="2:12" ht="32.25" customHeight="1" x14ac:dyDescent="0.35">
      <c r="B42" s="44">
        <f t="shared" si="2"/>
        <v>12</v>
      </c>
      <c r="C42" s="241" t="str">
        <f>'קיזוזים בגין איחורים'!C42</f>
        <v>שורולה</v>
      </c>
      <c r="D42" s="434">
        <f>'קיזוזים בגין איחורים'!H42</f>
        <v>39804.281679595137</v>
      </c>
      <c r="E42" s="45"/>
      <c r="F42" s="435">
        <f t="shared" si="0"/>
        <v>39804.281679595137</v>
      </c>
      <c r="G42" s="435">
        <f t="shared" si="3"/>
        <v>39804.281679595137</v>
      </c>
      <c r="I42" s="432">
        <f t="shared" si="4"/>
        <v>0</v>
      </c>
      <c r="J42" s="432">
        <f>IF($C42="","",IFERROR(IF('קיזוזים בגין איחורים'!E42=0,0,1),0))</f>
        <v>0</v>
      </c>
      <c r="K42" s="432">
        <f t="shared" si="5"/>
        <v>0</v>
      </c>
      <c r="L42" s="432">
        <f t="shared" si="1"/>
        <v>0</v>
      </c>
    </row>
    <row r="43" spans="2:12" ht="32.25" hidden="1" customHeight="1" x14ac:dyDescent="0.35">
      <c r="B43" s="44" t="str">
        <f t="shared" si="2"/>
        <v/>
      </c>
      <c r="C43" s="241" t="str">
        <f>'קיזוזים בגין איחורים'!C43</f>
        <v/>
      </c>
      <c r="D43" s="434" t="str">
        <f>'קיזוזים בגין איחורים'!H43</f>
        <v/>
      </c>
      <c r="E43" s="45"/>
      <c r="F43" s="435" t="str">
        <f t="shared" si="0"/>
        <v/>
      </c>
      <c r="G43" s="435" t="str">
        <f t="shared" si="3"/>
        <v/>
      </c>
      <c r="I43" s="432" t="str">
        <f t="shared" si="4"/>
        <v/>
      </c>
      <c r="J43" s="432" t="str">
        <f>IF($C43="","",IFERROR(IF('קיזוזים בגין איחורים'!E43=0,0,1),0))</f>
        <v/>
      </c>
      <c r="K43" s="432" t="str">
        <f t="shared" si="5"/>
        <v/>
      </c>
      <c r="L43" s="432" t="str">
        <f t="shared" si="1"/>
        <v/>
      </c>
    </row>
    <row r="44" spans="2:12" ht="32.25" hidden="1" customHeight="1" x14ac:dyDescent="0.35">
      <c r="B44" s="44" t="str">
        <f t="shared" si="2"/>
        <v/>
      </c>
      <c r="C44" s="241" t="str">
        <f>'קיזוזים בגין איחורים'!C44</f>
        <v/>
      </c>
      <c r="D44" s="434" t="str">
        <f>'קיזוזים בגין איחורים'!H44</f>
        <v/>
      </c>
      <c r="E44" s="45"/>
      <c r="F44" s="435" t="str">
        <f t="shared" si="0"/>
        <v/>
      </c>
      <c r="G44" s="435" t="str">
        <f t="shared" si="3"/>
        <v/>
      </c>
      <c r="I44" s="432" t="str">
        <f t="shared" si="4"/>
        <v/>
      </c>
      <c r="J44" s="432" t="str">
        <f>IF($C44="","",IFERROR(IF('קיזוזים בגין איחורים'!E44=0,0,1),0))</f>
        <v/>
      </c>
      <c r="K44" s="432" t="str">
        <f t="shared" si="5"/>
        <v/>
      </c>
      <c r="L44" s="432" t="str">
        <f t="shared" si="1"/>
        <v/>
      </c>
    </row>
    <row r="45" spans="2:12" ht="32.25" customHeight="1" x14ac:dyDescent="0.35">
      <c r="B45" s="44" t="str">
        <f t="shared" si="2"/>
        <v/>
      </c>
      <c r="C45" s="241" t="str">
        <f>'קיזוזים בגין איחורים'!C45</f>
        <v/>
      </c>
      <c r="D45" s="434" t="str">
        <f>'קיזוזים בגין איחורים'!H45</f>
        <v/>
      </c>
      <c r="E45" s="45"/>
      <c r="F45" s="435" t="str">
        <f t="shared" si="0"/>
        <v/>
      </c>
      <c r="G45" s="435" t="str">
        <f t="shared" si="3"/>
        <v/>
      </c>
      <c r="I45" s="432" t="str">
        <f t="shared" si="4"/>
        <v/>
      </c>
      <c r="J45" s="432" t="str">
        <f>IF($C45="","",IFERROR(IF('קיזוזים בגין איחורים'!E45=0,0,1),0))</f>
        <v/>
      </c>
      <c r="K45" s="432" t="str">
        <f t="shared" si="5"/>
        <v/>
      </c>
      <c r="L45" s="432" t="str">
        <f t="shared" si="1"/>
        <v/>
      </c>
    </row>
    <row r="46" spans="2:12" ht="32.25" customHeight="1" x14ac:dyDescent="0.35">
      <c r="B46" s="44" t="str">
        <f t="shared" si="2"/>
        <v/>
      </c>
      <c r="C46" s="241" t="str">
        <f>'קיזוזים בגין איחורים'!C46</f>
        <v/>
      </c>
      <c r="D46" s="434" t="str">
        <f>'קיזוזים בגין איחורים'!H46</f>
        <v/>
      </c>
      <c r="E46" s="45"/>
      <c r="F46" s="435" t="str">
        <f t="shared" si="0"/>
        <v/>
      </c>
      <c r="G46" s="435" t="str">
        <f t="shared" si="3"/>
        <v/>
      </c>
      <c r="I46" s="432" t="str">
        <f t="shared" si="4"/>
        <v/>
      </c>
      <c r="J46" s="432" t="str">
        <f>IF($C46="","",IFERROR(IF('קיזוזים בגין איחורים'!E46=0,0,1),0))</f>
        <v/>
      </c>
      <c r="K46" s="432" t="str">
        <f t="shared" si="5"/>
        <v/>
      </c>
      <c r="L46" s="432" t="str">
        <f t="shared" si="1"/>
        <v/>
      </c>
    </row>
    <row r="47" spans="2:12" ht="32.25" customHeight="1" x14ac:dyDescent="0.35">
      <c r="B47" s="44">
        <f t="shared" si="2"/>
        <v>17</v>
      </c>
      <c r="C47" s="241" t="str">
        <f>'קיזוזים בגין איחורים'!C47</f>
        <v>הרכב עמית פרידמן</v>
      </c>
      <c r="D47" s="434">
        <f>'קיזוזים בגין איחורים'!H47</f>
        <v>70000</v>
      </c>
      <c r="E47" s="45"/>
      <c r="F47" s="435">
        <f t="shared" si="0"/>
        <v>70000</v>
      </c>
      <c r="G47" s="435">
        <f t="shared" si="3"/>
        <v>70000</v>
      </c>
      <c r="I47" s="432">
        <f t="shared" si="4"/>
        <v>0</v>
      </c>
      <c r="J47" s="432">
        <f>IF($C47="","",IFERROR(IF('קיזוזים בגין איחורים'!E47=0,0,1),0))</f>
        <v>0</v>
      </c>
      <c r="K47" s="432">
        <f t="shared" si="5"/>
        <v>0</v>
      </c>
      <c r="L47" s="432">
        <f t="shared" si="1"/>
        <v>0</v>
      </c>
    </row>
    <row r="48" spans="2:12" ht="32.25" hidden="1" customHeight="1" x14ac:dyDescent="0.35">
      <c r="B48" s="44" t="str">
        <f t="shared" si="2"/>
        <v/>
      </c>
      <c r="C48" s="241" t="str">
        <f>'קיזוזים בגין איחורים'!C48</f>
        <v/>
      </c>
      <c r="D48" s="434" t="str">
        <f>'קיזוזים בגין איחורים'!H48</f>
        <v/>
      </c>
      <c r="E48" s="45"/>
      <c r="F48" s="435" t="str">
        <f t="shared" si="0"/>
        <v/>
      </c>
      <c r="G48" s="435" t="str">
        <f t="shared" si="3"/>
        <v/>
      </c>
      <c r="I48" s="432" t="str">
        <f t="shared" si="4"/>
        <v/>
      </c>
      <c r="J48" s="432" t="str">
        <f>IF($C48="","",IFERROR(IF('קיזוזים בגין איחורים'!E48=0,0,1),0))</f>
        <v/>
      </c>
      <c r="K48" s="432" t="str">
        <f t="shared" si="5"/>
        <v/>
      </c>
      <c r="L48" s="432" t="str">
        <f t="shared" si="1"/>
        <v/>
      </c>
    </row>
    <row r="49" spans="2:12" ht="32.25" hidden="1" customHeight="1" x14ac:dyDescent="0.35">
      <c r="B49" s="44" t="str">
        <f t="shared" si="2"/>
        <v/>
      </c>
      <c r="C49" s="241" t="str">
        <f>'קיזוזים בגין איחורים'!C49</f>
        <v/>
      </c>
      <c r="D49" s="434" t="str">
        <f>'קיזוזים בגין איחורים'!H49</f>
        <v/>
      </c>
      <c r="E49" s="45"/>
      <c r="F49" s="435" t="str">
        <f t="shared" si="0"/>
        <v/>
      </c>
      <c r="G49" s="435" t="str">
        <f t="shared" si="3"/>
        <v/>
      </c>
      <c r="I49" s="432" t="str">
        <f t="shared" si="4"/>
        <v/>
      </c>
      <c r="J49" s="432" t="str">
        <f>IF($C49="","",IFERROR(IF('קיזוזים בגין איחורים'!E49=0,0,1),0))</f>
        <v/>
      </c>
      <c r="K49" s="432" t="str">
        <f t="shared" si="5"/>
        <v/>
      </c>
      <c r="L49" s="432" t="str">
        <f t="shared" si="1"/>
        <v/>
      </c>
    </row>
    <row r="50" spans="2:12" ht="32.25" hidden="1" customHeight="1" x14ac:dyDescent="0.35">
      <c r="B50" s="44" t="str">
        <f t="shared" si="2"/>
        <v/>
      </c>
      <c r="C50" s="241" t="str">
        <f>'קיזוזים בגין איחורים'!C50</f>
        <v/>
      </c>
      <c r="D50" s="434" t="str">
        <f>'קיזוזים בגין איחורים'!H50</f>
        <v/>
      </c>
      <c r="E50" s="45"/>
      <c r="F50" s="435" t="str">
        <f t="shared" si="0"/>
        <v/>
      </c>
      <c r="G50" s="435" t="str">
        <f t="shared" si="3"/>
        <v/>
      </c>
      <c r="I50" s="432" t="str">
        <f t="shared" si="4"/>
        <v/>
      </c>
      <c r="J50" s="432" t="str">
        <f>IF($C50="","",IFERROR(IF('קיזוזים בגין איחורים'!E50=0,0,1),0))</f>
        <v/>
      </c>
      <c r="K50" s="432" t="str">
        <f t="shared" si="5"/>
        <v/>
      </c>
      <c r="L50" s="432" t="str">
        <f t="shared" si="1"/>
        <v/>
      </c>
    </row>
    <row r="51" spans="2:12" ht="32.25" customHeight="1" x14ac:dyDescent="0.35">
      <c r="B51" s="44">
        <f t="shared" si="2"/>
        <v>21</v>
      </c>
      <c r="C51" s="241" t="str">
        <f>'קיזוזים בגין איחורים'!C51</f>
        <v>חמישיית תל אביב לכלי נשיפה</v>
      </c>
      <c r="D51" s="434">
        <f>'קיזוזים בגין איחורים'!H51</f>
        <v>90000</v>
      </c>
      <c r="E51" s="45"/>
      <c r="F51" s="435">
        <f t="shared" si="0"/>
        <v>90000</v>
      </c>
      <c r="G51" s="435">
        <f t="shared" si="3"/>
        <v>90000</v>
      </c>
      <c r="I51" s="432">
        <f t="shared" si="4"/>
        <v>0</v>
      </c>
      <c r="J51" s="432">
        <f>IF($C51="","",IFERROR(IF('קיזוזים בגין איחורים'!E51=0,0,1),0))</f>
        <v>0</v>
      </c>
      <c r="K51" s="432">
        <f t="shared" si="5"/>
        <v>0</v>
      </c>
      <c r="L51" s="432">
        <f t="shared" si="1"/>
        <v>0</v>
      </c>
    </row>
    <row r="52" spans="2:12" ht="32.25" customHeight="1" x14ac:dyDescent="0.35">
      <c r="B52" s="44">
        <f t="shared" si="2"/>
        <v>22</v>
      </c>
      <c r="C52" s="241" t="str">
        <f>'קיזוזים בגין איחורים'!C52</f>
        <v>הרכב אקוט</v>
      </c>
      <c r="D52" s="434">
        <f>'קיזוזים בגין איחורים'!H52</f>
        <v>120000</v>
      </c>
      <c r="E52" s="45"/>
      <c r="F52" s="435">
        <f t="shared" si="0"/>
        <v>120000</v>
      </c>
      <c r="G52" s="435">
        <f t="shared" si="3"/>
        <v>120000</v>
      </c>
      <c r="I52" s="432">
        <f t="shared" si="4"/>
        <v>0</v>
      </c>
      <c r="J52" s="432">
        <f>IF($C52="","",IFERROR(IF('קיזוזים בגין איחורים'!E52=0,0,1),0))</f>
        <v>0</v>
      </c>
      <c r="K52" s="432">
        <f t="shared" si="5"/>
        <v>0</v>
      </c>
      <c r="L52" s="432">
        <f t="shared" si="1"/>
        <v>0</v>
      </c>
    </row>
    <row r="53" spans="2:12" ht="32.25" customHeight="1" x14ac:dyDescent="0.35">
      <c r="B53" s="44">
        <f t="shared" si="2"/>
        <v>23</v>
      </c>
      <c r="C53" s="241" t="str">
        <f>'קיזוזים בגין איחורים'!C53</f>
        <v>שלישיית עתר</v>
      </c>
      <c r="D53" s="434">
        <f>'קיזוזים בגין איחורים'!H53</f>
        <v>75000</v>
      </c>
      <c r="E53" s="45"/>
      <c r="F53" s="435">
        <f t="shared" si="0"/>
        <v>75000</v>
      </c>
      <c r="G53" s="435">
        <f t="shared" si="3"/>
        <v>75000</v>
      </c>
      <c r="I53" s="432">
        <f t="shared" si="4"/>
        <v>0</v>
      </c>
      <c r="J53" s="432">
        <f>IF($C53="","",IFERROR(IF('קיזוזים בגין איחורים'!E53=0,0,1),0))</f>
        <v>0</v>
      </c>
      <c r="K53" s="432">
        <f t="shared" si="5"/>
        <v>0</v>
      </c>
      <c r="L53" s="432">
        <f t="shared" si="1"/>
        <v>0</v>
      </c>
    </row>
    <row r="54" spans="2:12" ht="32.25" customHeight="1" x14ac:dyDescent="0.35">
      <c r="B54" s="44" t="str">
        <f t="shared" si="2"/>
        <v/>
      </c>
      <c r="C54" s="241" t="str">
        <f>'קיזוזים בגין איחורים'!C54</f>
        <v/>
      </c>
      <c r="D54" s="434" t="str">
        <f>'קיזוזים בגין איחורים'!H54</f>
        <v/>
      </c>
      <c r="E54" s="45"/>
      <c r="F54" s="435" t="str">
        <f t="shared" si="0"/>
        <v/>
      </c>
      <c r="G54" s="435" t="str">
        <f t="shared" si="3"/>
        <v/>
      </c>
      <c r="I54" s="432" t="str">
        <f t="shared" si="4"/>
        <v/>
      </c>
      <c r="J54" s="432" t="str">
        <f>IF($C54="","",IFERROR(IF('קיזוזים בגין איחורים'!E54=0,0,1),0))</f>
        <v/>
      </c>
      <c r="K54" s="432" t="str">
        <f t="shared" si="5"/>
        <v/>
      </c>
      <c r="L54" s="432" t="str">
        <f t="shared" si="1"/>
        <v/>
      </c>
    </row>
    <row r="55" spans="2:12" ht="32.25" hidden="1" customHeight="1" x14ac:dyDescent="0.35">
      <c r="B55" s="44" t="str">
        <f t="shared" si="2"/>
        <v/>
      </c>
      <c r="C55" s="241" t="str">
        <f>'קיזוזים בגין איחורים'!C55</f>
        <v/>
      </c>
      <c r="D55" s="434" t="str">
        <f>'קיזוזים בגין איחורים'!H55</f>
        <v/>
      </c>
      <c r="E55" s="45"/>
      <c r="F55" s="435" t="str">
        <f t="shared" si="0"/>
        <v/>
      </c>
      <c r="G55" s="435" t="str">
        <f t="shared" si="3"/>
        <v/>
      </c>
      <c r="I55" s="432" t="str">
        <f t="shared" si="4"/>
        <v/>
      </c>
      <c r="J55" s="432" t="str">
        <f>IF($C55="","",IFERROR(IF('קיזוזים בגין איחורים'!E55=0,0,1),0))</f>
        <v/>
      </c>
      <c r="K55" s="432" t="str">
        <f t="shared" si="5"/>
        <v/>
      </c>
      <c r="L55" s="432" t="str">
        <f t="shared" si="1"/>
        <v/>
      </c>
    </row>
    <row r="56" spans="2:12" ht="32.25" customHeight="1" x14ac:dyDescent="0.35">
      <c r="B56" s="44">
        <f t="shared" si="2"/>
        <v>26</v>
      </c>
      <c r="C56" s="241" t="str">
        <f>'קיזוזים בגין איחורים'!C56</f>
        <v>אנסמבל מצו</v>
      </c>
      <c r="D56" s="434">
        <f>'קיזוזים בגין איחורים'!H56</f>
        <v>94996.732183776636</v>
      </c>
      <c r="E56" s="45"/>
      <c r="F56" s="435">
        <f t="shared" si="0"/>
        <v>94996.732183776636</v>
      </c>
      <c r="G56" s="435">
        <f t="shared" si="3"/>
        <v>94996.732183776636</v>
      </c>
      <c r="I56" s="432">
        <f t="shared" si="4"/>
        <v>0</v>
      </c>
      <c r="J56" s="432">
        <f>IF($C56="","",IFERROR(IF('קיזוזים בגין איחורים'!E56=0,0,1),0))</f>
        <v>0</v>
      </c>
      <c r="K56" s="432">
        <f t="shared" si="5"/>
        <v>0</v>
      </c>
      <c r="L56" s="432">
        <f t="shared" si="1"/>
        <v>0</v>
      </c>
    </row>
    <row r="57" spans="2:12" ht="32.25" customHeight="1" x14ac:dyDescent="0.35">
      <c r="B57" s="44" t="str">
        <f t="shared" si="2"/>
        <v/>
      </c>
      <c r="C57" s="241" t="str">
        <f>'קיזוזים בגין איחורים'!C57</f>
        <v/>
      </c>
      <c r="D57" s="434" t="str">
        <f>'קיזוזים בגין איחורים'!H57</f>
        <v/>
      </c>
      <c r="E57" s="45"/>
      <c r="F57" s="435" t="str">
        <f t="shared" si="0"/>
        <v/>
      </c>
      <c r="G57" s="435" t="str">
        <f t="shared" si="3"/>
        <v/>
      </c>
      <c r="I57" s="432" t="str">
        <f t="shared" si="4"/>
        <v/>
      </c>
      <c r="J57" s="432" t="str">
        <f>IF($C57="","",IFERROR(IF('קיזוזים בגין איחורים'!E57=0,0,1),0))</f>
        <v/>
      </c>
      <c r="K57" s="432" t="str">
        <f t="shared" si="5"/>
        <v/>
      </c>
      <c r="L57" s="432" t="str">
        <f t="shared" si="1"/>
        <v/>
      </c>
    </row>
    <row r="58" spans="2:12" ht="32.25" customHeight="1" x14ac:dyDescent="0.35">
      <c r="B58" s="44">
        <f t="shared" si="2"/>
        <v>28</v>
      </c>
      <c r="C58" s="241" t="str">
        <f>'קיזוזים בגין איחורים'!C58</f>
        <v>תמיכה שותפת- קבוצת מוסיקה נובה</v>
      </c>
      <c r="D58" s="434">
        <f>'קיזוזים בגין איחורים'!H58</f>
        <v>90285.497612872961</v>
      </c>
      <c r="E58" s="45"/>
      <c r="F58" s="435">
        <f t="shared" si="0"/>
        <v>90285.497612872961</v>
      </c>
      <c r="G58" s="435">
        <f t="shared" si="3"/>
        <v>90285.497612872961</v>
      </c>
      <c r="I58" s="432">
        <f t="shared" si="4"/>
        <v>0</v>
      </c>
      <c r="J58" s="432">
        <f>IF($C58="","",IFERROR(IF('קיזוזים בגין איחורים'!E58=0,0,1),0))</f>
        <v>0</v>
      </c>
      <c r="K58" s="432">
        <f t="shared" si="5"/>
        <v>0</v>
      </c>
      <c r="L58" s="432">
        <f t="shared" si="1"/>
        <v>0</v>
      </c>
    </row>
    <row r="59" spans="2:12" ht="32.25" hidden="1" customHeight="1" x14ac:dyDescent="0.35">
      <c r="B59" s="44" t="str">
        <f t="shared" si="2"/>
        <v/>
      </c>
      <c r="C59" s="241" t="str">
        <f>'קיזוזים בגין איחורים'!C59</f>
        <v/>
      </c>
      <c r="D59" s="434" t="str">
        <f>'קיזוזים בגין איחורים'!H59</f>
        <v/>
      </c>
      <c r="E59" s="45"/>
      <c r="F59" s="435" t="str">
        <f t="shared" si="0"/>
        <v/>
      </c>
      <c r="G59" s="435" t="str">
        <f t="shared" si="3"/>
        <v/>
      </c>
      <c r="I59" s="432" t="str">
        <f t="shared" si="4"/>
        <v/>
      </c>
      <c r="J59" s="432" t="str">
        <f>IF($C59="","",IFERROR(IF('קיזוזים בגין איחורים'!E59=0,0,1),0))</f>
        <v/>
      </c>
      <c r="K59" s="432" t="str">
        <f t="shared" si="5"/>
        <v/>
      </c>
      <c r="L59" s="432" t="str">
        <f t="shared" si="1"/>
        <v/>
      </c>
    </row>
    <row r="60" spans="2:12" ht="32.25" hidden="1" customHeight="1" x14ac:dyDescent="0.35">
      <c r="B60" s="44" t="str">
        <f t="shared" si="2"/>
        <v/>
      </c>
      <c r="C60" s="241" t="str">
        <f>'קיזוזים בגין איחורים'!C60</f>
        <v/>
      </c>
      <c r="D60" s="434" t="str">
        <f>'קיזוזים בגין איחורים'!H60</f>
        <v/>
      </c>
      <c r="E60" s="45"/>
      <c r="F60" s="435" t="str">
        <f t="shared" si="0"/>
        <v/>
      </c>
      <c r="G60" s="435" t="str">
        <f t="shared" si="3"/>
        <v/>
      </c>
      <c r="I60" s="432" t="str">
        <f t="shared" si="4"/>
        <v/>
      </c>
      <c r="J60" s="432" t="str">
        <f>IF($C60="","",IFERROR(IF('קיזוזים בגין איחורים'!E60=0,0,1),0))</f>
        <v/>
      </c>
      <c r="K60" s="432" t="str">
        <f t="shared" si="5"/>
        <v/>
      </c>
      <c r="L60" s="432" t="str">
        <f t="shared" si="1"/>
        <v/>
      </c>
    </row>
    <row r="61" spans="2:12" ht="32.25" hidden="1" customHeight="1" x14ac:dyDescent="0.35">
      <c r="B61" s="44" t="str">
        <f t="shared" si="2"/>
        <v/>
      </c>
      <c r="C61" s="241" t="str">
        <f>'קיזוזים בגין איחורים'!C61</f>
        <v/>
      </c>
      <c r="D61" s="434" t="str">
        <f>'קיזוזים בגין איחורים'!H61</f>
        <v/>
      </c>
      <c r="E61" s="45"/>
      <c r="F61" s="435" t="str">
        <f t="shared" si="0"/>
        <v/>
      </c>
      <c r="G61" s="435" t="str">
        <f t="shared" si="3"/>
        <v/>
      </c>
      <c r="I61" s="432" t="str">
        <f t="shared" si="4"/>
        <v/>
      </c>
      <c r="J61" s="432" t="str">
        <f>IF($C61="","",IFERROR(IF('קיזוזים בגין איחורים'!E61=0,0,1),0))</f>
        <v/>
      </c>
      <c r="K61" s="432" t="str">
        <f t="shared" si="5"/>
        <v/>
      </c>
      <c r="L61" s="432" t="str">
        <f t="shared" si="1"/>
        <v/>
      </c>
    </row>
    <row r="62" spans="2:12" ht="32.25" hidden="1" customHeight="1" x14ac:dyDescent="0.35">
      <c r="B62" s="44" t="str">
        <f t="shared" si="2"/>
        <v/>
      </c>
      <c r="C62" s="241" t="str">
        <f>'קיזוזים בגין איחורים'!C62</f>
        <v/>
      </c>
      <c r="D62" s="434" t="str">
        <f>'קיזוזים בגין איחורים'!H62</f>
        <v/>
      </c>
      <c r="E62" s="45"/>
      <c r="F62" s="435" t="str">
        <f t="shared" si="0"/>
        <v/>
      </c>
      <c r="G62" s="435" t="str">
        <f t="shared" si="3"/>
        <v/>
      </c>
      <c r="I62" s="432" t="str">
        <f t="shared" si="4"/>
        <v/>
      </c>
      <c r="J62" s="432" t="str">
        <f>IF($C62="","",IFERROR(IF('קיזוזים בגין איחורים'!E62=0,0,1),0))</f>
        <v/>
      </c>
      <c r="K62" s="432" t="str">
        <f t="shared" si="5"/>
        <v/>
      </c>
      <c r="L62" s="432" t="str">
        <f t="shared" si="1"/>
        <v/>
      </c>
    </row>
    <row r="63" spans="2:12" ht="32.25" hidden="1" customHeight="1" x14ac:dyDescent="0.35">
      <c r="B63" s="44" t="str">
        <f t="shared" si="2"/>
        <v/>
      </c>
      <c r="C63" s="241" t="str">
        <f>'קיזוזים בגין איחורים'!C63</f>
        <v/>
      </c>
      <c r="D63" s="434" t="str">
        <f>'קיזוזים בגין איחורים'!H63</f>
        <v/>
      </c>
      <c r="E63" s="45"/>
      <c r="F63" s="435" t="str">
        <f t="shared" ref="F63:F94" si="6">IF($C63="","",IF(E63&gt;D63,$P$1,D63-E63))</f>
        <v/>
      </c>
      <c r="G63" s="435" t="str">
        <f t="shared" si="3"/>
        <v/>
      </c>
      <c r="I63" s="432" t="str">
        <f t="shared" si="4"/>
        <v/>
      </c>
      <c r="J63" s="432" t="str">
        <f>IF($C63="","",IFERROR(IF('קיזוזים בגין איחורים'!E63=0,0,1),0))</f>
        <v/>
      </c>
      <c r="K63" s="432" t="str">
        <f t="shared" si="5"/>
        <v/>
      </c>
      <c r="L63" s="432" t="str">
        <f t="shared" ref="L63:L94" si="7">IF($C63="","",IF(K63=1,0,$K$27*$D63/$J$27))</f>
        <v/>
      </c>
    </row>
    <row r="64" spans="2:12" ht="32.25" hidden="1" customHeight="1" x14ac:dyDescent="0.35">
      <c r="B64" s="44" t="str">
        <f t="shared" si="2"/>
        <v/>
      </c>
      <c r="C64" s="241" t="str">
        <f>'קיזוזים בגין איחורים'!C64</f>
        <v/>
      </c>
      <c r="D64" s="434" t="str">
        <f>'קיזוזים בגין איחורים'!H64</f>
        <v/>
      </c>
      <c r="E64" s="45"/>
      <c r="F64" s="435" t="str">
        <f t="shared" si="6"/>
        <v/>
      </c>
      <c r="G64" s="435" t="str">
        <f t="shared" si="3"/>
        <v/>
      </c>
      <c r="I64" s="432" t="str">
        <f t="shared" si="4"/>
        <v/>
      </c>
      <c r="J64" s="432" t="str">
        <f>IF($C64="","",IFERROR(IF('קיזוזים בגין איחורים'!E64=0,0,1),0))</f>
        <v/>
      </c>
      <c r="K64" s="432" t="str">
        <f t="shared" si="5"/>
        <v/>
      </c>
      <c r="L64" s="432" t="str">
        <f t="shared" si="7"/>
        <v/>
      </c>
    </row>
    <row r="65" spans="2:12" ht="32.25" customHeight="1" x14ac:dyDescent="0.35">
      <c r="B65" s="44">
        <f t="shared" si="2"/>
        <v>35</v>
      </c>
      <c r="C65" s="241" t="str">
        <f>'קיזוזים בגין איחורים'!C65</f>
        <v>אנסמבל מיתר</v>
      </c>
      <c r="D65" s="434">
        <f>'קיזוזים בגין איחורים'!H65</f>
        <v>210804.2648913592</v>
      </c>
      <c r="E65" s="45"/>
      <c r="F65" s="435">
        <f t="shared" si="6"/>
        <v>210804.2648913592</v>
      </c>
      <c r="G65" s="435">
        <f t="shared" si="3"/>
        <v>210804.2648913592</v>
      </c>
      <c r="I65" s="432">
        <f t="shared" si="4"/>
        <v>0</v>
      </c>
      <c r="J65" s="432">
        <f>IF($C65="","",IFERROR(IF('קיזוזים בגין איחורים'!E65=0,0,1),0))</f>
        <v>0</v>
      </c>
      <c r="K65" s="432">
        <f t="shared" si="5"/>
        <v>0</v>
      </c>
      <c r="L65" s="432">
        <f t="shared" si="7"/>
        <v>0</v>
      </c>
    </row>
    <row r="66" spans="2:12" ht="32.25" hidden="1" customHeight="1" x14ac:dyDescent="0.35">
      <c r="B66" s="44" t="str">
        <f t="shared" si="2"/>
        <v/>
      </c>
      <c r="C66" s="241" t="str">
        <f>'קיזוזים בגין איחורים'!C66</f>
        <v/>
      </c>
      <c r="D66" s="434" t="str">
        <f>'קיזוזים בגין איחורים'!H66</f>
        <v/>
      </c>
      <c r="E66" s="45"/>
      <c r="F66" s="435" t="str">
        <f t="shared" si="6"/>
        <v/>
      </c>
      <c r="G66" s="435" t="str">
        <f t="shared" si="3"/>
        <v/>
      </c>
      <c r="I66" s="432" t="str">
        <f t="shared" si="4"/>
        <v/>
      </c>
      <c r="J66" s="432" t="str">
        <f>IF($C66="","",IFERROR(IF('קיזוזים בגין איחורים'!E66=0,0,1),0))</f>
        <v/>
      </c>
      <c r="K66" s="432" t="str">
        <f t="shared" si="5"/>
        <v/>
      </c>
      <c r="L66" s="432" t="str">
        <f t="shared" si="7"/>
        <v/>
      </c>
    </row>
    <row r="67" spans="2:12" ht="32.25" customHeight="1" x14ac:dyDescent="0.35">
      <c r="B67" s="44">
        <f t="shared" si="2"/>
        <v>37</v>
      </c>
      <c r="C67" s="241" t="str">
        <f>'קיזוזים בגין איחורים'!C67</f>
        <v>אנסמבל ארז נטף</v>
      </c>
      <c r="D67" s="434">
        <f>'קיזוזים בגין איחורים'!H67</f>
        <v>85000</v>
      </c>
      <c r="E67" s="45"/>
      <c r="F67" s="435">
        <f t="shared" si="6"/>
        <v>85000</v>
      </c>
      <c r="G67" s="435">
        <f t="shared" si="3"/>
        <v>85000</v>
      </c>
      <c r="I67" s="432">
        <f t="shared" si="4"/>
        <v>0</v>
      </c>
      <c r="J67" s="432">
        <f>IF($C67="","",IFERROR(IF('קיזוזים בגין איחורים'!E67=0,0,1),0))</f>
        <v>0</v>
      </c>
      <c r="K67" s="432">
        <f t="shared" si="5"/>
        <v>0</v>
      </c>
      <c r="L67" s="432">
        <f t="shared" si="7"/>
        <v>0</v>
      </c>
    </row>
    <row r="68" spans="2:12" ht="32.25" hidden="1" customHeight="1" x14ac:dyDescent="0.35">
      <c r="B68" s="44" t="str">
        <f t="shared" si="2"/>
        <v/>
      </c>
      <c r="C68" s="241" t="str">
        <f>'קיזוזים בגין איחורים'!C68</f>
        <v/>
      </c>
      <c r="D68" s="434" t="str">
        <f>'קיזוזים בגין איחורים'!H68</f>
        <v/>
      </c>
      <c r="E68" s="45"/>
      <c r="F68" s="435" t="str">
        <f t="shared" si="6"/>
        <v/>
      </c>
      <c r="G68" s="435" t="str">
        <f t="shared" si="3"/>
        <v/>
      </c>
      <c r="I68" s="432" t="str">
        <f t="shared" si="4"/>
        <v/>
      </c>
      <c r="J68" s="432" t="str">
        <f>IF($C68="","",IFERROR(IF('קיזוזים בגין איחורים'!E68=0,0,1),0))</f>
        <v/>
      </c>
      <c r="K68" s="432" t="str">
        <f t="shared" si="5"/>
        <v/>
      </c>
      <c r="L68" s="432" t="str">
        <f t="shared" si="7"/>
        <v/>
      </c>
    </row>
    <row r="69" spans="2:12" ht="32.25" hidden="1" customHeight="1" x14ac:dyDescent="0.35">
      <c r="B69" s="44" t="str">
        <f t="shared" si="2"/>
        <v/>
      </c>
      <c r="C69" s="241" t="str">
        <f>'קיזוזים בגין איחורים'!C69</f>
        <v/>
      </c>
      <c r="D69" s="434" t="str">
        <f>'קיזוזים בגין איחורים'!H69</f>
        <v/>
      </c>
      <c r="E69" s="45"/>
      <c r="F69" s="435" t="str">
        <f t="shared" si="6"/>
        <v/>
      </c>
      <c r="G69" s="435" t="str">
        <f t="shared" si="3"/>
        <v/>
      </c>
      <c r="I69" s="432" t="str">
        <f t="shared" si="4"/>
        <v/>
      </c>
      <c r="J69" s="432" t="str">
        <f>IF($C69="","",IFERROR(IF('קיזוזים בגין איחורים'!E69=0,0,1),0))</f>
        <v/>
      </c>
      <c r="K69" s="432" t="str">
        <f t="shared" si="5"/>
        <v/>
      </c>
      <c r="L69" s="432" t="str">
        <f t="shared" si="7"/>
        <v/>
      </c>
    </row>
    <row r="70" spans="2:12" ht="32.25" customHeight="1" x14ac:dyDescent="0.35">
      <c r="B70" s="44">
        <f t="shared" si="2"/>
        <v>40</v>
      </c>
      <c r="C70" s="241" t="str">
        <f>'קיזוזים בגין איחורים'!C70</f>
        <v>תו המשווה (ע"ר)</v>
      </c>
      <c r="D70" s="434">
        <f>'קיזוזים בגין איחורים'!H70</f>
        <v>114404.20944372902</v>
      </c>
      <c r="E70" s="45"/>
      <c r="F70" s="435">
        <f t="shared" si="6"/>
        <v>114404.20944372902</v>
      </c>
      <c r="G70" s="435">
        <f t="shared" si="3"/>
        <v>114404.20944372902</v>
      </c>
      <c r="I70" s="432">
        <f t="shared" si="4"/>
        <v>0</v>
      </c>
      <c r="J70" s="432">
        <f>IF($C70="","",IFERROR(IF('קיזוזים בגין איחורים'!E70=0,0,1),0))</f>
        <v>0</v>
      </c>
      <c r="K70" s="432">
        <f t="shared" si="5"/>
        <v>0</v>
      </c>
      <c r="L70" s="432">
        <f t="shared" si="7"/>
        <v>0</v>
      </c>
    </row>
    <row r="71" spans="2:12" ht="32.25" hidden="1" customHeight="1" x14ac:dyDescent="0.35">
      <c r="B71" s="44" t="str">
        <f t="shared" si="2"/>
        <v/>
      </c>
      <c r="C71" s="241" t="str">
        <f>'קיזוזים בגין איחורים'!C71</f>
        <v/>
      </c>
      <c r="D71" s="434" t="str">
        <f>'קיזוזים בגין איחורים'!H71</f>
        <v/>
      </c>
      <c r="E71" s="45"/>
      <c r="F71" s="435" t="str">
        <f t="shared" si="6"/>
        <v/>
      </c>
      <c r="G71" s="435" t="str">
        <f t="shared" si="3"/>
        <v/>
      </c>
      <c r="I71" s="432" t="str">
        <f t="shared" si="4"/>
        <v/>
      </c>
      <c r="J71" s="432" t="str">
        <f>IF($C71="","",IFERROR(IF('קיזוזים בגין איחורים'!E71=0,0,1),0))</f>
        <v/>
      </c>
      <c r="K71" s="432" t="str">
        <f t="shared" si="5"/>
        <v/>
      </c>
      <c r="L71" s="432" t="str">
        <f t="shared" si="7"/>
        <v/>
      </c>
    </row>
    <row r="72" spans="2:12" ht="32.25" hidden="1" customHeight="1" x14ac:dyDescent="0.35">
      <c r="B72" s="44" t="str">
        <f t="shared" si="2"/>
        <v/>
      </c>
      <c r="C72" s="241" t="str">
        <f>'קיזוזים בגין איחורים'!C72</f>
        <v/>
      </c>
      <c r="D72" s="434" t="str">
        <f>'קיזוזים בגין איחורים'!H72</f>
        <v/>
      </c>
      <c r="E72" s="45"/>
      <c r="F72" s="435" t="str">
        <f t="shared" si="6"/>
        <v/>
      </c>
      <c r="G72" s="435" t="str">
        <f t="shared" si="3"/>
        <v/>
      </c>
      <c r="I72" s="432" t="str">
        <f t="shared" si="4"/>
        <v/>
      </c>
      <c r="J72" s="432" t="str">
        <f>IF($C72="","",IFERROR(IF('קיזוזים בגין איחורים'!E72=0,0,1),0))</f>
        <v/>
      </c>
      <c r="K72" s="432" t="str">
        <f t="shared" si="5"/>
        <v/>
      </c>
      <c r="L72" s="432" t="str">
        <f t="shared" si="7"/>
        <v/>
      </c>
    </row>
    <row r="73" spans="2:12" ht="32.25" customHeight="1" x14ac:dyDescent="0.35">
      <c r="B73" s="44">
        <f t="shared" si="2"/>
        <v>43</v>
      </c>
      <c r="C73" s="241" t="str">
        <f>'קיזוזים בגין איחורים'!C73</f>
        <v>בר קיימא ואקלקוטנטקט</v>
      </c>
      <c r="D73" s="434">
        <f>'קיזוזים בגין איחורים'!H73</f>
        <v>134079.05030349543</v>
      </c>
      <c r="E73" s="45"/>
      <c r="F73" s="435">
        <f t="shared" si="6"/>
        <v>134079.05030349543</v>
      </c>
      <c r="G73" s="435">
        <f t="shared" si="3"/>
        <v>134079.05030349543</v>
      </c>
      <c r="I73" s="432">
        <f t="shared" si="4"/>
        <v>0</v>
      </c>
      <c r="J73" s="432">
        <f>IF($C73="","",IFERROR(IF('קיזוזים בגין איחורים'!E73=0,0,1),0))</f>
        <v>0</v>
      </c>
      <c r="K73" s="432">
        <f t="shared" si="5"/>
        <v>0</v>
      </c>
      <c r="L73" s="432">
        <f t="shared" si="7"/>
        <v>0</v>
      </c>
    </row>
    <row r="74" spans="2:12" ht="32.25" hidden="1" customHeight="1" x14ac:dyDescent="0.35">
      <c r="B74" s="44" t="str">
        <f t="shared" si="2"/>
        <v/>
      </c>
      <c r="C74" s="241" t="str">
        <f>'קיזוזים בגין איחורים'!C74</f>
        <v/>
      </c>
      <c r="D74" s="434" t="str">
        <f>'קיזוזים בגין איחורים'!H74</f>
        <v/>
      </c>
      <c r="E74" s="45"/>
      <c r="F74" s="435" t="str">
        <f t="shared" si="6"/>
        <v/>
      </c>
      <c r="G74" s="435" t="str">
        <f t="shared" si="3"/>
        <v/>
      </c>
      <c r="I74" s="432" t="str">
        <f t="shared" si="4"/>
        <v/>
      </c>
      <c r="J74" s="432" t="str">
        <f>IF($C74="","",IFERROR(IF('קיזוזים בגין איחורים'!E74=0,0,1),0))</f>
        <v/>
      </c>
      <c r="K74" s="432" t="str">
        <f t="shared" si="5"/>
        <v/>
      </c>
      <c r="L74" s="432" t="str">
        <f t="shared" si="7"/>
        <v/>
      </c>
    </row>
    <row r="75" spans="2:12" ht="32.25" customHeight="1" x14ac:dyDescent="0.35">
      <c r="B75" s="44">
        <f t="shared" si="2"/>
        <v>45</v>
      </c>
      <c r="C75" s="241" t="str">
        <f>'קיזוזים בגין איחורים'!C75</f>
        <v>אלקאת התזמורת התימנית</v>
      </c>
      <c r="D75" s="434">
        <f>'קיזוזים בגין איחורים'!H75</f>
        <v>71593.155601257778</v>
      </c>
      <c r="E75" s="45"/>
      <c r="F75" s="435">
        <f t="shared" si="6"/>
        <v>71593.155601257778</v>
      </c>
      <c r="G75" s="435">
        <f t="shared" si="3"/>
        <v>71593.155601257778</v>
      </c>
      <c r="I75" s="432">
        <f t="shared" si="4"/>
        <v>0</v>
      </c>
      <c r="J75" s="432">
        <f>IF($C75="","",IFERROR(IF('קיזוזים בגין איחורים'!E75=0,0,1),0))</f>
        <v>0</v>
      </c>
      <c r="K75" s="432">
        <f t="shared" si="5"/>
        <v>0</v>
      </c>
      <c r="L75" s="432">
        <f t="shared" si="7"/>
        <v>0</v>
      </c>
    </row>
    <row r="76" spans="2:12" ht="32.25" hidden="1" customHeight="1" x14ac:dyDescent="0.35">
      <c r="B76" s="44" t="str">
        <f t="shared" si="2"/>
        <v/>
      </c>
      <c r="C76" s="241" t="str">
        <f>'קיזוזים בגין איחורים'!C76</f>
        <v/>
      </c>
      <c r="D76" s="434" t="str">
        <f>'קיזוזים בגין איחורים'!H76</f>
        <v/>
      </c>
      <c r="E76" s="45"/>
      <c r="F76" s="435" t="str">
        <f t="shared" si="6"/>
        <v/>
      </c>
      <c r="G76" s="435" t="str">
        <f t="shared" si="3"/>
        <v/>
      </c>
      <c r="I76" s="432" t="str">
        <f t="shared" si="4"/>
        <v/>
      </c>
      <c r="J76" s="432" t="str">
        <f>IF($C76="","",IFERROR(IF('קיזוזים בגין איחורים'!E76=0,0,1),0))</f>
        <v/>
      </c>
      <c r="K76" s="432" t="str">
        <f t="shared" si="5"/>
        <v/>
      </c>
      <c r="L76" s="432" t="str">
        <f t="shared" si="7"/>
        <v/>
      </c>
    </row>
    <row r="77" spans="2:12" ht="32.25" hidden="1" customHeight="1" x14ac:dyDescent="0.35">
      <c r="B77" s="44" t="str">
        <f t="shared" si="2"/>
        <v/>
      </c>
      <c r="C77" s="241" t="str">
        <f>'קיזוזים בגין איחורים'!C77</f>
        <v/>
      </c>
      <c r="D77" s="434" t="str">
        <f>'קיזוזים בגין איחורים'!H77</f>
        <v/>
      </c>
      <c r="E77" s="45"/>
      <c r="F77" s="435" t="str">
        <f t="shared" si="6"/>
        <v/>
      </c>
      <c r="G77" s="435" t="str">
        <f t="shared" si="3"/>
        <v/>
      </c>
      <c r="I77" s="432" t="str">
        <f t="shared" si="4"/>
        <v/>
      </c>
      <c r="J77" s="432" t="str">
        <f>IF($C77="","",IFERROR(IF('קיזוזים בגין איחורים'!E77=0,0,1),0))</f>
        <v/>
      </c>
      <c r="K77" s="432" t="str">
        <f t="shared" si="5"/>
        <v/>
      </c>
      <c r="L77" s="432" t="str">
        <f t="shared" si="7"/>
        <v/>
      </c>
    </row>
    <row r="78" spans="2:12" ht="32.25" customHeight="1" x14ac:dyDescent="0.35">
      <c r="B78" s="44">
        <f t="shared" si="2"/>
        <v>48</v>
      </c>
      <c r="C78" s="241" t="str">
        <f>'קיזוזים בגין איחורים'!C78</f>
        <v>גיא מינטוס- טריו</v>
      </c>
      <c r="D78" s="434">
        <f>'קיזוזים בגין איחורים'!H78</f>
        <v>85000</v>
      </c>
      <c r="E78" s="45"/>
      <c r="F78" s="435">
        <f t="shared" si="6"/>
        <v>85000</v>
      </c>
      <c r="G78" s="435">
        <f t="shared" si="3"/>
        <v>85000</v>
      </c>
      <c r="I78" s="432">
        <f t="shared" si="4"/>
        <v>0</v>
      </c>
      <c r="J78" s="432">
        <f>IF($C78="","",IFERROR(IF('קיזוזים בגין איחורים'!E78=0,0,1),0))</f>
        <v>0</v>
      </c>
      <c r="K78" s="432">
        <f t="shared" si="5"/>
        <v>0</v>
      </c>
      <c r="L78" s="432">
        <f t="shared" si="7"/>
        <v>0</v>
      </c>
    </row>
    <row r="79" spans="2:12" ht="32.25" hidden="1" customHeight="1" x14ac:dyDescent="0.35">
      <c r="B79" s="44" t="str">
        <f t="shared" si="2"/>
        <v/>
      </c>
      <c r="C79" s="241" t="str">
        <f>'קיזוזים בגין איחורים'!C79</f>
        <v/>
      </c>
      <c r="D79" s="434" t="str">
        <f>'קיזוזים בגין איחורים'!H79</f>
        <v/>
      </c>
      <c r="E79" s="45"/>
      <c r="F79" s="435" t="str">
        <f t="shared" si="6"/>
        <v/>
      </c>
      <c r="G79" s="435" t="str">
        <f t="shared" si="3"/>
        <v/>
      </c>
      <c r="I79" s="432" t="str">
        <f t="shared" si="4"/>
        <v/>
      </c>
      <c r="J79" s="432" t="str">
        <f>IF($C79="","",IFERROR(IF('קיזוזים בגין איחורים'!E79=0,0,1),0))</f>
        <v/>
      </c>
      <c r="K79" s="432" t="str">
        <f t="shared" si="5"/>
        <v/>
      </c>
      <c r="L79" s="432" t="str">
        <f t="shared" si="7"/>
        <v/>
      </c>
    </row>
    <row r="80" spans="2:12" ht="32.25" hidden="1" customHeight="1" x14ac:dyDescent="0.35">
      <c r="B80" s="44" t="str">
        <f t="shared" si="2"/>
        <v/>
      </c>
      <c r="C80" s="241" t="str">
        <f>'קיזוזים בגין איחורים'!C80</f>
        <v/>
      </c>
      <c r="D80" s="434" t="str">
        <f>'קיזוזים בגין איחורים'!H80</f>
        <v/>
      </c>
      <c r="E80" s="45"/>
      <c r="F80" s="435" t="str">
        <f t="shared" si="6"/>
        <v/>
      </c>
      <c r="G80" s="435" t="str">
        <f t="shared" si="3"/>
        <v/>
      </c>
      <c r="I80" s="432" t="str">
        <f t="shared" si="4"/>
        <v/>
      </c>
      <c r="J80" s="432" t="str">
        <f>IF($C80="","",IFERROR(IF('קיזוזים בגין איחורים'!E80=0,0,1),0))</f>
        <v/>
      </c>
      <c r="K80" s="432" t="str">
        <f t="shared" si="5"/>
        <v/>
      </c>
      <c r="L80" s="432" t="str">
        <f t="shared" si="7"/>
        <v/>
      </c>
    </row>
    <row r="81" spans="2:12" ht="32.25" hidden="1" customHeight="1" x14ac:dyDescent="0.35">
      <c r="B81" s="44" t="str">
        <f t="shared" si="2"/>
        <v/>
      </c>
      <c r="C81" s="241" t="str">
        <f>'קיזוזים בגין איחורים'!C81</f>
        <v/>
      </c>
      <c r="D81" s="434" t="str">
        <f>'קיזוזים בגין איחורים'!H81</f>
        <v/>
      </c>
      <c r="E81" s="45"/>
      <c r="F81" s="435" t="str">
        <f t="shared" si="6"/>
        <v/>
      </c>
      <c r="G81" s="435" t="str">
        <f t="shared" si="3"/>
        <v/>
      </c>
      <c r="I81" s="432" t="str">
        <f t="shared" si="4"/>
        <v/>
      </c>
      <c r="J81" s="432" t="str">
        <f>IF($C81="","",IFERROR(IF('קיזוזים בגין איחורים'!E81=0,0,1),0))</f>
        <v/>
      </c>
      <c r="K81" s="432" t="str">
        <f t="shared" si="5"/>
        <v/>
      </c>
      <c r="L81" s="432" t="str">
        <f t="shared" si="7"/>
        <v/>
      </c>
    </row>
    <row r="82" spans="2:12" ht="32.25" customHeight="1" x14ac:dyDescent="0.35">
      <c r="B82" s="44">
        <f t="shared" si="2"/>
        <v>52</v>
      </c>
      <c r="C82" s="241" t="str">
        <f>'קיזוזים בגין איחורים'!C82</f>
        <v xml:space="preserve">פולקעס - בר-קיימא לתרבות </v>
      </c>
      <c r="D82" s="434">
        <f>'קיזוזים בגין איחורים'!H82</f>
        <v>138814.93741556921</v>
      </c>
      <c r="E82" s="45"/>
      <c r="F82" s="435">
        <f t="shared" si="6"/>
        <v>138814.93741556921</v>
      </c>
      <c r="G82" s="435">
        <f t="shared" si="3"/>
        <v>138814.93741556921</v>
      </c>
      <c r="I82" s="432">
        <f t="shared" si="4"/>
        <v>0</v>
      </c>
      <c r="J82" s="432">
        <f>IF($C82="","",IFERROR(IF('קיזוזים בגין איחורים'!E82=0,0,1),0))</f>
        <v>0</v>
      </c>
      <c r="K82" s="432">
        <f t="shared" si="5"/>
        <v>0</v>
      </c>
      <c r="L82" s="432">
        <f t="shared" si="7"/>
        <v>0</v>
      </c>
    </row>
    <row r="83" spans="2:12" ht="32.25" hidden="1" customHeight="1" x14ac:dyDescent="0.35">
      <c r="B83" s="44" t="str">
        <f t="shared" si="2"/>
        <v/>
      </c>
      <c r="C83" s="241" t="str">
        <f>'קיזוזים בגין איחורים'!C83</f>
        <v/>
      </c>
      <c r="D83" s="434" t="str">
        <f>'קיזוזים בגין איחורים'!H83</f>
        <v/>
      </c>
      <c r="E83" s="45"/>
      <c r="F83" s="435" t="str">
        <f t="shared" si="6"/>
        <v/>
      </c>
      <c r="G83" s="435" t="str">
        <f t="shared" si="3"/>
        <v/>
      </c>
      <c r="I83" s="432" t="str">
        <f t="shared" si="4"/>
        <v/>
      </c>
      <c r="J83" s="432" t="str">
        <f>IF($C83="","",IFERROR(IF('קיזוזים בגין איחורים'!E83=0,0,1),0))</f>
        <v/>
      </c>
      <c r="K83" s="432" t="str">
        <f t="shared" si="5"/>
        <v/>
      </c>
      <c r="L83" s="432" t="str">
        <f t="shared" si="7"/>
        <v/>
      </c>
    </row>
    <row r="84" spans="2:12" ht="32.25" hidden="1" customHeight="1" x14ac:dyDescent="0.35">
      <c r="B84" s="44" t="str">
        <f t="shared" si="2"/>
        <v/>
      </c>
      <c r="C84" s="241" t="str">
        <f>'קיזוזים בגין איחורים'!C84</f>
        <v/>
      </c>
      <c r="D84" s="434" t="str">
        <f>'קיזוזים בגין איחורים'!H84</f>
        <v/>
      </c>
      <c r="E84" s="45"/>
      <c r="F84" s="435" t="str">
        <f t="shared" si="6"/>
        <v/>
      </c>
      <c r="G84" s="435" t="str">
        <f t="shared" si="3"/>
        <v/>
      </c>
      <c r="I84" s="432" t="str">
        <f t="shared" si="4"/>
        <v/>
      </c>
      <c r="J84" s="432" t="str">
        <f>IF($C84="","",IFERROR(IF('קיזוזים בגין איחורים'!E84=0,0,1),0))</f>
        <v/>
      </c>
      <c r="K84" s="432" t="str">
        <f t="shared" si="5"/>
        <v/>
      </c>
      <c r="L84" s="432" t="str">
        <f t="shared" si="7"/>
        <v/>
      </c>
    </row>
    <row r="85" spans="2:12" ht="32.25" customHeight="1" x14ac:dyDescent="0.35">
      <c r="B85" s="44">
        <f t="shared" si="2"/>
        <v>55</v>
      </c>
      <c r="C85" s="241" t="str">
        <f>'קיזוזים בגין איחורים'!C85</f>
        <v>מכון רננות</v>
      </c>
      <c r="D85" s="434">
        <f>'קיזוזים בגין איחורים'!H85</f>
        <v>60000</v>
      </c>
      <c r="E85" s="45"/>
      <c r="F85" s="435">
        <f t="shared" si="6"/>
        <v>60000</v>
      </c>
      <c r="G85" s="435">
        <f t="shared" si="3"/>
        <v>60000</v>
      </c>
      <c r="I85" s="432">
        <f t="shared" si="4"/>
        <v>0</v>
      </c>
      <c r="J85" s="432">
        <f>IF($C85="","",IFERROR(IF('קיזוזים בגין איחורים'!E85=0,0,1),0))</f>
        <v>0</v>
      </c>
      <c r="K85" s="432">
        <f t="shared" si="5"/>
        <v>0</v>
      </c>
      <c r="L85" s="432">
        <f t="shared" si="7"/>
        <v>0</v>
      </c>
    </row>
    <row r="86" spans="2:12" ht="32.25" hidden="1" customHeight="1" x14ac:dyDescent="0.35">
      <c r="B86" s="44" t="str">
        <f t="shared" si="2"/>
        <v/>
      </c>
      <c r="C86" s="241" t="str">
        <f>'קיזוזים בגין איחורים'!C86</f>
        <v/>
      </c>
      <c r="D86" s="434" t="str">
        <f>'קיזוזים בגין איחורים'!H86</f>
        <v/>
      </c>
      <c r="E86" s="45"/>
      <c r="F86" s="435" t="str">
        <f t="shared" si="6"/>
        <v/>
      </c>
      <c r="G86" s="435" t="str">
        <f t="shared" si="3"/>
        <v/>
      </c>
      <c r="I86" s="432" t="str">
        <f t="shared" si="4"/>
        <v/>
      </c>
      <c r="J86" s="432" t="str">
        <f>IF($C86="","",IFERROR(IF('קיזוזים בגין איחורים'!E86=0,0,1),0))</f>
        <v/>
      </c>
      <c r="K86" s="432" t="str">
        <f t="shared" si="5"/>
        <v/>
      </c>
      <c r="L86" s="432" t="str">
        <f t="shared" si="7"/>
        <v/>
      </c>
    </row>
    <row r="87" spans="2:12" ht="32.25" customHeight="1" x14ac:dyDescent="0.35">
      <c r="B87" s="44">
        <f t="shared" si="2"/>
        <v>57</v>
      </c>
      <c r="C87" s="241" t="str">
        <f>'קיזוזים בגין איחורים'!C87</f>
        <v>עמותת מפעל המוזיקה צימבליסטה</v>
      </c>
      <c r="D87" s="434">
        <f>'קיזוזים בגין איחורים'!H87</f>
        <v>85948.962656008371</v>
      </c>
      <c r="E87" s="45"/>
      <c r="F87" s="435">
        <f t="shared" si="6"/>
        <v>85948.962656008371</v>
      </c>
      <c r="G87" s="435">
        <f t="shared" si="3"/>
        <v>85948.962656008371</v>
      </c>
      <c r="I87" s="432">
        <f t="shared" si="4"/>
        <v>0</v>
      </c>
      <c r="J87" s="432">
        <f>IF($C87="","",IFERROR(IF('קיזוזים בגין איחורים'!E87=0,0,1),0))</f>
        <v>0</v>
      </c>
      <c r="K87" s="432">
        <f t="shared" si="5"/>
        <v>0</v>
      </c>
      <c r="L87" s="432">
        <f t="shared" si="7"/>
        <v>0</v>
      </c>
    </row>
    <row r="88" spans="2:12" ht="32.25" hidden="1" customHeight="1" x14ac:dyDescent="0.35">
      <c r="B88" s="44" t="str">
        <f t="shared" si="2"/>
        <v/>
      </c>
      <c r="C88" s="241" t="str">
        <f>'קיזוזים בגין איחורים'!C88</f>
        <v/>
      </c>
      <c r="D88" s="434" t="str">
        <f>'קיזוזים בגין איחורים'!H88</f>
        <v/>
      </c>
      <c r="E88" s="45"/>
      <c r="F88" s="435" t="str">
        <f t="shared" si="6"/>
        <v/>
      </c>
      <c r="G88" s="435" t="str">
        <f t="shared" si="3"/>
        <v/>
      </c>
      <c r="I88" s="432" t="str">
        <f t="shared" si="4"/>
        <v/>
      </c>
      <c r="J88" s="432" t="str">
        <f>IF($C88="","",IFERROR(IF('קיזוזים בגין איחורים'!E88=0,0,1),0))</f>
        <v/>
      </c>
      <c r="K88" s="432" t="str">
        <f t="shared" si="5"/>
        <v/>
      </c>
      <c r="L88" s="432" t="str">
        <f t="shared" si="7"/>
        <v/>
      </c>
    </row>
    <row r="89" spans="2:12" ht="32.25" customHeight="1" x14ac:dyDescent="0.35">
      <c r="B89" s="44">
        <f t="shared" si="2"/>
        <v>59</v>
      </c>
      <c r="C89" s="241" t="str">
        <f>'קיזוזים בגין איחורים'!C89</f>
        <v>העמותה לקידום המוסיקה הערבית</v>
      </c>
      <c r="D89" s="434">
        <f>'קיזוזים בגין איחורים'!H89</f>
        <v>223702.42707733833</v>
      </c>
      <c r="E89" s="45"/>
      <c r="F89" s="435">
        <f t="shared" si="6"/>
        <v>223702.42707733833</v>
      </c>
      <c r="G89" s="435">
        <f t="shared" si="3"/>
        <v>223702.42707733833</v>
      </c>
      <c r="I89" s="432">
        <f t="shared" si="4"/>
        <v>0</v>
      </c>
      <c r="J89" s="432">
        <f>IF($C89="","",IFERROR(IF('קיזוזים בגין איחורים'!E89=0,0,1),0))</f>
        <v>0</v>
      </c>
      <c r="K89" s="432">
        <f t="shared" si="5"/>
        <v>0</v>
      </c>
      <c r="L89" s="432">
        <f t="shared" si="7"/>
        <v>0</v>
      </c>
    </row>
    <row r="90" spans="2:12" ht="32.25" customHeight="1" x14ac:dyDescent="0.35">
      <c r="B90" s="44">
        <f t="shared" si="2"/>
        <v>60</v>
      </c>
      <c r="C90" s="241" t="str">
        <f>'קיזוזים בגין איחורים'!C90</f>
        <v>תמיכה בתזמורת TLV (הערבית יהודית)</v>
      </c>
      <c r="D90" s="434">
        <f>'קיזוזים בגין איחורים'!H90</f>
        <v>95484.98126058279</v>
      </c>
      <c r="E90" s="45"/>
      <c r="F90" s="435">
        <f t="shared" si="6"/>
        <v>95484.98126058279</v>
      </c>
      <c r="G90" s="435">
        <f t="shared" si="3"/>
        <v>95484.98126058279</v>
      </c>
      <c r="I90" s="432">
        <f t="shared" si="4"/>
        <v>0</v>
      </c>
      <c r="J90" s="432">
        <f>IF($C90="","",IFERROR(IF('קיזוזים בגין איחורים'!E90=0,0,1),0))</f>
        <v>0</v>
      </c>
      <c r="K90" s="432">
        <f t="shared" si="5"/>
        <v>0</v>
      </c>
      <c r="L90" s="432">
        <f t="shared" si="7"/>
        <v>0</v>
      </c>
    </row>
    <row r="91" spans="2:12" ht="32.25" customHeight="1" x14ac:dyDescent="0.35">
      <c r="B91" s="44">
        <f t="shared" si="2"/>
        <v>61</v>
      </c>
      <c r="C91" s="241" t="str">
        <f>'קיזוזים בגין איחורים'!C91</f>
        <v>אנסמבל גליל</v>
      </c>
      <c r="D91" s="434">
        <f>'קיזוזים בגין איחורים'!H91</f>
        <v>60000</v>
      </c>
      <c r="E91" s="45"/>
      <c r="F91" s="435">
        <f t="shared" si="6"/>
        <v>60000</v>
      </c>
      <c r="G91" s="435">
        <f t="shared" si="3"/>
        <v>60000</v>
      </c>
      <c r="I91" s="432">
        <f t="shared" si="4"/>
        <v>0</v>
      </c>
      <c r="J91" s="432">
        <f>IF($C91="","",IFERROR(IF('קיזוזים בגין איחורים'!E91=0,0,1),0))</f>
        <v>0</v>
      </c>
      <c r="K91" s="432">
        <f t="shared" si="5"/>
        <v>0</v>
      </c>
      <c r="L91" s="432">
        <f t="shared" si="7"/>
        <v>0</v>
      </c>
    </row>
    <row r="92" spans="2:12" ht="32.25" customHeight="1" x14ac:dyDescent="0.35">
      <c r="B92" s="44">
        <f t="shared" si="2"/>
        <v>62</v>
      </c>
      <c r="C92" s="241" t="str">
        <f>'קיזוזים בגין איחורים'!C92</f>
        <v>דריה- הרכב אינסטרומנטלי</v>
      </c>
      <c r="D92" s="434">
        <f>'קיזוזים בגין איחורים'!H92</f>
        <v>43686.952954856009</v>
      </c>
      <c r="E92" s="45"/>
      <c r="F92" s="435">
        <f t="shared" si="6"/>
        <v>43686.952954856009</v>
      </c>
      <c r="G92" s="435">
        <f t="shared" si="3"/>
        <v>43686.952954856009</v>
      </c>
      <c r="I92" s="432">
        <f t="shared" si="4"/>
        <v>0</v>
      </c>
      <c r="J92" s="432">
        <f>IF($C92="","",IFERROR(IF('קיזוזים בגין איחורים'!E92=0,0,1),0))</f>
        <v>0</v>
      </c>
      <c r="K92" s="432">
        <f t="shared" si="5"/>
        <v>0</v>
      </c>
      <c r="L92" s="432">
        <f t="shared" si="7"/>
        <v>0</v>
      </c>
    </row>
    <row r="93" spans="2:12" ht="32.25" customHeight="1" x14ac:dyDescent="0.35">
      <c r="B93" s="44">
        <f t="shared" si="2"/>
        <v>63</v>
      </c>
      <c r="C93" s="241" t="str">
        <f>'קיזוזים בגין איחורים'!C93</f>
        <v>להקת שלוש</v>
      </c>
      <c r="D93" s="434">
        <f>'קיזוזים בגין איחורים'!H93</f>
        <v>50000</v>
      </c>
      <c r="E93" s="45"/>
      <c r="F93" s="435">
        <f t="shared" si="6"/>
        <v>50000</v>
      </c>
      <c r="G93" s="435">
        <f t="shared" si="3"/>
        <v>50000</v>
      </c>
      <c r="I93" s="432">
        <f t="shared" si="4"/>
        <v>0</v>
      </c>
      <c r="J93" s="432">
        <f>IF($C93="","",IFERROR(IF('קיזוזים בגין איחורים'!E93=0,0,1),0))</f>
        <v>0</v>
      </c>
      <c r="K93" s="432">
        <f t="shared" si="5"/>
        <v>0</v>
      </c>
      <c r="L93" s="432">
        <f t="shared" si="7"/>
        <v>0</v>
      </c>
    </row>
    <row r="94" spans="2:12" ht="32.25" customHeight="1" x14ac:dyDescent="0.35">
      <c r="B94" s="44">
        <f t="shared" si="2"/>
        <v>64</v>
      </c>
      <c r="C94" s="241" t="str">
        <f>'קיזוזים בגין איחורים'!C94</f>
        <v>רביעיית טוסקאניני</v>
      </c>
      <c r="D94" s="434">
        <f>'קיזוזים בגין איחורים'!H94</f>
        <v>38362.134176260923</v>
      </c>
      <c r="E94" s="45"/>
      <c r="F94" s="435">
        <f t="shared" si="6"/>
        <v>38362.134176260923</v>
      </c>
      <c r="G94" s="435">
        <f t="shared" si="3"/>
        <v>38362.134176260923</v>
      </c>
      <c r="I94" s="432">
        <f t="shared" si="4"/>
        <v>0</v>
      </c>
      <c r="J94" s="432">
        <f>IF($C94="","",IFERROR(IF('קיזוזים בגין איחורים'!E94=0,0,1),0))</f>
        <v>0</v>
      </c>
      <c r="K94" s="432">
        <f t="shared" si="5"/>
        <v>0</v>
      </c>
      <c r="L94" s="432">
        <f t="shared" si="7"/>
        <v>0</v>
      </c>
    </row>
    <row r="95" spans="2:12" ht="32.25" customHeight="1" x14ac:dyDescent="0.35">
      <c r="B95" s="44">
        <f t="shared" si="2"/>
        <v>65</v>
      </c>
      <c r="C95" s="241" t="str">
        <f>'קיזוזים בגין איחורים'!C95</f>
        <v>תקוע-קבוצה מוזיקלית - 'דאפה' 2024</v>
      </c>
      <c r="D95" s="434">
        <f>'קיזוזים בגין איחורים'!H95</f>
        <v>104841.10811467086</v>
      </c>
      <c r="E95" s="45"/>
      <c r="F95" s="435">
        <f t="shared" ref="F95:F126" si="8">IF($C95="","",IF(E95&gt;D95,$P$1,D95-E95))</f>
        <v>104841.10811467086</v>
      </c>
      <c r="G95" s="435">
        <f t="shared" si="3"/>
        <v>104841.10811467086</v>
      </c>
      <c r="I95" s="432">
        <f t="shared" si="4"/>
        <v>0</v>
      </c>
      <c r="J95" s="432">
        <f>IF($C95="","",IFERROR(IF('קיזוזים בגין איחורים'!E95=0,0,1),0))</f>
        <v>0</v>
      </c>
      <c r="K95" s="432">
        <f t="shared" si="5"/>
        <v>0</v>
      </c>
      <c r="L95" s="432">
        <f t="shared" ref="L95:L126" si="9">IF($C95="","",IF(K95=1,0,$K$27*$D95/$J$27))</f>
        <v>0</v>
      </c>
    </row>
    <row r="96" spans="2:12" ht="32.25" customHeight="1" x14ac:dyDescent="0.35">
      <c r="B96" s="44">
        <f t="shared" ref="B96:B130" si="10">IF(C96="","",ROW()-30)</f>
        <v>66</v>
      </c>
      <c r="C96" s="241" t="str">
        <f>'קיזוזים בגין איחורים'!C96</f>
        <v>טריו בן חיים</v>
      </c>
      <c r="D96" s="434">
        <f>'קיזוזים בגין איחורים'!H96</f>
        <v>44394.089758849463</v>
      </c>
      <c r="E96" s="45"/>
      <c r="F96" s="435">
        <f t="shared" si="8"/>
        <v>44394.089758849463</v>
      </c>
      <c r="G96" s="435">
        <f t="shared" ref="G96:G130" si="11">IF($C96="","",F96+L96)</f>
        <v>44394.089758849463</v>
      </c>
      <c r="I96" s="432">
        <f t="shared" ref="I96:I130" si="12">IF($C96="","",IFERROR(IF(E96=0,0,1),0))</f>
        <v>0</v>
      </c>
      <c r="J96" s="432">
        <f>IF($C96="","",IFERROR(IF('קיזוזים בגין איחורים'!E96=0,0,1),0))</f>
        <v>0</v>
      </c>
      <c r="K96" s="432">
        <f t="shared" ref="K96:K130" si="13">IF($C96="","",IF(OR(J96=1,I96=1),1,0))</f>
        <v>0</v>
      </c>
      <c r="L96" s="432">
        <f t="shared" si="9"/>
        <v>0</v>
      </c>
    </row>
    <row r="97" spans="2:12" ht="32.25" hidden="1" customHeight="1" x14ac:dyDescent="0.35">
      <c r="B97" s="44" t="str">
        <f t="shared" si="10"/>
        <v/>
      </c>
      <c r="C97" s="241" t="str">
        <f>'קיזוזים בגין איחורים'!C97</f>
        <v/>
      </c>
      <c r="D97" s="434" t="str">
        <f>'קיזוזים בגין איחורים'!H97</f>
        <v/>
      </c>
      <c r="E97" s="45"/>
      <c r="F97" s="435" t="str">
        <f t="shared" si="8"/>
        <v/>
      </c>
      <c r="G97" s="435" t="str">
        <f t="shared" si="11"/>
        <v/>
      </c>
      <c r="I97" s="432" t="str">
        <f t="shared" si="12"/>
        <v/>
      </c>
      <c r="J97" s="432" t="str">
        <f>IF($C97="","",IFERROR(IF('קיזוזים בגין איחורים'!E97=0,0,1),0))</f>
        <v/>
      </c>
      <c r="K97" s="432" t="str">
        <f t="shared" si="13"/>
        <v/>
      </c>
      <c r="L97" s="432" t="str">
        <f t="shared" si="9"/>
        <v/>
      </c>
    </row>
    <row r="98" spans="2:12" ht="32.25" customHeight="1" x14ac:dyDescent="0.35">
      <c r="B98" s="44">
        <f t="shared" si="10"/>
        <v>68</v>
      </c>
      <c r="C98" s="241" t="str">
        <f>'קיזוזים בגין איחורים'!C98</f>
        <v>אמיתי אריכא והפרויקט D1</v>
      </c>
      <c r="D98" s="434">
        <f>'קיזוזים בגין איחורים'!H98</f>
        <v>45000</v>
      </c>
      <c r="E98" s="45"/>
      <c r="F98" s="435">
        <f t="shared" si="8"/>
        <v>45000</v>
      </c>
      <c r="G98" s="435">
        <f t="shared" si="11"/>
        <v>45000</v>
      </c>
      <c r="I98" s="432">
        <f t="shared" si="12"/>
        <v>0</v>
      </c>
      <c r="J98" s="432">
        <f>IF($C98="","",IFERROR(IF('קיזוזים בגין איחורים'!E98=0,0,1),0))</f>
        <v>0</v>
      </c>
      <c r="K98" s="432">
        <f t="shared" si="13"/>
        <v>0</v>
      </c>
      <c r="L98" s="432">
        <f t="shared" si="9"/>
        <v>0</v>
      </c>
    </row>
    <row r="99" spans="2:12" x14ac:dyDescent="0.35">
      <c r="B99" s="44" t="str">
        <f t="shared" si="10"/>
        <v/>
      </c>
      <c r="C99" s="241" t="str">
        <f>'קיזוזים בגין איחורים'!C99</f>
        <v/>
      </c>
      <c r="D99" s="434" t="str">
        <f>'קיזוזים בגין איחורים'!H99</f>
        <v/>
      </c>
      <c r="E99" s="45"/>
      <c r="F99" s="435" t="str">
        <f t="shared" si="8"/>
        <v/>
      </c>
      <c r="G99" s="435" t="str">
        <f t="shared" si="11"/>
        <v/>
      </c>
      <c r="I99" s="432" t="str">
        <f t="shared" si="12"/>
        <v/>
      </c>
      <c r="J99" s="432" t="str">
        <f>IF($C99="","",IFERROR(IF('קיזוזים בגין איחורים'!E99=0,0,1),0))</f>
        <v/>
      </c>
      <c r="K99" s="432" t="str">
        <f t="shared" si="13"/>
        <v/>
      </c>
      <c r="L99" s="432" t="str">
        <f t="shared" si="9"/>
        <v/>
      </c>
    </row>
    <row r="100" spans="2:12" x14ac:dyDescent="0.35">
      <c r="B100" s="44" t="str">
        <f t="shared" si="10"/>
        <v/>
      </c>
      <c r="C100" s="241" t="str">
        <f>'קיזוזים בגין איחורים'!C100</f>
        <v/>
      </c>
      <c r="D100" s="434" t="str">
        <f>'קיזוזים בגין איחורים'!H100</f>
        <v/>
      </c>
      <c r="E100" s="45"/>
      <c r="F100" s="435" t="str">
        <f t="shared" si="8"/>
        <v/>
      </c>
      <c r="G100" s="435" t="str">
        <f t="shared" si="11"/>
        <v/>
      </c>
      <c r="I100" s="432" t="str">
        <f t="shared" si="12"/>
        <v/>
      </c>
      <c r="J100" s="432" t="str">
        <f>IF($C100="","",IFERROR(IF('קיזוזים בגין איחורים'!E100=0,0,1),0))</f>
        <v/>
      </c>
      <c r="K100" s="432" t="str">
        <f t="shared" si="13"/>
        <v/>
      </c>
      <c r="L100" s="432" t="str">
        <f t="shared" si="9"/>
        <v/>
      </c>
    </row>
    <row r="101" spans="2:12" x14ac:dyDescent="0.35">
      <c r="B101" s="44" t="str">
        <f t="shared" si="10"/>
        <v/>
      </c>
      <c r="C101" s="241" t="str">
        <f>'קיזוזים בגין איחורים'!C101</f>
        <v/>
      </c>
      <c r="D101" s="434" t="str">
        <f>'קיזוזים בגין איחורים'!H101</f>
        <v/>
      </c>
      <c r="E101" s="45"/>
      <c r="F101" s="435" t="str">
        <f t="shared" si="8"/>
        <v/>
      </c>
      <c r="G101" s="435" t="str">
        <f t="shared" si="11"/>
        <v/>
      </c>
      <c r="I101" s="432" t="str">
        <f t="shared" si="12"/>
        <v/>
      </c>
      <c r="J101" s="432" t="str">
        <f>IF($C101="","",IFERROR(IF('קיזוזים בגין איחורים'!E101=0,0,1),0))</f>
        <v/>
      </c>
      <c r="K101" s="432" t="str">
        <f t="shared" si="13"/>
        <v/>
      </c>
      <c r="L101" s="432" t="str">
        <f t="shared" si="9"/>
        <v/>
      </c>
    </row>
    <row r="102" spans="2:12" x14ac:dyDescent="0.35">
      <c r="B102" s="44" t="str">
        <f t="shared" si="10"/>
        <v/>
      </c>
      <c r="C102" s="241" t="str">
        <f>'קיזוזים בגין איחורים'!C102</f>
        <v/>
      </c>
      <c r="D102" s="434" t="str">
        <f>'קיזוזים בגין איחורים'!H102</f>
        <v/>
      </c>
      <c r="E102" s="45"/>
      <c r="F102" s="435" t="str">
        <f t="shared" si="8"/>
        <v/>
      </c>
      <c r="G102" s="435" t="str">
        <f t="shared" si="11"/>
        <v/>
      </c>
      <c r="I102" s="432" t="str">
        <f t="shared" si="12"/>
        <v/>
      </c>
      <c r="J102" s="432" t="str">
        <f>IF($C102="","",IFERROR(IF('קיזוזים בגין איחורים'!E102=0,0,1),0))</f>
        <v/>
      </c>
      <c r="K102" s="432" t="str">
        <f t="shared" si="13"/>
        <v/>
      </c>
      <c r="L102" s="432" t="str">
        <f t="shared" si="9"/>
        <v/>
      </c>
    </row>
    <row r="103" spans="2:12" x14ac:dyDescent="0.35">
      <c r="B103" s="44" t="str">
        <f t="shared" si="10"/>
        <v/>
      </c>
      <c r="C103" s="241" t="str">
        <f>'קיזוזים בגין איחורים'!C103</f>
        <v/>
      </c>
      <c r="D103" s="434" t="str">
        <f>'קיזוזים בגין איחורים'!H103</f>
        <v/>
      </c>
      <c r="E103" s="45"/>
      <c r="F103" s="435" t="str">
        <f t="shared" si="8"/>
        <v/>
      </c>
      <c r="G103" s="435" t="str">
        <f t="shared" si="11"/>
        <v/>
      </c>
      <c r="I103" s="432" t="str">
        <f t="shared" si="12"/>
        <v/>
      </c>
      <c r="J103" s="432" t="str">
        <f>IF($C103="","",IFERROR(IF('קיזוזים בגין איחורים'!E103=0,0,1),0))</f>
        <v/>
      </c>
      <c r="K103" s="432" t="str">
        <f t="shared" si="13"/>
        <v/>
      </c>
      <c r="L103" s="432" t="str">
        <f t="shared" si="9"/>
        <v/>
      </c>
    </row>
    <row r="104" spans="2:12" x14ac:dyDescent="0.35">
      <c r="B104" s="44" t="str">
        <f t="shared" si="10"/>
        <v/>
      </c>
      <c r="C104" s="241" t="str">
        <f>'קיזוזים בגין איחורים'!C104</f>
        <v/>
      </c>
      <c r="D104" s="434" t="str">
        <f>'קיזוזים בגין איחורים'!H104</f>
        <v/>
      </c>
      <c r="E104" s="45"/>
      <c r="F104" s="435" t="str">
        <f t="shared" si="8"/>
        <v/>
      </c>
      <c r="G104" s="435" t="str">
        <f t="shared" si="11"/>
        <v/>
      </c>
      <c r="I104" s="432" t="str">
        <f t="shared" si="12"/>
        <v/>
      </c>
      <c r="J104" s="432" t="str">
        <f>IF($C104="","",IFERROR(IF('קיזוזים בגין איחורים'!E104=0,0,1),0))</f>
        <v/>
      </c>
      <c r="K104" s="432" t="str">
        <f t="shared" si="13"/>
        <v/>
      </c>
      <c r="L104" s="432" t="str">
        <f t="shared" si="9"/>
        <v/>
      </c>
    </row>
    <row r="105" spans="2:12" x14ac:dyDescent="0.35">
      <c r="B105" s="44">
        <f t="shared" si="10"/>
        <v>75</v>
      </c>
      <c r="C105" s="241" t="str">
        <f>'קיזוזים בגין איחורים'!C105</f>
        <v>לבונטין 7</v>
      </c>
      <c r="D105" s="434">
        <f>'קיזוזים בגין איחורים'!H105</f>
        <v>74924.348521178836</v>
      </c>
      <c r="E105" s="45"/>
      <c r="F105" s="435">
        <f t="shared" si="8"/>
        <v>74924.348521178836</v>
      </c>
      <c r="G105" s="435">
        <f t="shared" si="11"/>
        <v>74924.348521178836</v>
      </c>
      <c r="I105" s="432">
        <f t="shared" si="12"/>
        <v>0</v>
      </c>
      <c r="J105" s="432">
        <f>IF($C105="","",IFERROR(IF('קיזוזים בגין איחורים'!E105=0,0,1),0))</f>
        <v>0</v>
      </c>
      <c r="K105" s="432">
        <f t="shared" si="13"/>
        <v>0</v>
      </c>
      <c r="L105" s="432">
        <f t="shared" si="9"/>
        <v>0</v>
      </c>
    </row>
    <row r="106" spans="2:12" ht="21" customHeight="1" x14ac:dyDescent="0.35">
      <c r="B106" s="44">
        <f t="shared" si="10"/>
        <v>76</v>
      </c>
      <c r="C106" s="241" t="str">
        <f>'קיזוזים בגין איחורים'!C106</f>
        <v>מולטי פיאנו- פליציה בלומנטל</v>
      </c>
      <c r="D106" s="434">
        <f>'קיזוזים בגין איחורים'!H106</f>
        <v>54445.873871104304</v>
      </c>
      <c r="E106" s="45"/>
      <c r="F106" s="435">
        <f t="shared" si="8"/>
        <v>54445.873871104304</v>
      </c>
      <c r="G106" s="435">
        <f t="shared" si="11"/>
        <v>54445.873871104304</v>
      </c>
      <c r="I106" s="432">
        <f t="shared" si="12"/>
        <v>0</v>
      </c>
      <c r="J106" s="432">
        <f>IF($C106="","",IFERROR(IF('קיזוזים בגין איחורים'!E106=0,0,1),0))</f>
        <v>0</v>
      </c>
      <c r="K106" s="432">
        <f t="shared" si="13"/>
        <v>0</v>
      </c>
      <c r="L106" s="432">
        <f t="shared" si="9"/>
        <v>0</v>
      </c>
    </row>
    <row r="107" spans="2:12" x14ac:dyDescent="0.35">
      <c r="B107" s="44">
        <f t="shared" si="10"/>
        <v>77</v>
      </c>
      <c r="C107" s="241" t="str">
        <f>'קיזוזים בגין איחורים'!C107</f>
        <v>ארמון בזמן - העמותה לתרבות רב תחומית</v>
      </c>
      <c r="D107" s="434">
        <f>'קיזוזים בגין איחורים'!H107</f>
        <v>74648.657273345394</v>
      </c>
      <c r="E107" s="45"/>
      <c r="F107" s="435">
        <f t="shared" si="8"/>
        <v>74648.657273345394</v>
      </c>
      <c r="G107" s="435">
        <f t="shared" si="11"/>
        <v>74648.657273345394</v>
      </c>
      <c r="I107" s="432">
        <f t="shared" si="12"/>
        <v>0</v>
      </c>
      <c r="J107" s="432">
        <f>IF($C107="","",IFERROR(IF('קיזוזים בגין איחורים'!E107=0,0,1),0))</f>
        <v>0</v>
      </c>
      <c r="K107" s="432">
        <f t="shared" si="13"/>
        <v>0</v>
      </c>
      <c r="L107" s="432">
        <f t="shared" si="9"/>
        <v>0</v>
      </c>
    </row>
    <row r="108" spans="2:12" x14ac:dyDescent="0.35">
      <c r="B108" s="44" t="str">
        <f t="shared" si="10"/>
        <v/>
      </c>
      <c r="C108" s="241" t="str">
        <f>'קיזוזים בגין איחורים'!C108</f>
        <v/>
      </c>
      <c r="D108" s="434" t="str">
        <f>'קיזוזים בגין איחורים'!H108</f>
        <v/>
      </c>
      <c r="E108" s="45"/>
      <c r="F108" s="435" t="str">
        <f t="shared" si="8"/>
        <v/>
      </c>
      <c r="G108" s="435" t="str">
        <f t="shared" si="11"/>
        <v/>
      </c>
      <c r="I108" s="432" t="str">
        <f t="shared" si="12"/>
        <v/>
      </c>
      <c r="J108" s="432" t="str">
        <f>IF($C108="","",IFERROR(IF('קיזוזים בגין איחורים'!E108=0,0,1),0))</f>
        <v/>
      </c>
      <c r="K108" s="432" t="str">
        <f t="shared" si="13"/>
        <v/>
      </c>
      <c r="L108" s="432" t="str">
        <f t="shared" si="9"/>
        <v/>
      </c>
    </row>
    <row r="109" spans="2:12" x14ac:dyDescent="0.35">
      <c r="B109" s="44" t="str">
        <f t="shared" si="10"/>
        <v/>
      </c>
      <c r="C109" s="241" t="str">
        <f>'קיזוזים בגין איחורים'!C109</f>
        <v/>
      </c>
      <c r="D109" s="434" t="str">
        <f>'קיזוזים בגין איחורים'!H109</f>
        <v/>
      </c>
      <c r="E109" s="45"/>
      <c r="F109" s="435" t="str">
        <f t="shared" si="8"/>
        <v/>
      </c>
      <c r="G109" s="435" t="str">
        <f t="shared" si="11"/>
        <v/>
      </c>
      <c r="I109" s="432" t="str">
        <f t="shared" si="12"/>
        <v/>
      </c>
      <c r="J109" s="432" t="str">
        <f>IF($C109="","",IFERROR(IF('קיזוזים בגין איחורים'!E109=0,0,1),0))</f>
        <v/>
      </c>
      <c r="K109" s="432" t="str">
        <f t="shared" si="13"/>
        <v/>
      </c>
      <c r="L109" s="432" t="str">
        <f t="shared" si="9"/>
        <v/>
      </c>
    </row>
    <row r="110" spans="2:12" x14ac:dyDescent="0.35">
      <c r="B110" s="44" t="str">
        <f t="shared" si="10"/>
        <v/>
      </c>
      <c r="C110" s="241" t="str">
        <f>'קיזוזים בגין איחורים'!C110</f>
        <v/>
      </c>
      <c r="D110" s="434" t="str">
        <f>'קיזוזים בגין איחורים'!H110</f>
        <v/>
      </c>
      <c r="E110" s="45"/>
      <c r="F110" s="435" t="str">
        <f t="shared" si="8"/>
        <v/>
      </c>
      <c r="G110" s="435" t="str">
        <f t="shared" si="11"/>
        <v/>
      </c>
      <c r="I110" s="432" t="str">
        <f t="shared" si="12"/>
        <v/>
      </c>
      <c r="J110" s="432" t="str">
        <f>IF($C110="","",IFERROR(IF('קיזוזים בגין איחורים'!E110=0,0,1),0))</f>
        <v/>
      </c>
      <c r="K110" s="432" t="str">
        <f t="shared" si="13"/>
        <v/>
      </c>
      <c r="L110" s="432" t="str">
        <f t="shared" si="9"/>
        <v/>
      </c>
    </row>
    <row r="111" spans="2:12" x14ac:dyDescent="0.35">
      <c r="B111" s="44" t="str">
        <f t="shared" si="10"/>
        <v/>
      </c>
      <c r="C111" s="241" t="str">
        <f>'קיזוזים בגין איחורים'!C111</f>
        <v/>
      </c>
      <c r="D111" s="434" t="str">
        <f>'קיזוזים בגין איחורים'!H111</f>
        <v/>
      </c>
      <c r="E111" s="45"/>
      <c r="F111" s="435" t="str">
        <f t="shared" si="8"/>
        <v/>
      </c>
      <c r="G111" s="435" t="str">
        <f t="shared" si="11"/>
        <v/>
      </c>
      <c r="I111" s="432" t="str">
        <f t="shared" si="12"/>
        <v/>
      </c>
      <c r="J111" s="432" t="str">
        <f>IF($C111="","",IFERROR(IF('קיזוזים בגין איחורים'!E111=0,0,1),0))</f>
        <v/>
      </c>
      <c r="K111" s="432" t="str">
        <f t="shared" si="13"/>
        <v/>
      </c>
      <c r="L111" s="432" t="str">
        <f t="shared" si="9"/>
        <v/>
      </c>
    </row>
    <row r="112" spans="2:12" x14ac:dyDescent="0.35">
      <c r="B112" s="44" t="str">
        <f t="shared" si="10"/>
        <v/>
      </c>
      <c r="C112" s="241" t="str">
        <f>'קיזוזים בגין איחורים'!C112</f>
        <v/>
      </c>
      <c r="D112" s="434" t="str">
        <f>'קיזוזים בגין איחורים'!H112</f>
        <v/>
      </c>
      <c r="E112" s="45"/>
      <c r="F112" s="435" t="str">
        <f t="shared" si="8"/>
        <v/>
      </c>
      <c r="G112" s="435" t="str">
        <f t="shared" si="11"/>
        <v/>
      </c>
      <c r="I112" s="432" t="str">
        <f t="shared" si="12"/>
        <v/>
      </c>
      <c r="J112" s="432" t="str">
        <f>IF($C112="","",IFERROR(IF('קיזוזים בגין איחורים'!E112=0,0,1),0))</f>
        <v/>
      </c>
      <c r="K112" s="432" t="str">
        <f t="shared" si="13"/>
        <v/>
      </c>
      <c r="L112" s="432" t="str">
        <f t="shared" si="9"/>
        <v/>
      </c>
    </row>
    <row r="113" spans="2:12" x14ac:dyDescent="0.35">
      <c r="B113" s="44" t="str">
        <f t="shared" si="10"/>
        <v/>
      </c>
      <c r="C113" s="241" t="str">
        <f>'קיזוזים בגין איחורים'!C113</f>
        <v/>
      </c>
      <c r="D113" s="434" t="str">
        <f>'קיזוזים בגין איחורים'!H113</f>
        <v/>
      </c>
      <c r="E113" s="45"/>
      <c r="F113" s="435" t="str">
        <f t="shared" si="8"/>
        <v/>
      </c>
      <c r="G113" s="435" t="str">
        <f t="shared" si="11"/>
        <v/>
      </c>
      <c r="I113" s="432" t="str">
        <f t="shared" si="12"/>
        <v/>
      </c>
      <c r="J113" s="432" t="str">
        <f>IF($C113="","",IFERROR(IF('קיזוזים בגין איחורים'!E113=0,0,1),0))</f>
        <v/>
      </c>
      <c r="K113" s="432" t="str">
        <f t="shared" si="13"/>
        <v/>
      </c>
      <c r="L113" s="432" t="str">
        <f t="shared" si="9"/>
        <v/>
      </c>
    </row>
    <row r="114" spans="2:12" x14ac:dyDescent="0.35">
      <c r="B114" s="44" t="str">
        <f t="shared" si="10"/>
        <v/>
      </c>
      <c r="C114" s="241" t="str">
        <f>'קיזוזים בגין איחורים'!C114</f>
        <v/>
      </c>
      <c r="D114" s="434" t="str">
        <f>'קיזוזים בגין איחורים'!H114</f>
        <v/>
      </c>
      <c r="E114" s="45"/>
      <c r="F114" s="435" t="str">
        <f t="shared" si="8"/>
        <v/>
      </c>
      <c r="G114" s="435" t="str">
        <f t="shared" si="11"/>
        <v/>
      </c>
      <c r="I114" s="432" t="str">
        <f t="shared" si="12"/>
        <v/>
      </c>
      <c r="J114" s="432" t="str">
        <f>IF($C114="","",IFERROR(IF('קיזוזים בגין איחורים'!E114=0,0,1),0))</f>
        <v/>
      </c>
      <c r="K114" s="432" t="str">
        <f t="shared" si="13"/>
        <v/>
      </c>
      <c r="L114" s="432" t="str">
        <f t="shared" si="9"/>
        <v/>
      </c>
    </row>
    <row r="115" spans="2:12" x14ac:dyDescent="0.35">
      <c r="B115" s="44" t="str">
        <f t="shared" si="10"/>
        <v/>
      </c>
      <c r="C115" s="241" t="str">
        <f>'קיזוזים בגין איחורים'!C115</f>
        <v/>
      </c>
      <c r="D115" s="434" t="str">
        <f>'קיזוזים בגין איחורים'!H115</f>
        <v/>
      </c>
      <c r="E115" s="45"/>
      <c r="F115" s="435" t="str">
        <f t="shared" si="8"/>
        <v/>
      </c>
      <c r="G115" s="435" t="str">
        <f t="shared" si="11"/>
        <v/>
      </c>
      <c r="I115" s="432" t="str">
        <f t="shared" si="12"/>
        <v/>
      </c>
      <c r="J115" s="432" t="str">
        <f>IF($C115="","",IFERROR(IF('קיזוזים בגין איחורים'!E115=0,0,1),0))</f>
        <v/>
      </c>
      <c r="K115" s="432" t="str">
        <f t="shared" si="13"/>
        <v/>
      </c>
      <c r="L115" s="432" t="str">
        <f t="shared" si="9"/>
        <v/>
      </c>
    </row>
    <row r="116" spans="2:12" x14ac:dyDescent="0.35">
      <c r="B116" s="44" t="str">
        <f t="shared" si="10"/>
        <v/>
      </c>
      <c r="C116" s="241" t="str">
        <f>'קיזוזים בגין איחורים'!C116</f>
        <v/>
      </c>
      <c r="D116" s="434" t="str">
        <f>'קיזוזים בגין איחורים'!H116</f>
        <v/>
      </c>
      <c r="E116" s="45"/>
      <c r="F116" s="435" t="str">
        <f t="shared" si="8"/>
        <v/>
      </c>
      <c r="G116" s="435" t="str">
        <f t="shared" si="11"/>
        <v/>
      </c>
      <c r="I116" s="432" t="str">
        <f t="shared" si="12"/>
        <v/>
      </c>
      <c r="J116" s="432" t="str">
        <f>IF($C116="","",IFERROR(IF('קיזוזים בגין איחורים'!E116=0,0,1),0))</f>
        <v/>
      </c>
      <c r="K116" s="432" t="str">
        <f t="shared" si="13"/>
        <v/>
      </c>
      <c r="L116" s="432" t="str">
        <f t="shared" si="9"/>
        <v/>
      </c>
    </row>
    <row r="117" spans="2:12" x14ac:dyDescent="0.35">
      <c r="B117" s="44" t="str">
        <f t="shared" si="10"/>
        <v/>
      </c>
      <c r="C117" s="241" t="str">
        <f>'קיזוזים בגין איחורים'!C117</f>
        <v/>
      </c>
      <c r="D117" s="434" t="str">
        <f>'קיזוזים בגין איחורים'!H117</f>
        <v/>
      </c>
      <c r="E117" s="45"/>
      <c r="F117" s="435" t="str">
        <f t="shared" si="8"/>
        <v/>
      </c>
      <c r="G117" s="435" t="str">
        <f t="shared" si="11"/>
        <v/>
      </c>
      <c r="I117" s="432" t="str">
        <f t="shared" si="12"/>
        <v/>
      </c>
      <c r="J117" s="432" t="str">
        <f>IF($C117="","",IFERROR(IF('קיזוזים בגין איחורים'!E117=0,0,1),0))</f>
        <v/>
      </c>
      <c r="K117" s="432" t="str">
        <f t="shared" si="13"/>
        <v/>
      </c>
      <c r="L117" s="432" t="str">
        <f t="shared" si="9"/>
        <v/>
      </c>
    </row>
    <row r="118" spans="2:12" x14ac:dyDescent="0.35">
      <c r="B118" s="44" t="str">
        <f t="shared" si="10"/>
        <v/>
      </c>
      <c r="C118" s="241" t="str">
        <f>'קיזוזים בגין איחורים'!C118</f>
        <v/>
      </c>
      <c r="D118" s="434" t="str">
        <f>'קיזוזים בגין איחורים'!H118</f>
        <v/>
      </c>
      <c r="E118" s="45"/>
      <c r="F118" s="435" t="str">
        <f t="shared" si="8"/>
        <v/>
      </c>
      <c r="G118" s="435" t="str">
        <f t="shared" si="11"/>
        <v/>
      </c>
      <c r="I118" s="432" t="str">
        <f t="shared" si="12"/>
        <v/>
      </c>
      <c r="J118" s="432" t="str">
        <f>IF($C118="","",IFERROR(IF('קיזוזים בגין איחורים'!E118=0,0,1),0))</f>
        <v/>
      </c>
      <c r="K118" s="432" t="str">
        <f t="shared" si="13"/>
        <v/>
      </c>
      <c r="L118" s="432" t="str">
        <f t="shared" si="9"/>
        <v/>
      </c>
    </row>
    <row r="119" spans="2:12" x14ac:dyDescent="0.35">
      <c r="B119" s="44" t="str">
        <f t="shared" si="10"/>
        <v/>
      </c>
      <c r="C119" s="241" t="str">
        <f>'קיזוזים בגין איחורים'!C119</f>
        <v/>
      </c>
      <c r="D119" s="434" t="str">
        <f>'קיזוזים בגין איחורים'!H119</f>
        <v/>
      </c>
      <c r="E119" s="45"/>
      <c r="F119" s="435" t="str">
        <f t="shared" si="8"/>
        <v/>
      </c>
      <c r="G119" s="435" t="str">
        <f t="shared" si="11"/>
        <v/>
      </c>
      <c r="I119" s="432" t="str">
        <f t="shared" si="12"/>
        <v/>
      </c>
      <c r="J119" s="432" t="str">
        <f>IF($C119="","",IFERROR(IF('קיזוזים בגין איחורים'!E119=0,0,1),0))</f>
        <v/>
      </c>
      <c r="K119" s="432" t="str">
        <f t="shared" si="13"/>
        <v/>
      </c>
      <c r="L119" s="432" t="str">
        <f t="shared" si="9"/>
        <v/>
      </c>
    </row>
    <row r="120" spans="2:12" x14ac:dyDescent="0.35">
      <c r="B120" s="44" t="str">
        <f t="shared" si="10"/>
        <v/>
      </c>
      <c r="C120" s="241" t="str">
        <f>'קיזוזים בגין איחורים'!C120</f>
        <v/>
      </c>
      <c r="D120" s="434" t="str">
        <f>'קיזוזים בגין איחורים'!H120</f>
        <v/>
      </c>
      <c r="E120" s="45"/>
      <c r="F120" s="435" t="str">
        <f t="shared" si="8"/>
        <v/>
      </c>
      <c r="G120" s="435" t="str">
        <f t="shared" si="11"/>
        <v/>
      </c>
      <c r="I120" s="432" t="str">
        <f t="shared" si="12"/>
        <v/>
      </c>
      <c r="J120" s="432" t="str">
        <f>IF($C120="","",IFERROR(IF('קיזוזים בגין איחורים'!E120=0,0,1),0))</f>
        <v/>
      </c>
      <c r="K120" s="432" t="str">
        <f t="shared" si="13"/>
        <v/>
      </c>
      <c r="L120" s="432" t="str">
        <f t="shared" si="9"/>
        <v/>
      </c>
    </row>
    <row r="121" spans="2:12" x14ac:dyDescent="0.35">
      <c r="B121" s="44" t="str">
        <f t="shared" si="10"/>
        <v/>
      </c>
      <c r="C121" s="241" t="str">
        <f>'קיזוזים בגין איחורים'!C121</f>
        <v/>
      </c>
      <c r="D121" s="434" t="str">
        <f>'קיזוזים בגין איחורים'!H121</f>
        <v/>
      </c>
      <c r="E121" s="45"/>
      <c r="F121" s="435" t="str">
        <f t="shared" si="8"/>
        <v/>
      </c>
      <c r="G121" s="435" t="str">
        <f t="shared" si="11"/>
        <v/>
      </c>
      <c r="I121" s="432" t="str">
        <f t="shared" si="12"/>
        <v/>
      </c>
      <c r="J121" s="432" t="str">
        <f>IF($C121="","",IFERROR(IF('קיזוזים בגין איחורים'!E121=0,0,1),0))</f>
        <v/>
      </c>
      <c r="K121" s="432" t="str">
        <f t="shared" si="13"/>
        <v/>
      </c>
      <c r="L121" s="432" t="str">
        <f t="shared" si="9"/>
        <v/>
      </c>
    </row>
    <row r="122" spans="2:12" x14ac:dyDescent="0.35">
      <c r="B122" s="44" t="str">
        <f t="shared" si="10"/>
        <v/>
      </c>
      <c r="C122" s="241" t="str">
        <f>'קיזוזים בגין איחורים'!C122</f>
        <v/>
      </c>
      <c r="D122" s="434" t="str">
        <f>'קיזוזים בגין איחורים'!H122</f>
        <v/>
      </c>
      <c r="E122" s="45"/>
      <c r="F122" s="435" t="str">
        <f t="shared" si="8"/>
        <v/>
      </c>
      <c r="G122" s="435" t="str">
        <f t="shared" si="11"/>
        <v/>
      </c>
      <c r="I122" s="432" t="str">
        <f t="shared" si="12"/>
        <v/>
      </c>
      <c r="J122" s="432" t="str">
        <f>IF($C122="","",IFERROR(IF('קיזוזים בגין איחורים'!E122=0,0,1),0))</f>
        <v/>
      </c>
      <c r="K122" s="432" t="str">
        <f t="shared" si="13"/>
        <v/>
      </c>
      <c r="L122" s="432" t="str">
        <f t="shared" si="9"/>
        <v/>
      </c>
    </row>
    <row r="123" spans="2:12" x14ac:dyDescent="0.35">
      <c r="B123" s="44" t="str">
        <f t="shared" si="10"/>
        <v/>
      </c>
      <c r="C123" s="241" t="str">
        <f>'קיזוזים בגין איחורים'!C123</f>
        <v/>
      </c>
      <c r="D123" s="434" t="str">
        <f>'קיזוזים בגין איחורים'!H123</f>
        <v/>
      </c>
      <c r="E123" s="45"/>
      <c r="F123" s="435" t="str">
        <f t="shared" si="8"/>
        <v/>
      </c>
      <c r="G123" s="435" t="str">
        <f t="shared" si="11"/>
        <v/>
      </c>
      <c r="I123" s="432" t="str">
        <f t="shared" si="12"/>
        <v/>
      </c>
      <c r="J123" s="432" t="str">
        <f>IF($C123="","",IFERROR(IF('קיזוזים בגין איחורים'!E123=0,0,1),0))</f>
        <v/>
      </c>
      <c r="K123" s="432" t="str">
        <f t="shared" si="13"/>
        <v/>
      </c>
      <c r="L123" s="432" t="str">
        <f t="shared" si="9"/>
        <v/>
      </c>
    </row>
    <row r="124" spans="2:12" x14ac:dyDescent="0.35">
      <c r="B124" s="44" t="str">
        <f t="shared" si="10"/>
        <v/>
      </c>
      <c r="C124" s="241" t="str">
        <f>'קיזוזים בגין איחורים'!C124</f>
        <v/>
      </c>
      <c r="D124" s="434" t="str">
        <f>'קיזוזים בגין איחורים'!H124</f>
        <v/>
      </c>
      <c r="E124" s="45"/>
      <c r="F124" s="435" t="str">
        <f t="shared" si="8"/>
        <v/>
      </c>
      <c r="G124" s="435" t="str">
        <f t="shared" si="11"/>
        <v/>
      </c>
      <c r="I124" s="432" t="str">
        <f t="shared" si="12"/>
        <v/>
      </c>
      <c r="J124" s="432" t="str">
        <f>IF($C124="","",IFERROR(IF('קיזוזים בגין איחורים'!E124=0,0,1),0))</f>
        <v/>
      </c>
      <c r="K124" s="432" t="str">
        <f t="shared" si="13"/>
        <v/>
      </c>
      <c r="L124" s="432" t="str">
        <f t="shared" si="9"/>
        <v/>
      </c>
    </row>
    <row r="125" spans="2:12" x14ac:dyDescent="0.35">
      <c r="B125" s="44" t="str">
        <f t="shared" si="10"/>
        <v/>
      </c>
      <c r="C125" s="241" t="str">
        <f>'קיזוזים בגין איחורים'!C125</f>
        <v/>
      </c>
      <c r="D125" s="434" t="str">
        <f>'קיזוזים בגין איחורים'!H125</f>
        <v/>
      </c>
      <c r="E125" s="45"/>
      <c r="F125" s="435" t="str">
        <f t="shared" si="8"/>
        <v/>
      </c>
      <c r="G125" s="435" t="str">
        <f t="shared" si="11"/>
        <v/>
      </c>
      <c r="I125" s="432" t="str">
        <f t="shared" si="12"/>
        <v/>
      </c>
      <c r="J125" s="432" t="str">
        <f>IF($C125="","",IFERROR(IF('קיזוזים בגין איחורים'!E125=0,0,1),0))</f>
        <v/>
      </c>
      <c r="K125" s="432" t="str">
        <f t="shared" si="13"/>
        <v/>
      </c>
      <c r="L125" s="432" t="str">
        <f t="shared" si="9"/>
        <v/>
      </c>
    </row>
    <row r="126" spans="2:12" x14ac:dyDescent="0.35">
      <c r="B126" s="44" t="str">
        <f t="shared" si="10"/>
        <v/>
      </c>
      <c r="C126" s="241" t="str">
        <f>'קיזוזים בגין איחורים'!C126</f>
        <v/>
      </c>
      <c r="D126" s="434" t="str">
        <f>'קיזוזים בגין איחורים'!H126</f>
        <v/>
      </c>
      <c r="E126" s="45"/>
      <c r="F126" s="435" t="str">
        <f t="shared" si="8"/>
        <v/>
      </c>
      <c r="G126" s="435" t="str">
        <f t="shared" si="11"/>
        <v/>
      </c>
      <c r="I126" s="432" t="str">
        <f t="shared" si="12"/>
        <v/>
      </c>
      <c r="J126" s="432" t="str">
        <f>IF($C126="","",IFERROR(IF('קיזוזים בגין איחורים'!E126=0,0,1),0))</f>
        <v/>
      </c>
      <c r="K126" s="432" t="str">
        <f t="shared" si="13"/>
        <v/>
      </c>
      <c r="L126" s="432" t="str">
        <f t="shared" si="9"/>
        <v/>
      </c>
    </row>
    <row r="127" spans="2:12" x14ac:dyDescent="0.35">
      <c r="B127" s="44" t="str">
        <f t="shared" si="10"/>
        <v/>
      </c>
      <c r="C127" s="241" t="str">
        <f>'קיזוזים בגין איחורים'!C127</f>
        <v/>
      </c>
      <c r="D127" s="434" t="str">
        <f>'קיזוזים בגין איחורים'!H127</f>
        <v/>
      </c>
      <c r="E127" s="45"/>
      <c r="F127" s="435" t="str">
        <f>IF($C127="","",IF(E127&gt;D127,$P$1,D127-E127))</f>
        <v/>
      </c>
      <c r="G127" s="435" t="str">
        <f t="shared" si="11"/>
        <v/>
      </c>
      <c r="I127" s="432" t="str">
        <f t="shared" si="12"/>
        <v/>
      </c>
      <c r="J127" s="432" t="str">
        <f>IF($C127="","",IFERROR(IF('קיזוזים בגין איחורים'!E127=0,0,1),0))</f>
        <v/>
      </c>
      <c r="K127" s="432" t="str">
        <f t="shared" si="13"/>
        <v/>
      </c>
      <c r="L127" s="432" t="str">
        <f>IF($C127="","",IF(K127=1,0,$K$27*$D127/$J$27))</f>
        <v/>
      </c>
    </row>
    <row r="128" spans="2:12" x14ac:dyDescent="0.35">
      <c r="B128" s="44" t="str">
        <f t="shared" si="10"/>
        <v/>
      </c>
      <c r="C128" s="241" t="str">
        <f>'קיזוזים בגין איחורים'!C128</f>
        <v/>
      </c>
      <c r="D128" s="434" t="str">
        <f>'קיזוזים בגין איחורים'!H128</f>
        <v/>
      </c>
      <c r="E128" s="45"/>
      <c r="F128" s="435" t="str">
        <f>IF($C128="","",IF(E128&gt;D128,$P$1,D128-E128))</f>
        <v/>
      </c>
      <c r="G128" s="435" t="str">
        <f t="shared" si="11"/>
        <v/>
      </c>
      <c r="I128" s="432" t="str">
        <f t="shared" si="12"/>
        <v/>
      </c>
      <c r="J128" s="432" t="str">
        <f>IF($C128="","",IFERROR(IF('קיזוזים בגין איחורים'!E128=0,0,1),0))</f>
        <v/>
      </c>
      <c r="K128" s="432" t="str">
        <f t="shared" si="13"/>
        <v/>
      </c>
      <c r="L128" s="432" t="str">
        <f>IF($C128="","",IF(K128=1,0,$K$27*$D128/$J$27))</f>
        <v/>
      </c>
    </row>
    <row r="129" spans="2:12" x14ac:dyDescent="0.35">
      <c r="B129" s="44" t="str">
        <f t="shared" si="10"/>
        <v/>
      </c>
      <c r="C129" s="241" t="str">
        <f>'קיזוזים בגין איחורים'!C129</f>
        <v/>
      </c>
      <c r="D129" s="434" t="str">
        <f>'קיזוזים בגין איחורים'!H129</f>
        <v/>
      </c>
      <c r="E129" s="45"/>
      <c r="F129" s="435" t="str">
        <f>IF($C129="","",IF(E129&gt;D129,$P$1,D129-E129))</f>
        <v/>
      </c>
      <c r="G129" s="435" t="str">
        <f t="shared" si="11"/>
        <v/>
      </c>
      <c r="I129" s="432" t="str">
        <f t="shared" si="12"/>
        <v/>
      </c>
      <c r="J129" s="432" t="str">
        <f>IF($C129="","",IFERROR(IF('קיזוזים בגין איחורים'!E129=0,0,1),0))</f>
        <v/>
      </c>
      <c r="K129" s="432" t="str">
        <f t="shared" si="13"/>
        <v/>
      </c>
      <c r="L129" s="432" t="str">
        <f>IF($C129="","",IF(K129=1,0,$K$27*$D129/$J$27))</f>
        <v/>
      </c>
    </row>
    <row r="130" spans="2:12" ht="21.75" thickBot="1" x14ac:dyDescent="0.4">
      <c r="B130" s="44" t="str">
        <f t="shared" si="10"/>
        <v/>
      </c>
      <c r="C130" s="241" t="str">
        <f>'קיזוזים בגין איחורים'!C130</f>
        <v/>
      </c>
      <c r="D130" s="434" t="str">
        <f>'קיזוזים בגין איחורים'!H130</f>
        <v/>
      </c>
      <c r="E130" s="45"/>
      <c r="F130" s="435" t="str">
        <f>IF($C130="","",IF(E130&gt;D130,$P$1,D130-E130))</f>
        <v/>
      </c>
      <c r="G130" s="435" t="str">
        <f t="shared" si="11"/>
        <v/>
      </c>
      <c r="I130" s="432" t="str">
        <f t="shared" si="12"/>
        <v/>
      </c>
      <c r="J130" s="432" t="str">
        <f>IF($C130="","",IFERROR(IF('קיזוזים בגין איחורים'!E130=0,0,1),0))</f>
        <v/>
      </c>
      <c r="K130" s="432" t="str">
        <f t="shared" si="13"/>
        <v/>
      </c>
      <c r="L130" s="432" t="str">
        <f>IF($C130="","",IF(K130=1,0,$K$27*$D130/$J$27))</f>
        <v/>
      </c>
    </row>
    <row r="131" spans="2:12" ht="21.75" thickBot="1" x14ac:dyDescent="0.4">
      <c r="B131" s="635" t="s">
        <v>77</v>
      </c>
      <c r="C131" s="557"/>
      <c r="D131" s="42">
        <f>SUM(D31:D130)</f>
        <v>3076367.0000000009</v>
      </c>
      <c r="E131" s="42">
        <f>SUM(E31:E130)</f>
        <v>0</v>
      </c>
      <c r="F131" s="42">
        <f>SUM(F31:F130)</f>
        <v>3076367.0000000009</v>
      </c>
      <c r="G131" s="42">
        <f>SUM(G31:G130)</f>
        <v>3076367.0000000009</v>
      </c>
    </row>
  </sheetData>
  <sheetProtection algorithmName="SHA-512" hashValue="FlihMig0eNIjWWiT8/kTR3y+hqf5WxQRwO72WqBpbpE9qIrdHA6XVgCym8JqOLE4Vcp+0c6LbIX3/HJMmNAKUA==" saltValue="6ssPCtmm0otBCm16C43oqQ==" spinCount="100000" sheet="1" scenarios="1" formatCells="0" formatColumns="0" formatRows="0" autoFilter="0"/>
  <mergeCells count="11">
    <mergeCell ref="I29:I30"/>
    <mergeCell ref="J29:J30"/>
    <mergeCell ref="K29:K30"/>
    <mergeCell ref="L29:L30"/>
    <mergeCell ref="B131:C131"/>
    <mergeCell ref="B28:G28"/>
    <mergeCell ref="B29:B30"/>
    <mergeCell ref="C29:C30"/>
    <mergeCell ref="D29:D30"/>
    <mergeCell ref="F29:F30"/>
    <mergeCell ref="G29:G30"/>
  </mergeCells>
  <conditionalFormatting sqref="B31:G130">
    <cfRule type="expression" dxfId="46" priority="445" stopIfTrue="1">
      <formula>AND($C31="",B31&lt;&gt;"")</formula>
    </cfRule>
    <cfRule type="expression" dxfId="45" priority="446">
      <formula>$C31=""</formula>
    </cfRule>
    <cfRule type="expression" dxfId="44" priority="447">
      <formula>B$30&lt;&gt;""</formula>
    </cfRule>
  </conditionalFormatting>
  <conditionalFormatting sqref="C1:C2">
    <cfRule type="containsBlanks" dxfId="43" priority="6">
      <formula>LEN(TRIM(C1))=0</formula>
    </cfRule>
  </conditionalFormatting>
  <dataValidations count="1">
    <dataValidation type="decimal" operator="greaterThanOrEqual" allowBlank="1" showInputMessage="1" showErrorMessage="1" sqref="E31:E130" xr:uid="{00000000-0002-0000-1900-000000000000}">
      <formula1>0</formula1>
    </dataValidation>
  </dataValidations>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48" operator="containsText" id="{EBAE8BB6-09AD-49B8-AB0C-4C694BE0063B}">
            <xm:f>NOT(ISERROR(SEARCH($P$1,B31)))</xm:f>
            <xm:f>$P$1</xm:f>
            <x14:dxf>
              <fill>
                <patternFill>
                  <bgColor rgb="FFFF0000"/>
                </patternFill>
              </fill>
            </x14:dxf>
          </x14:cfRule>
          <xm:sqref>B31:G130</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tabColor theme="8" tint="-0.249977111117893"/>
    <pageSetUpPr fitToPage="1"/>
  </sheetPr>
  <dimension ref="B1:GV131"/>
  <sheetViews>
    <sheetView rightToLeft="1" view="pageBreakPreview" zoomScale="80" zoomScaleNormal="100" zoomScaleSheetLayoutView="80" workbookViewId="0">
      <pane xSplit="3" ySplit="30" topLeftCell="D31" activePane="bottomRight" state="frozen"/>
      <selection pane="topRight" activeCell="G58" sqref="G58"/>
      <selection pane="bottomLeft" activeCell="G58" sqref="G58"/>
      <selection pane="bottomRight" activeCell="D31" sqref="D31"/>
    </sheetView>
  </sheetViews>
  <sheetFormatPr defaultColWidth="8" defaultRowHeight="15.75" x14ac:dyDescent="0.25"/>
  <cols>
    <col min="1" max="1" width="0" style="303" hidden="1" customWidth="1"/>
    <col min="2" max="2" width="13" style="303" customWidth="1"/>
    <col min="3" max="3" width="31.28515625" style="303" customWidth="1"/>
    <col min="4" max="4" width="25.140625" style="303" customWidth="1"/>
    <col min="5" max="5" width="25.42578125" style="303" customWidth="1"/>
    <col min="6" max="7" width="24" style="303" customWidth="1"/>
    <col min="8" max="8" width="15" style="303" customWidth="1"/>
    <col min="9" max="10" width="24" style="303" customWidth="1"/>
    <col min="11" max="22" width="24" style="303" hidden="1" customWidth="1"/>
    <col min="23" max="23" width="24.7109375" style="303" customWidth="1"/>
    <col min="24" max="24" width="14.28515625" style="303" customWidth="1"/>
    <col min="25" max="200" width="0" style="303" hidden="1" customWidth="1"/>
    <col min="201" max="202" width="8" style="303"/>
    <col min="203" max="203" width="11" style="303" bestFit="1" customWidth="1"/>
    <col min="204" max="16384" width="8" style="303"/>
  </cols>
  <sheetData>
    <row r="1" spans="2:34" ht="18.75" x14ac:dyDescent="0.25">
      <c r="B1" s="249" t="str">
        <f>'פרמטרים לעקרונות חישוב התמיכה'!$B$1</f>
        <v>שנה</v>
      </c>
      <c r="C1" s="1">
        <f>'פרמטרים לעקרונות חישוב התמיכה'!$C$1</f>
        <v>2025</v>
      </c>
      <c r="D1" s="37"/>
      <c r="E1" s="37"/>
      <c r="AH1" s="191" t="s">
        <v>115</v>
      </c>
    </row>
    <row r="2" spans="2:34" ht="19.5" thickBot="1" x14ac:dyDescent="0.3">
      <c r="B2" s="256" t="str">
        <f>'פרמטרים לעקרונות חישוב התמיכה'!$B$2</f>
        <v>תקציב</v>
      </c>
      <c r="C2" s="2">
        <f>'פרמטרים לעקרונות חישוב התמיכה'!$C$2</f>
        <v>3076367</v>
      </c>
      <c r="D2" s="10"/>
      <c r="E2" s="10"/>
    </row>
    <row r="3" spans="2:34" x14ac:dyDescent="0.25">
      <c r="B3" s="10"/>
      <c r="C3" s="10"/>
      <c r="D3" s="10"/>
      <c r="E3" s="10"/>
    </row>
    <row r="4" spans="2:34" hidden="1" x14ac:dyDescent="0.25">
      <c r="B4" s="10"/>
      <c r="C4" s="10"/>
      <c r="D4" s="10"/>
      <c r="E4" s="10"/>
    </row>
    <row r="5" spans="2:34" hidden="1" x14ac:dyDescent="0.25">
      <c r="B5" s="10"/>
      <c r="C5" s="10"/>
      <c r="D5" s="10"/>
      <c r="E5" s="10"/>
    </row>
    <row r="6" spans="2:34" hidden="1" x14ac:dyDescent="0.25">
      <c r="B6" s="10"/>
      <c r="C6" s="10"/>
      <c r="D6" s="10"/>
      <c r="E6" s="10"/>
    </row>
    <row r="7" spans="2:34" hidden="1" x14ac:dyDescent="0.25">
      <c r="B7" s="10"/>
      <c r="C7" s="10"/>
      <c r="D7" s="10"/>
      <c r="E7" s="10"/>
    </row>
    <row r="8" spans="2:34" hidden="1" x14ac:dyDescent="0.25">
      <c r="B8" s="10"/>
      <c r="C8" s="10"/>
      <c r="D8" s="10"/>
      <c r="E8" s="10"/>
    </row>
    <row r="9" spans="2:34" hidden="1" x14ac:dyDescent="0.25">
      <c r="B9" s="10"/>
      <c r="C9" s="10"/>
      <c r="D9" s="10"/>
      <c r="E9" s="10"/>
    </row>
    <row r="10" spans="2:34" hidden="1" x14ac:dyDescent="0.25">
      <c r="B10" s="10"/>
      <c r="C10" s="10"/>
      <c r="D10" s="10"/>
      <c r="E10" s="10"/>
    </row>
    <row r="11" spans="2:34" hidden="1" x14ac:dyDescent="0.25">
      <c r="B11" s="10"/>
      <c r="C11" s="10"/>
      <c r="D11" s="10"/>
      <c r="E11" s="10"/>
    </row>
    <row r="12" spans="2:34" hidden="1" x14ac:dyDescent="0.25">
      <c r="B12" s="10"/>
      <c r="C12" s="10"/>
      <c r="D12" s="10"/>
      <c r="E12" s="10"/>
    </row>
    <row r="13" spans="2:34" hidden="1" x14ac:dyDescent="0.25">
      <c r="B13" s="10"/>
      <c r="C13" s="10"/>
      <c r="D13" s="10"/>
      <c r="E13" s="10"/>
    </row>
    <row r="14" spans="2:34" hidden="1" x14ac:dyDescent="0.25">
      <c r="B14" s="10"/>
      <c r="C14" s="10"/>
      <c r="D14" s="10"/>
      <c r="E14" s="10"/>
    </row>
    <row r="15" spans="2:34" hidden="1" x14ac:dyDescent="0.25">
      <c r="B15" s="10"/>
      <c r="C15" s="10"/>
      <c r="D15" s="10"/>
      <c r="E15" s="10"/>
    </row>
    <row r="16" spans="2:34" hidden="1" x14ac:dyDescent="0.25">
      <c r="B16" s="10"/>
      <c r="C16" s="10"/>
      <c r="D16" s="10"/>
      <c r="E16" s="10"/>
    </row>
    <row r="17" spans="2:24" hidden="1" x14ac:dyDescent="0.25">
      <c r="B17" s="10"/>
      <c r="C17" s="10"/>
      <c r="D17" s="10"/>
      <c r="E17" s="10"/>
    </row>
    <row r="18" spans="2:24" hidden="1" x14ac:dyDescent="0.25">
      <c r="B18" s="10"/>
      <c r="C18" s="10"/>
      <c r="D18" s="10"/>
      <c r="E18" s="10"/>
    </row>
    <row r="19" spans="2:24" hidden="1" x14ac:dyDescent="0.25">
      <c r="B19" s="10"/>
      <c r="C19" s="10"/>
      <c r="D19" s="10"/>
      <c r="E19" s="10"/>
    </row>
    <row r="20" spans="2:24" hidden="1" x14ac:dyDescent="0.25">
      <c r="B20" s="10"/>
      <c r="C20" s="10"/>
      <c r="D20" s="10"/>
      <c r="E20" s="10"/>
    </row>
    <row r="21" spans="2:24" hidden="1" x14ac:dyDescent="0.25">
      <c r="B21" s="10"/>
      <c r="C21" s="10"/>
      <c r="D21" s="10"/>
      <c r="E21" s="10"/>
    </row>
    <row r="22" spans="2:24" hidden="1" x14ac:dyDescent="0.25">
      <c r="B22" s="10"/>
      <c r="C22" s="10"/>
      <c r="D22" s="10"/>
      <c r="E22" s="10"/>
    </row>
    <row r="23" spans="2:24" hidden="1" x14ac:dyDescent="0.25">
      <c r="B23" s="10"/>
      <c r="C23" s="10"/>
      <c r="D23" s="10"/>
      <c r="E23" s="10"/>
    </row>
    <row r="24" spans="2:24" hidden="1" x14ac:dyDescent="0.25">
      <c r="B24" s="10"/>
      <c r="C24" s="10"/>
      <c r="D24" s="10"/>
      <c r="E24" s="10"/>
    </row>
    <row r="25" spans="2:24" hidden="1" x14ac:dyDescent="0.25">
      <c r="B25" s="10"/>
      <c r="C25" s="10"/>
      <c r="D25" s="10"/>
      <c r="E25" s="10"/>
    </row>
    <row r="26" spans="2:24" hidden="1" x14ac:dyDescent="0.25">
      <c r="B26" s="10"/>
      <c r="C26" s="10"/>
      <c r="D26" s="10"/>
      <c r="E26" s="10"/>
    </row>
    <row r="27" spans="2:24" ht="16.5" thickBot="1" x14ac:dyDescent="0.3">
      <c r="B27" s="10"/>
      <c r="C27" s="10"/>
      <c r="D27" s="10"/>
      <c r="E27" s="10"/>
    </row>
    <row r="28" spans="2:24" ht="18.75" customHeight="1" thickBot="1" x14ac:dyDescent="0.3">
      <c r="B28" s="654" t="str">
        <f ca="1">MID(CELL("filename",B30),FIND("]",CELL("filename",C29),1)+1,99)</f>
        <v>הגבלה לסכום מבוקש (2)</v>
      </c>
      <c r="C28" s="655"/>
      <c r="D28" s="655"/>
      <c r="E28" s="655"/>
      <c r="F28" s="655"/>
      <c r="G28" s="655"/>
      <c r="H28" s="655"/>
      <c r="I28" s="655"/>
      <c r="J28" s="655"/>
      <c r="K28" s="655"/>
      <c r="L28" s="655"/>
      <c r="M28" s="655"/>
      <c r="N28" s="655"/>
      <c r="O28" s="655"/>
      <c r="P28" s="655"/>
      <c r="Q28" s="655"/>
      <c r="R28" s="655"/>
      <c r="S28" s="655"/>
      <c r="T28" s="655"/>
      <c r="U28" s="655"/>
      <c r="V28" s="655"/>
      <c r="W28" s="655"/>
      <c r="X28" s="656"/>
    </row>
    <row r="29" spans="2:24" s="305" customFormat="1" ht="19.5" customHeight="1" x14ac:dyDescent="0.25">
      <c r="B29" s="639" t="s">
        <v>219</v>
      </c>
      <c r="C29" s="650" t="s">
        <v>133</v>
      </c>
      <c r="D29" s="650" t="s">
        <v>342</v>
      </c>
      <c r="E29" s="650" t="s">
        <v>374</v>
      </c>
      <c r="F29" s="650" t="s">
        <v>375</v>
      </c>
      <c r="G29" s="650" t="s">
        <v>343</v>
      </c>
      <c r="H29" s="650" t="s">
        <v>344</v>
      </c>
      <c r="I29" s="650" t="s">
        <v>345</v>
      </c>
      <c r="J29" s="650" t="s">
        <v>376</v>
      </c>
      <c r="K29" s="304"/>
      <c r="L29" s="304"/>
      <c r="M29" s="304"/>
      <c r="N29" s="304"/>
      <c r="O29" s="304"/>
      <c r="P29" s="304"/>
      <c r="Q29" s="304"/>
      <c r="R29" s="304"/>
      <c r="S29" s="304"/>
      <c r="T29" s="304"/>
      <c r="U29" s="304"/>
      <c r="V29" s="304"/>
      <c r="W29" s="650" t="s">
        <v>377</v>
      </c>
      <c r="X29" s="652" t="s">
        <v>226</v>
      </c>
    </row>
    <row r="30" spans="2:24" s="305" customFormat="1" ht="54" customHeight="1" thickBot="1" x14ac:dyDescent="0.3">
      <c r="B30" s="640"/>
      <c r="C30" s="651"/>
      <c r="D30" s="651"/>
      <c r="E30" s="651"/>
      <c r="F30" s="651"/>
      <c r="G30" s="651"/>
      <c r="H30" s="651"/>
      <c r="I30" s="651"/>
      <c r="J30" s="651"/>
      <c r="K30" s="306" t="s">
        <v>350</v>
      </c>
      <c r="L30" s="306" t="s">
        <v>351</v>
      </c>
      <c r="M30" s="306" t="s">
        <v>352</v>
      </c>
      <c r="N30" s="306" t="s">
        <v>353</v>
      </c>
      <c r="O30" s="306" t="s">
        <v>354</v>
      </c>
      <c r="P30" s="306" t="s">
        <v>355</v>
      </c>
      <c r="Q30" s="306" t="s">
        <v>356</v>
      </c>
      <c r="R30" s="306" t="s">
        <v>357</v>
      </c>
      <c r="S30" s="306" t="s">
        <v>358</v>
      </c>
      <c r="T30" s="306" t="s">
        <v>359</v>
      </c>
      <c r="U30" s="306" t="s">
        <v>360</v>
      </c>
      <c r="V30" s="306" t="s">
        <v>361</v>
      </c>
      <c r="W30" s="651"/>
      <c r="X30" s="653"/>
    </row>
    <row r="31" spans="2:24" s="305" customFormat="1" ht="27" customHeight="1" x14ac:dyDescent="0.25">
      <c r="B31" s="38">
        <f>IF(C31="","",ROW()-30)</f>
        <v>1</v>
      </c>
      <c r="C31" s="241" t="str">
        <f>'קיזוזים- החלטות ועדה'!C31</f>
        <v>אנסמבל פרץ אליהו</v>
      </c>
      <c r="D31" s="39">
        <f>IF($C31="","",'הגבלה לסכום מבוקש (1)'!D31)</f>
        <v>95000</v>
      </c>
      <c r="E31" s="39">
        <f>IF($C31="","",'קיזוזים בגין איחורים'!F31+'קיזוזים- החלטות ועדה'!E31)</f>
        <v>0</v>
      </c>
      <c r="F31" s="39">
        <f>IF($C31="","",D31-E31)</f>
        <v>95000</v>
      </c>
      <c r="G31" s="39">
        <f>'קיזוזים- החלטות ועדה'!G31</f>
        <v>95000</v>
      </c>
      <c r="H31" s="40">
        <f>IF(C31="","",IF(G31&gt;$F31,1,0))</f>
        <v>0</v>
      </c>
      <c r="I31" s="39">
        <f>IF($C31="","",MIN(F31:G31))</f>
        <v>95000</v>
      </c>
      <c r="J31" s="39">
        <f>IF($C31="","",IF(H31=1,I31,I31/SUMIF(H$31:H$130,0,I$31:I$130)*($C$2-SUMIF(H$31:H$130,1,I$31:I$130))))</f>
        <v>94999.999999999971</v>
      </c>
      <c r="K31" s="307">
        <f>IF(OR(J31&gt;$F31,$H31=1),1,0)</f>
        <v>0</v>
      </c>
      <c r="L31" s="41">
        <f>IF($C31="","",MIN(J31,$F31))</f>
        <v>94999.999999999971</v>
      </c>
      <c r="M31" s="41">
        <f>IF($C31="","",IF(K31=1,L31,L31/SUMIF(K$31:K$130,0,L$31:L$130)*($C$2-SUMIF(K$31:K$130,1,L$31:L$130))))</f>
        <v>95000.000000000029</v>
      </c>
      <c r="N31" s="307">
        <f>IF(OR(M31&gt;$F31,$H31=1,$K31=1),1,0)</f>
        <v>0</v>
      </c>
      <c r="O31" s="41">
        <f>IF($C31="","",MIN(M31,$F31))</f>
        <v>95000</v>
      </c>
      <c r="P31" s="41">
        <f>IF($C31="","",IF(N31=1,O31,O31/SUMIF(N$31:N$130,0,O$31:O$130)*($C$2-SUMIF(N$31:N$130,1,O$31:O$130))))</f>
        <v>94999.999999999956</v>
      </c>
      <c r="Q31" s="307">
        <f>IF(OR(P31&gt;$F31,$H31=1,$K31=1,$N31=1),1,0)</f>
        <v>0</v>
      </c>
      <c r="R31" s="41">
        <f>IF($C31="","",MIN(P31,$F31))</f>
        <v>94999.999999999956</v>
      </c>
      <c r="S31" s="41">
        <f>IF($C31="","",IF(Q31=2,R31,IF(Q31=1,R31,R31/SUMIF(Q$31:Q$130,0,R$31:R$130)*($C$2-SUMIF(Q$31:Q$130,1,R$31:R$130)-SUMIF(Q$31:Q$130,2,R$31:R$130)))))</f>
        <v>94999.999999999985</v>
      </c>
      <c r="T31" s="307">
        <f>IF(OR(S31&gt;$F31,$H31=1,$K31=1,$N31=1,$Q31=1),1,0)</f>
        <v>0</v>
      </c>
      <c r="U31" s="41">
        <f>IF($C31="","",MIN(S31,$F31))</f>
        <v>94999.999999999985</v>
      </c>
      <c r="V31" s="41">
        <f>IF($C31="","",IF(T31=2,U31,IF(T31=1,U31,U31/SUMIF(T$31:T$130,0,U$31:U$130)*($C$2-SUMIF(T$31:T$130,1,U$31:U$130)-SUMIF(T$31:T$130,2,U$31:U$130)))))</f>
        <v>94999.999999999956</v>
      </c>
      <c r="W31" s="39">
        <f>IFERROR(V31,$AH$1)</f>
        <v>94999.999999999956</v>
      </c>
      <c r="X31" s="355">
        <f>IF(F31="","",IFERROR(W31/SUMIF($W$31:$W$130,"&lt;&gt;#DIV/0!"),$AH$1))</f>
        <v>3.0880580892981881E-2</v>
      </c>
    </row>
    <row r="32" spans="2:24" s="305" customFormat="1" ht="27" customHeight="1" x14ac:dyDescent="0.25">
      <c r="B32" s="38" t="str">
        <f t="shared" ref="B32:B95" si="0">IF(C32="","",ROW()-30)</f>
        <v/>
      </c>
      <c r="C32" s="241" t="str">
        <f>'קיזוזים- החלטות ועדה'!C32</f>
        <v/>
      </c>
      <c r="D32" s="434" t="str">
        <f>IF($C32="","",'הגבלה לסכום מבוקש (1)'!D32)</f>
        <v/>
      </c>
      <c r="E32" s="434" t="str">
        <f>IF($C32="","",'קיזוזים בגין איחורים'!F32+'קיזוזים- החלטות ועדה'!E32)</f>
        <v/>
      </c>
      <c r="F32" s="434" t="str">
        <f t="shared" ref="F32:F95" si="1">IF($C32="","",D32-E32)</f>
        <v/>
      </c>
      <c r="G32" s="434" t="str">
        <f>'קיזוזים- החלטות ועדה'!G32</f>
        <v/>
      </c>
      <c r="H32" s="437" t="str">
        <f t="shared" ref="H32:H95" si="2">IF(C32="","",IF(G32&gt;$F32,1,0))</f>
        <v/>
      </c>
      <c r="I32" s="434" t="str">
        <f t="shared" ref="I32:I95" si="3">IF($C32="","",MIN(F32:G32))</f>
        <v/>
      </c>
      <c r="J32" s="434" t="str">
        <f t="shared" ref="J32:J95" si="4">IF($C32="","",IF(H32=1,I32,I32/SUMIF(H$31:H$130,0,I$31:I$130)*($C$2-SUMIF(H$31:H$130,1,I$31:I$130))))</f>
        <v/>
      </c>
      <c r="K32" s="438">
        <f t="shared" ref="K32:K95" si="5">IF(OR(J32&gt;$F32,$H32=1),1,0)</f>
        <v>0</v>
      </c>
      <c r="L32" s="439" t="str">
        <f t="shared" ref="L32:L95" si="6">IF($C32="","",MIN(J32,$F32))</f>
        <v/>
      </c>
      <c r="M32" s="439" t="str">
        <f t="shared" ref="M32:M95" si="7">IF($C32="","",IF(K32=1,L32,L32/SUMIF(K$31:K$130,0,L$31:L$130)*($C$2-SUMIF(K$31:K$130,1,L$31:L$130))))</f>
        <v/>
      </c>
      <c r="N32" s="438">
        <f t="shared" ref="N32:N95" si="8">IF(OR(M32&gt;$F32,$H32=1,$K32=1),1,0)</f>
        <v>0</v>
      </c>
      <c r="O32" s="439" t="str">
        <f t="shared" ref="O32:O95" si="9">IF($C32="","",MIN(M32,$F32))</f>
        <v/>
      </c>
      <c r="P32" s="439" t="str">
        <f t="shared" ref="P32:P95" si="10">IF($C32="","",IF(N32=1,O32,O32/SUMIF(N$31:N$130,0,O$31:O$130)*($C$2-SUMIF(N$31:N$130,1,O$31:O$130))))</f>
        <v/>
      </c>
      <c r="Q32" s="438">
        <f t="shared" ref="Q32:Q95" si="11">IF(OR(P32&gt;$F32,$H32=1,$K32=1,$N32=1),1,0)</f>
        <v>0</v>
      </c>
      <c r="R32" s="439" t="str">
        <f t="shared" ref="R32:R95" si="12">IF($C32="","",MIN(P32,$F32))</f>
        <v/>
      </c>
      <c r="S32" s="439" t="str">
        <f t="shared" ref="S32:S95" si="13">IF($C32="","",IF(Q32=2,R32,IF(Q32=1,R32,R32/SUMIF(Q$31:Q$130,0,R$31:R$130)*($C$2-SUMIF(Q$31:Q$130,1,R$31:R$130)-SUMIF(Q$31:Q$130,2,R$31:R$130)))))</f>
        <v/>
      </c>
      <c r="T32" s="438">
        <f t="shared" ref="T32:T95" si="14">IF(OR(S32&gt;$F32,$H32=1,$K32=1,$N32=1,$Q32=1),1,0)</f>
        <v>0</v>
      </c>
      <c r="U32" s="439" t="str">
        <f t="shared" ref="U32:U95" si="15">IF($C32="","",MIN(S32,$F32))</f>
        <v/>
      </c>
      <c r="V32" s="439" t="str">
        <f t="shared" ref="V32:V95" si="16">IF($C32="","",IF(T32=2,U32,IF(T32=1,U32,U32/SUMIF(T$31:T$130,0,U$31:U$130)*($C$2-SUMIF(T$31:T$130,1,U$31:U$130)-SUMIF(T$31:T$130,2,U$31:U$130)))))</f>
        <v/>
      </c>
      <c r="W32" s="39" t="str">
        <f t="shared" ref="W32:W95" si="17">IFERROR(V32,$AH$1)</f>
        <v/>
      </c>
      <c r="X32" s="355" t="str">
        <f t="shared" ref="X32:X95" si="18">IF(F32="","",IFERROR(W32/SUMIF($W$31:$W$130,"&lt;&gt;#DIV/0!"),$AH$1))</f>
        <v/>
      </c>
    </row>
    <row r="33" spans="2:204" s="305" customFormat="1" ht="27" customHeight="1" x14ac:dyDescent="0.25">
      <c r="B33" s="38" t="str">
        <f t="shared" si="0"/>
        <v/>
      </c>
      <c r="C33" s="241" t="str">
        <f>'קיזוזים- החלטות ועדה'!C33</f>
        <v/>
      </c>
      <c r="D33" s="434" t="str">
        <f>IF($C33="","",'הגבלה לסכום מבוקש (1)'!D33)</f>
        <v/>
      </c>
      <c r="E33" s="434" t="str">
        <f>IF($C33="","",'קיזוזים בגין איחורים'!F33+'קיזוזים- החלטות ועדה'!E33)</f>
        <v/>
      </c>
      <c r="F33" s="434" t="str">
        <f t="shared" si="1"/>
        <v/>
      </c>
      <c r="G33" s="434" t="str">
        <f>'קיזוזים- החלטות ועדה'!G33</f>
        <v/>
      </c>
      <c r="H33" s="437" t="str">
        <f t="shared" si="2"/>
        <v/>
      </c>
      <c r="I33" s="434" t="str">
        <f t="shared" si="3"/>
        <v/>
      </c>
      <c r="J33" s="434" t="str">
        <f t="shared" si="4"/>
        <v/>
      </c>
      <c r="K33" s="438">
        <f t="shared" si="5"/>
        <v>0</v>
      </c>
      <c r="L33" s="439" t="str">
        <f t="shared" si="6"/>
        <v/>
      </c>
      <c r="M33" s="439" t="str">
        <f t="shared" si="7"/>
        <v/>
      </c>
      <c r="N33" s="438">
        <f t="shared" si="8"/>
        <v>0</v>
      </c>
      <c r="O33" s="439" t="str">
        <f t="shared" si="9"/>
        <v/>
      </c>
      <c r="P33" s="439" t="str">
        <f t="shared" si="10"/>
        <v/>
      </c>
      <c r="Q33" s="438">
        <f t="shared" si="11"/>
        <v>0</v>
      </c>
      <c r="R33" s="439" t="str">
        <f t="shared" si="12"/>
        <v/>
      </c>
      <c r="S33" s="439" t="str">
        <f t="shared" si="13"/>
        <v/>
      </c>
      <c r="T33" s="438">
        <f t="shared" si="14"/>
        <v>0</v>
      </c>
      <c r="U33" s="439" t="str">
        <f t="shared" si="15"/>
        <v/>
      </c>
      <c r="V33" s="439" t="str">
        <f t="shared" si="16"/>
        <v/>
      </c>
      <c r="W33" s="39" t="str">
        <f t="shared" si="17"/>
        <v/>
      </c>
      <c r="X33" s="355" t="str">
        <f t="shared" si="18"/>
        <v/>
      </c>
      <c r="GV33" s="356"/>
    </row>
    <row r="34" spans="2:204" s="305" customFormat="1" ht="27" customHeight="1" x14ac:dyDescent="0.25">
      <c r="B34" s="38">
        <f t="shared" si="0"/>
        <v>4</v>
      </c>
      <c r="C34" s="241" t="str">
        <f>'קיזוזים- החלטות ועדה'!C34</f>
        <v>יניב ד'אור - אנסמבל נאיה</v>
      </c>
      <c r="D34" s="434">
        <f>IF($C34="","",'הגבלה לסכום מבוקש (1)'!D34)</f>
        <v>65000</v>
      </c>
      <c r="E34" s="434">
        <f>IF($C34="","",'קיזוזים בגין איחורים'!F34+'קיזוזים- החלטות ועדה'!E34)</f>
        <v>0</v>
      </c>
      <c r="F34" s="434">
        <f t="shared" si="1"/>
        <v>65000</v>
      </c>
      <c r="G34" s="434">
        <f>'קיזוזים- החלטות ועדה'!G34</f>
        <v>65000</v>
      </c>
      <c r="H34" s="437">
        <f t="shared" si="2"/>
        <v>0</v>
      </c>
      <c r="I34" s="434">
        <f t="shared" si="3"/>
        <v>65000</v>
      </c>
      <c r="J34" s="434">
        <f t="shared" si="4"/>
        <v>64999.999999999985</v>
      </c>
      <c r="K34" s="438">
        <f t="shared" si="5"/>
        <v>0</v>
      </c>
      <c r="L34" s="439">
        <f t="shared" si="6"/>
        <v>64999.999999999985</v>
      </c>
      <c r="M34" s="439">
        <f t="shared" si="7"/>
        <v>65000.000000000029</v>
      </c>
      <c r="N34" s="438">
        <f t="shared" si="8"/>
        <v>0</v>
      </c>
      <c r="O34" s="439">
        <f t="shared" si="9"/>
        <v>65000</v>
      </c>
      <c r="P34" s="439">
        <f t="shared" si="10"/>
        <v>64999.999999999971</v>
      </c>
      <c r="Q34" s="438">
        <f t="shared" si="11"/>
        <v>0</v>
      </c>
      <c r="R34" s="439">
        <f t="shared" si="12"/>
        <v>64999.999999999971</v>
      </c>
      <c r="S34" s="439">
        <f t="shared" si="13"/>
        <v>64999.999999999993</v>
      </c>
      <c r="T34" s="438">
        <f t="shared" si="14"/>
        <v>0</v>
      </c>
      <c r="U34" s="439">
        <f t="shared" si="15"/>
        <v>64999.999999999993</v>
      </c>
      <c r="V34" s="439">
        <f t="shared" si="16"/>
        <v>64999.999999999971</v>
      </c>
      <c r="W34" s="39">
        <f t="shared" si="17"/>
        <v>64999.999999999971</v>
      </c>
      <c r="X34" s="355">
        <f t="shared" si="18"/>
        <v>2.1128818505724446E-2</v>
      </c>
    </row>
    <row r="35" spans="2:204" s="305" customFormat="1" ht="27" hidden="1" customHeight="1" x14ac:dyDescent="0.25">
      <c r="B35" s="38" t="str">
        <f t="shared" si="0"/>
        <v/>
      </c>
      <c r="C35" s="241" t="str">
        <f>'קיזוזים- החלטות ועדה'!C35</f>
        <v/>
      </c>
      <c r="D35" s="434" t="str">
        <f>IF($C35="","",'הגבלה לסכום מבוקש (1)'!D35)</f>
        <v/>
      </c>
      <c r="E35" s="434" t="str">
        <f>IF($C35="","",'קיזוזים בגין איחורים'!F35+'קיזוזים- החלטות ועדה'!E35)</f>
        <v/>
      </c>
      <c r="F35" s="434" t="str">
        <f t="shared" si="1"/>
        <v/>
      </c>
      <c r="G35" s="434" t="str">
        <f>'קיזוזים- החלטות ועדה'!G35</f>
        <v/>
      </c>
      <c r="H35" s="437" t="str">
        <f t="shared" si="2"/>
        <v/>
      </c>
      <c r="I35" s="434" t="str">
        <f t="shared" si="3"/>
        <v/>
      </c>
      <c r="J35" s="434" t="str">
        <f t="shared" si="4"/>
        <v/>
      </c>
      <c r="K35" s="438">
        <f t="shared" si="5"/>
        <v>0</v>
      </c>
      <c r="L35" s="439" t="str">
        <f t="shared" si="6"/>
        <v/>
      </c>
      <c r="M35" s="439" t="str">
        <f t="shared" si="7"/>
        <v/>
      </c>
      <c r="N35" s="438">
        <f t="shared" si="8"/>
        <v>0</v>
      </c>
      <c r="O35" s="439" t="str">
        <f t="shared" si="9"/>
        <v/>
      </c>
      <c r="P35" s="439" t="str">
        <f t="shared" si="10"/>
        <v/>
      </c>
      <c r="Q35" s="438">
        <f t="shared" si="11"/>
        <v>0</v>
      </c>
      <c r="R35" s="439" t="str">
        <f t="shared" si="12"/>
        <v/>
      </c>
      <c r="S35" s="439" t="str">
        <f t="shared" si="13"/>
        <v/>
      </c>
      <c r="T35" s="438">
        <f t="shared" si="14"/>
        <v>0</v>
      </c>
      <c r="U35" s="439" t="str">
        <f t="shared" si="15"/>
        <v/>
      </c>
      <c r="V35" s="439" t="str">
        <f t="shared" si="16"/>
        <v/>
      </c>
      <c r="W35" s="39" t="str">
        <f t="shared" si="17"/>
        <v/>
      </c>
      <c r="X35" s="355" t="str">
        <f t="shared" si="18"/>
        <v/>
      </c>
    </row>
    <row r="36" spans="2:204" s="305" customFormat="1" ht="27" customHeight="1" x14ac:dyDescent="0.25">
      <c r="B36" s="38">
        <f t="shared" si="0"/>
        <v>6</v>
      </c>
      <c r="C36" s="241" t="str">
        <f>'קיזוזים- החלטות ועדה'!C36</f>
        <v>הפרויקט הקאמרי הישראלי</v>
      </c>
      <c r="D36" s="434">
        <f>IF($C36="","",'הגבלה לסכום מבוקש (1)'!D36)</f>
        <v>95000</v>
      </c>
      <c r="E36" s="434">
        <f>IF($C36="","",'קיזוזים בגין איחורים'!F36+'קיזוזים- החלטות ועדה'!E36)</f>
        <v>0</v>
      </c>
      <c r="F36" s="434">
        <f t="shared" si="1"/>
        <v>95000</v>
      </c>
      <c r="G36" s="434">
        <f>'קיזוזים- החלטות ועדה'!G36</f>
        <v>85314.896794804066</v>
      </c>
      <c r="H36" s="437">
        <f t="shared" si="2"/>
        <v>0</v>
      </c>
      <c r="I36" s="434">
        <f t="shared" si="3"/>
        <v>85314.896794804066</v>
      </c>
      <c r="J36" s="434">
        <f t="shared" si="4"/>
        <v>85314.896794804037</v>
      </c>
      <c r="K36" s="438">
        <f t="shared" si="5"/>
        <v>0</v>
      </c>
      <c r="L36" s="439">
        <f t="shared" si="6"/>
        <v>85314.896794804037</v>
      </c>
      <c r="M36" s="439">
        <f t="shared" si="7"/>
        <v>85314.896794804095</v>
      </c>
      <c r="N36" s="438">
        <f t="shared" si="8"/>
        <v>0</v>
      </c>
      <c r="O36" s="439">
        <f t="shared" si="9"/>
        <v>85314.896794804095</v>
      </c>
      <c r="P36" s="439">
        <f t="shared" si="10"/>
        <v>85314.896794804052</v>
      </c>
      <c r="Q36" s="438">
        <f t="shared" si="11"/>
        <v>0</v>
      </c>
      <c r="R36" s="439">
        <f t="shared" si="12"/>
        <v>85314.896794804052</v>
      </c>
      <c r="S36" s="439">
        <f t="shared" si="13"/>
        <v>85314.896794804081</v>
      </c>
      <c r="T36" s="438">
        <f t="shared" si="14"/>
        <v>0</v>
      </c>
      <c r="U36" s="439">
        <f t="shared" si="15"/>
        <v>85314.896794804081</v>
      </c>
      <c r="V36" s="439">
        <f t="shared" si="16"/>
        <v>85314.896794804052</v>
      </c>
      <c r="W36" s="39">
        <f t="shared" si="17"/>
        <v>85314.896794804052</v>
      </c>
      <c r="X36" s="355">
        <f t="shared" si="18"/>
        <v>2.773235338787735E-2</v>
      </c>
    </row>
    <row r="37" spans="2:204" s="305" customFormat="1" ht="27" customHeight="1" x14ac:dyDescent="0.25">
      <c r="B37" s="38">
        <f t="shared" si="0"/>
        <v>7</v>
      </c>
      <c r="C37" s="241" t="str">
        <f>'קיזוזים- החלטות ועדה'!C37</f>
        <v>מארש דונדורמה</v>
      </c>
      <c r="D37" s="434">
        <f>IF($C37="","",'הגבלה לסכום מבוקש (1)'!D37)</f>
        <v>130000</v>
      </c>
      <c r="E37" s="434">
        <f>IF($C37="","",'קיזוזים בגין איחורים'!F37+'קיזוזים- החלטות ועדה'!E37)</f>
        <v>0</v>
      </c>
      <c r="F37" s="434">
        <f t="shared" si="1"/>
        <v>130000</v>
      </c>
      <c r="G37" s="434">
        <f>'קיזוזים- החלטות ועדה'!G37</f>
        <v>130000</v>
      </c>
      <c r="H37" s="437">
        <f t="shared" si="2"/>
        <v>0</v>
      </c>
      <c r="I37" s="434">
        <f t="shared" si="3"/>
        <v>130000</v>
      </c>
      <c r="J37" s="434">
        <f t="shared" si="4"/>
        <v>129999.99999999997</v>
      </c>
      <c r="K37" s="438">
        <f t="shared" si="5"/>
        <v>0</v>
      </c>
      <c r="L37" s="439">
        <f t="shared" si="6"/>
        <v>129999.99999999997</v>
      </c>
      <c r="M37" s="439">
        <f t="shared" si="7"/>
        <v>130000.00000000006</v>
      </c>
      <c r="N37" s="438">
        <f t="shared" si="8"/>
        <v>0</v>
      </c>
      <c r="O37" s="439">
        <f t="shared" si="9"/>
        <v>130000</v>
      </c>
      <c r="P37" s="439">
        <f t="shared" si="10"/>
        <v>129999.99999999994</v>
      </c>
      <c r="Q37" s="438">
        <f t="shared" si="11"/>
        <v>0</v>
      </c>
      <c r="R37" s="439">
        <f t="shared" si="12"/>
        <v>129999.99999999994</v>
      </c>
      <c r="S37" s="439">
        <f t="shared" si="13"/>
        <v>129999.99999999999</v>
      </c>
      <c r="T37" s="438">
        <f t="shared" si="14"/>
        <v>0</v>
      </c>
      <c r="U37" s="439">
        <f t="shared" si="15"/>
        <v>129999.99999999999</v>
      </c>
      <c r="V37" s="439">
        <f t="shared" si="16"/>
        <v>129999.99999999994</v>
      </c>
      <c r="W37" s="39">
        <f t="shared" si="17"/>
        <v>129999.99999999994</v>
      </c>
      <c r="X37" s="355">
        <f t="shared" si="18"/>
        <v>4.2257637011448891E-2</v>
      </c>
    </row>
    <row r="38" spans="2:204" s="305" customFormat="1" ht="27" customHeight="1" x14ac:dyDescent="0.25">
      <c r="B38" s="38">
        <f t="shared" si="0"/>
        <v>8</v>
      </c>
      <c r="C38" s="241" t="str">
        <f>'קיזוזים- החלטות ועדה'!C38</f>
        <v>להקת מורין נהדר</v>
      </c>
      <c r="D38" s="434">
        <f>IF($C38="","",'הגבלה לסכום מבוקש (1)'!D38)</f>
        <v>50000</v>
      </c>
      <c r="E38" s="434">
        <f>IF($C38="","",'קיזוזים בגין איחורים'!F38+'קיזוזים- החלטות ועדה'!E38)</f>
        <v>0</v>
      </c>
      <c r="F38" s="434">
        <f t="shared" si="1"/>
        <v>50000</v>
      </c>
      <c r="G38" s="434">
        <f>'קיזוזים- החלטות ועדה'!G38</f>
        <v>32830.438409345188</v>
      </c>
      <c r="H38" s="437">
        <f t="shared" si="2"/>
        <v>0</v>
      </c>
      <c r="I38" s="434">
        <f t="shared" si="3"/>
        <v>32830.438409345188</v>
      </c>
      <c r="J38" s="434">
        <f t="shared" si="4"/>
        <v>32830.438409345174</v>
      </c>
      <c r="K38" s="438">
        <f t="shared" si="5"/>
        <v>0</v>
      </c>
      <c r="L38" s="439">
        <f t="shared" si="6"/>
        <v>32830.438409345174</v>
      </c>
      <c r="M38" s="439">
        <f t="shared" si="7"/>
        <v>32830.438409345195</v>
      </c>
      <c r="N38" s="438">
        <f t="shared" si="8"/>
        <v>0</v>
      </c>
      <c r="O38" s="439">
        <f t="shared" si="9"/>
        <v>32830.438409345195</v>
      </c>
      <c r="P38" s="439">
        <f t="shared" si="10"/>
        <v>32830.438409345181</v>
      </c>
      <c r="Q38" s="438">
        <f t="shared" si="11"/>
        <v>0</v>
      </c>
      <c r="R38" s="439">
        <f t="shared" si="12"/>
        <v>32830.438409345181</v>
      </c>
      <c r="S38" s="439">
        <f t="shared" si="13"/>
        <v>32830.438409345195</v>
      </c>
      <c r="T38" s="438">
        <f t="shared" si="14"/>
        <v>0</v>
      </c>
      <c r="U38" s="439">
        <f t="shared" si="15"/>
        <v>32830.438409345195</v>
      </c>
      <c r="V38" s="439">
        <f t="shared" si="16"/>
        <v>32830.438409345188</v>
      </c>
      <c r="W38" s="39">
        <f t="shared" si="17"/>
        <v>32830.438409345188</v>
      </c>
      <c r="X38" s="355">
        <f t="shared" si="18"/>
        <v>1.0671821147914146E-2</v>
      </c>
    </row>
    <row r="39" spans="2:204" s="305" customFormat="1" ht="27" hidden="1" customHeight="1" x14ac:dyDescent="0.25">
      <c r="B39" s="38" t="str">
        <f t="shared" si="0"/>
        <v/>
      </c>
      <c r="C39" s="241" t="str">
        <f>'קיזוזים- החלטות ועדה'!C39</f>
        <v/>
      </c>
      <c r="D39" s="434" t="str">
        <f>IF($C39="","",'הגבלה לסכום מבוקש (1)'!D39)</f>
        <v/>
      </c>
      <c r="E39" s="434" t="str">
        <f>IF($C39="","",'קיזוזים בגין איחורים'!F39+'קיזוזים- החלטות ועדה'!E39)</f>
        <v/>
      </c>
      <c r="F39" s="434" t="str">
        <f t="shared" si="1"/>
        <v/>
      </c>
      <c r="G39" s="434" t="str">
        <f>'קיזוזים- החלטות ועדה'!G39</f>
        <v/>
      </c>
      <c r="H39" s="437" t="str">
        <f t="shared" si="2"/>
        <v/>
      </c>
      <c r="I39" s="434" t="str">
        <f t="shared" si="3"/>
        <v/>
      </c>
      <c r="J39" s="434" t="str">
        <f t="shared" si="4"/>
        <v/>
      </c>
      <c r="K39" s="438">
        <f t="shared" si="5"/>
        <v>0</v>
      </c>
      <c r="L39" s="439" t="str">
        <f t="shared" si="6"/>
        <v/>
      </c>
      <c r="M39" s="439" t="str">
        <f t="shared" si="7"/>
        <v/>
      </c>
      <c r="N39" s="438">
        <f t="shared" si="8"/>
        <v>0</v>
      </c>
      <c r="O39" s="439" t="str">
        <f t="shared" si="9"/>
        <v/>
      </c>
      <c r="P39" s="439" t="str">
        <f t="shared" si="10"/>
        <v/>
      </c>
      <c r="Q39" s="438">
        <f t="shared" si="11"/>
        <v>0</v>
      </c>
      <c r="R39" s="439" t="str">
        <f t="shared" si="12"/>
        <v/>
      </c>
      <c r="S39" s="439" t="str">
        <f t="shared" si="13"/>
        <v/>
      </c>
      <c r="T39" s="438">
        <f t="shared" si="14"/>
        <v>0</v>
      </c>
      <c r="U39" s="439" t="str">
        <f t="shared" si="15"/>
        <v/>
      </c>
      <c r="V39" s="439" t="str">
        <f t="shared" si="16"/>
        <v/>
      </c>
      <c r="W39" s="39" t="str">
        <f t="shared" si="17"/>
        <v/>
      </c>
      <c r="X39" s="355" t="str">
        <f t="shared" si="18"/>
        <v/>
      </c>
    </row>
    <row r="40" spans="2:204" s="305" customFormat="1" ht="27" customHeight="1" x14ac:dyDescent="0.25">
      <c r="B40" s="38">
        <f t="shared" si="0"/>
        <v>10</v>
      </c>
      <c r="C40" s="241" t="str">
        <f>'קיזוזים- החלטות ועדה'!C40</f>
        <v>אנסמבל גלעד אפרת</v>
      </c>
      <c r="D40" s="434">
        <f>IF($C40="","",'הגבלה לסכום מבוקש (1)'!D40)</f>
        <v>65000</v>
      </c>
      <c r="E40" s="434">
        <f>IF($C40="","",'קיזוזים בגין איחורים'!F40+'קיזוזים- החלטות ועדה'!E40)</f>
        <v>0</v>
      </c>
      <c r="F40" s="434">
        <f t="shared" si="1"/>
        <v>65000</v>
      </c>
      <c r="G40" s="434">
        <f>'קיזוזים- החלטות ועדה'!G40</f>
        <v>65000</v>
      </c>
      <c r="H40" s="437">
        <f t="shared" si="2"/>
        <v>0</v>
      </c>
      <c r="I40" s="434">
        <f t="shared" si="3"/>
        <v>65000</v>
      </c>
      <c r="J40" s="434">
        <f t="shared" si="4"/>
        <v>64999.999999999985</v>
      </c>
      <c r="K40" s="438">
        <f t="shared" si="5"/>
        <v>0</v>
      </c>
      <c r="L40" s="439">
        <f t="shared" si="6"/>
        <v>64999.999999999985</v>
      </c>
      <c r="M40" s="439">
        <f t="shared" si="7"/>
        <v>65000.000000000029</v>
      </c>
      <c r="N40" s="438">
        <f t="shared" si="8"/>
        <v>0</v>
      </c>
      <c r="O40" s="439">
        <f t="shared" si="9"/>
        <v>65000</v>
      </c>
      <c r="P40" s="439">
        <f t="shared" si="10"/>
        <v>64999.999999999971</v>
      </c>
      <c r="Q40" s="438">
        <f t="shared" si="11"/>
        <v>0</v>
      </c>
      <c r="R40" s="439">
        <f t="shared" si="12"/>
        <v>64999.999999999971</v>
      </c>
      <c r="S40" s="439">
        <f t="shared" si="13"/>
        <v>64999.999999999993</v>
      </c>
      <c r="T40" s="438">
        <f t="shared" si="14"/>
        <v>0</v>
      </c>
      <c r="U40" s="439">
        <f t="shared" si="15"/>
        <v>64999.999999999993</v>
      </c>
      <c r="V40" s="439">
        <f t="shared" si="16"/>
        <v>64999.999999999971</v>
      </c>
      <c r="W40" s="39">
        <f t="shared" si="17"/>
        <v>64999.999999999971</v>
      </c>
      <c r="X40" s="355">
        <f t="shared" si="18"/>
        <v>2.1128818505724446E-2</v>
      </c>
    </row>
    <row r="41" spans="2:204" s="305" customFormat="1" ht="27" customHeight="1" x14ac:dyDescent="0.25">
      <c r="B41" s="38">
        <f t="shared" si="0"/>
        <v>11</v>
      </c>
      <c r="C41" s="241" t="str">
        <f>'קיזוזים- החלטות ועדה'!C41</f>
        <v>רביעיית כרמל</v>
      </c>
      <c r="D41" s="434">
        <f>IF($C41="","",'הגבלה לסכום מבוקש (1)'!D41)</f>
        <v>128000</v>
      </c>
      <c r="E41" s="434">
        <f>IF($C41="","",'קיזוזים בגין איחורים'!F41+'קיזוזים- החלטות ועדה'!E41)</f>
        <v>0</v>
      </c>
      <c r="F41" s="434">
        <f t="shared" si="1"/>
        <v>128000</v>
      </c>
      <c r="G41" s="434">
        <f>'קיזוזים- החלטות ועדה'!G41</f>
        <v>128000</v>
      </c>
      <c r="H41" s="437">
        <f t="shared" si="2"/>
        <v>0</v>
      </c>
      <c r="I41" s="434">
        <f t="shared" si="3"/>
        <v>128000</v>
      </c>
      <c r="J41" s="434">
        <f t="shared" si="4"/>
        <v>127999.99999999997</v>
      </c>
      <c r="K41" s="438">
        <f t="shared" si="5"/>
        <v>0</v>
      </c>
      <c r="L41" s="439">
        <f t="shared" si="6"/>
        <v>127999.99999999997</v>
      </c>
      <c r="M41" s="439">
        <f t="shared" si="7"/>
        <v>128000.00000000006</v>
      </c>
      <c r="N41" s="438">
        <f t="shared" si="8"/>
        <v>0</v>
      </c>
      <c r="O41" s="439">
        <f t="shared" si="9"/>
        <v>128000</v>
      </c>
      <c r="P41" s="439">
        <f t="shared" si="10"/>
        <v>127999.99999999994</v>
      </c>
      <c r="Q41" s="438">
        <f t="shared" si="11"/>
        <v>0</v>
      </c>
      <c r="R41" s="439">
        <f t="shared" si="12"/>
        <v>127999.99999999994</v>
      </c>
      <c r="S41" s="439">
        <f t="shared" si="13"/>
        <v>127999.99999999999</v>
      </c>
      <c r="T41" s="438">
        <f t="shared" si="14"/>
        <v>0</v>
      </c>
      <c r="U41" s="439">
        <f t="shared" si="15"/>
        <v>127999.99999999999</v>
      </c>
      <c r="V41" s="439">
        <f t="shared" si="16"/>
        <v>127999.99999999994</v>
      </c>
      <c r="W41" s="39">
        <f t="shared" si="17"/>
        <v>127999.99999999994</v>
      </c>
      <c r="X41" s="355">
        <f t="shared" si="18"/>
        <v>4.1607519518965061E-2</v>
      </c>
    </row>
    <row r="42" spans="2:204" s="305" customFormat="1" ht="27" customHeight="1" x14ac:dyDescent="0.25">
      <c r="B42" s="38">
        <f t="shared" si="0"/>
        <v>12</v>
      </c>
      <c r="C42" s="241" t="str">
        <f>'קיזוזים- החלטות ועדה'!C42</f>
        <v>שורולה</v>
      </c>
      <c r="D42" s="434">
        <f>IF($C42="","",'הגבלה לסכום מבוקש (1)'!D42)</f>
        <v>55000</v>
      </c>
      <c r="E42" s="434">
        <f>IF($C42="","",'קיזוזים בגין איחורים'!F42+'קיזוזים- החלטות ועדה'!E42)</f>
        <v>0</v>
      </c>
      <c r="F42" s="434">
        <f t="shared" si="1"/>
        <v>55000</v>
      </c>
      <c r="G42" s="434">
        <f>'קיזוזים- החלטות ועדה'!G42</f>
        <v>39804.281679595137</v>
      </c>
      <c r="H42" s="437">
        <f t="shared" si="2"/>
        <v>0</v>
      </c>
      <c r="I42" s="434">
        <f t="shared" si="3"/>
        <v>39804.281679595137</v>
      </c>
      <c r="J42" s="434">
        <f t="shared" si="4"/>
        <v>39804.281679595129</v>
      </c>
      <c r="K42" s="438">
        <f t="shared" si="5"/>
        <v>0</v>
      </c>
      <c r="L42" s="439">
        <f t="shared" si="6"/>
        <v>39804.281679595129</v>
      </c>
      <c r="M42" s="439">
        <f t="shared" si="7"/>
        <v>39804.281679595151</v>
      </c>
      <c r="N42" s="438">
        <f t="shared" si="8"/>
        <v>0</v>
      </c>
      <c r="O42" s="439">
        <f t="shared" si="9"/>
        <v>39804.281679595151</v>
      </c>
      <c r="P42" s="439">
        <f t="shared" si="10"/>
        <v>39804.281679595129</v>
      </c>
      <c r="Q42" s="438">
        <f t="shared" si="11"/>
        <v>0</v>
      </c>
      <c r="R42" s="439">
        <f t="shared" si="12"/>
        <v>39804.281679595129</v>
      </c>
      <c r="S42" s="439">
        <f t="shared" si="13"/>
        <v>39804.281679595144</v>
      </c>
      <c r="T42" s="438">
        <f t="shared" si="14"/>
        <v>0</v>
      </c>
      <c r="U42" s="439">
        <f t="shared" si="15"/>
        <v>39804.281679595144</v>
      </c>
      <c r="V42" s="439">
        <f t="shared" si="16"/>
        <v>39804.281679595129</v>
      </c>
      <c r="W42" s="39">
        <f t="shared" si="17"/>
        <v>39804.281679595129</v>
      </c>
      <c r="X42" s="355">
        <f t="shared" si="18"/>
        <v>1.2938729897829206E-2</v>
      </c>
    </row>
    <row r="43" spans="2:204" s="305" customFormat="1" ht="27" hidden="1" customHeight="1" x14ac:dyDescent="0.25">
      <c r="B43" s="38" t="str">
        <f t="shared" si="0"/>
        <v/>
      </c>
      <c r="C43" s="241" t="str">
        <f>'קיזוזים- החלטות ועדה'!C43</f>
        <v/>
      </c>
      <c r="D43" s="434" t="str">
        <f>IF($C43="","",'הגבלה לסכום מבוקש (1)'!D43)</f>
        <v/>
      </c>
      <c r="E43" s="434" t="str">
        <f>IF($C43="","",'קיזוזים בגין איחורים'!F43+'קיזוזים- החלטות ועדה'!E43)</f>
        <v/>
      </c>
      <c r="F43" s="434" t="str">
        <f t="shared" si="1"/>
        <v/>
      </c>
      <c r="G43" s="434" t="str">
        <f>'קיזוזים- החלטות ועדה'!G43</f>
        <v/>
      </c>
      <c r="H43" s="437" t="str">
        <f t="shared" si="2"/>
        <v/>
      </c>
      <c r="I43" s="434" t="str">
        <f t="shared" si="3"/>
        <v/>
      </c>
      <c r="J43" s="434" t="str">
        <f t="shared" si="4"/>
        <v/>
      </c>
      <c r="K43" s="438">
        <f t="shared" si="5"/>
        <v>0</v>
      </c>
      <c r="L43" s="439" t="str">
        <f t="shared" si="6"/>
        <v/>
      </c>
      <c r="M43" s="439" t="str">
        <f t="shared" si="7"/>
        <v/>
      </c>
      <c r="N43" s="438">
        <f t="shared" si="8"/>
        <v>0</v>
      </c>
      <c r="O43" s="439" t="str">
        <f t="shared" si="9"/>
        <v/>
      </c>
      <c r="P43" s="439" t="str">
        <f t="shared" si="10"/>
        <v/>
      </c>
      <c r="Q43" s="438">
        <f t="shared" si="11"/>
        <v>0</v>
      </c>
      <c r="R43" s="439" t="str">
        <f t="shared" si="12"/>
        <v/>
      </c>
      <c r="S43" s="439" t="str">
        <f t="shared" si="13"/>
        <v/>
      </c>
      <c r="T43" s="438">
        <f t="shared" si="14"/>
        <v>0</v>
      </c>
      <c r="U43" s="439" t="str">
        <f t="shared" si="15"/>
        <v/>
      </c>
      <c r="V43" s="439" t="str">
        <f t="shared" si="16"/>
        <v/>
      </c>
      <c r="W43" s="39" t="str">
        <f t="shared" si="17"/>
        <v/>
      </c>
      <c r="X43" s="355" t="str">
        <f t="shared" si="18"/>
        <v/>
      </c>
    </row>
    <row r="44" spans="2:204" s="305" customFormat="1" ht="27" hidden="1" customHeight="1" x14ac:dyDescent="0.25">
      <c r="B44" s="38" t="str">
        <f t="shared" si="0"/>
        <v/>
      </c>
      <c r="C44" s="241" t="str">
        <f>'קיזוזים- החלטות ועדה'!C44</f>
        <v/>
      </c>
      <c r="D44" s="434" t="str">
        <f>IF($C44="","",'הגבלה לסכום מבוקש (1)'!D44)</f>
        <v/>
      </c>
      <c r="E44" s="434" t="str">
        <f>IF($C44="","",'קיזוזים בגין איחורים'!F44+'קיזוזים- החלטות ועדה'!E44)</f>
        <v/>
      </c>
      <c r="F44" s="434" t="str">
        <f t="shared" si="1"/>
        <v/>
      </c>
      <c r="G44" s="434" t="str">
        <f>'קיזוזים- החלטות ועדה'!G44</f>
        <v/>
      </c>
      <c r="H44" s="437" t="str">
        <f t="shared" si="2"/>
        <v/>
      </c>
      <c r="I44" s="434" t="str">
        <f t="shared" si="3"/>
        <v/>
      </c>
      <c r="J44" s="434" t="str">
        <f t="shared" si="4"/>
        <v/>
      </c>
      <c r="K44" s="438">
        <f t="shared" si="5"/>
        <v>0</v>
      </c>
      <c r="L44" s="439" t="str">
        <f t="shared" si="6"/>
        <v/>
      </c>
      <c r="M44" s="439" t="str">
        <f t="shared" si="7"/>
        <v/>
      </c>
      <c r="N44" s="438">
        <f t="shared" si="8"/>
        <v>0</v>
      </c>
      <c r="O44" s="439" t="str">
        <f t="shared" si="9"/>
        <v/>
      </c>
      <c r="P44" s="439" t="str">
        <f t="shared" si="10"/>
        <v/>
      </c>
      <c r="Q44" s="438">
        <f t="shared" si="11"/>
        <v>0</v>
      </c>
      <c r="R44" s="439" t="str">
        <f t="shared" si="12"/>
        <v/>
      </c>
      <c r="S44" s="439" t="str">
        <f t="shared" si="13"/>
        <v/>
      </c>
      <c r="T44" s="438">
        <f t="shared" si="14"/>
        <v>0</v>
      </c>
      <c r="U44" s="439" t="str">
        <f t="shared" si="15"/>
        <v/>
      </c>
      <c r="V44" s="439" t="str">
        <f t="shared" si="16"/>
        <v/>
      </c>
      <c r="W44" s="39" t="str">
        <f t="shared" si="17"/>
        <v/>
      </c>
      <c r="X44" s="355" t="str">
        <f t="shared" si="18"/>
        <v/>
      </c>
    </row>
    <row r="45" spans="2:204" s="305" customFormat="1" ht="27" customHeight="1" x14ac:dyDescent="0.25">
      <c r="B45" s="38" t="str">
        <f t="shared" si="0"/>
        <v/>
      </c>
      <c r="C45" s="241" t="str">
        <f>'קיזוזים- החלטות ועדה'!C45</f>
        <v/>
      </c>
      <c r="D45" s="434" t="str">
        <f>IF($C45="","",'הגבלה לסכום מבוקש (1)'!D45)</f>
        <v/>
      </c>
      <c r="E45" s="434" t="str">
        <f>IF($C45="","",'קיזוזים בגין איחורים'!F45+'קיזוזים- החלטות ועדה'!E45)</f>
        <v/>
      </c>
      <c r="F45" s="434" t="str">
        <f t="shared" si="1"/>
        <v/>
      </c>
      <c r="G45" s="434" t="str">
        <f>'קיזוזים- החלטות ועדה'!G45</f>
        <v/>
      </c>
      <c r="H45" s="437" t="str">
        <f t="shared" si="2"/>
        <v/>
      </c>
      <c r="I45" s="434" t="str">
        <f t="shared" si="3"/>
        <v/>
      </c>
      <c r="J45" s="434" t="str">
        <f t="shared" si="4"/>
        <v/>
      </c>
      <c r="K45" s="438">
        <f t="shared" si="5"/>
        <v>0</v>
      </c>
      <c r="L45" s="439" t="str">
        <f t="shared" si="6"/>
        <v/>
      </c>
      <c r="M45" s="439" t="str">
        <f t="shared" si="7"/>
        <v/>
      </c>
      <c r="N45" s="438">
        <f t="shared" si="8"/>
        <v>0</v>
      </c>
      <c r="O45" s="439" t="str">
        <f t="shared" si="9"/>
        <v/>
      </c>
      <c r="P45" s="439" t="str">
        <f t="shared" si="10"/>
        <v/>
      </c>
      <c r="Q45" s="438">
        <f t="shared" si="11"/>
        <v>0</v>
      </c>
      <c r="R45" s="439" t="str">
        <f t="shared" si="12"/>
        <v/>
      </c>
      <c r="S45" s="439" t="str">
        <f t="shared" si="13"/>
        <v/>
      </c>
      <c r="T45" s="438">
        <f t="shared" si="14"/>
        <v>0</v>
      </c>
      <c r="U45" s="439" t="str">
        <f t="shared" si="15"/>
        <v/>
      </c>
      <c r="V45" s="439" t="str">
        <f t="shared" si="16"/>
        <v/>
      </c>
      <c r="W45" s="39" t="str">
        <f t="shared" si="17"/>
        <v/>
      </c>
      <c r="X45" s="355" t="str">
        <f t="shared" si="18"/>
        <v/>
      </c>
    </row>
    <row r="46" spans="2:204" s="305" customFormat="1" ht="27" customHeight="1" x14ac:dyDescent="0.25">
      <c r="B46" s="38" t="str">
        <f t="shared" si="0"/>
        <v/>
      </c>
      <c r="C46" s="241" t="str">
        <f>'קיזוזים- החלטות ועדה'!C46</f>
        <v/>
      </c>
      <c r="D46" s="434" t="str">
        <f>IF($C46="","",'הגבלה לסכום מבוקש (1)'!D46)</f>
        <v/>
      </c>
      <c r="E46" s="434" t="str">
        <f>IF($C46="","",'קיזוזים בגין איחורים'!F46+'קיזוזים- החלטות ועדה'!E46)</f>
        <v/>
      </c>
      <c r="F46" s="434" t="str">
        <f t="shared" si="1"/>
        <v/>
      </c>
      <c r="G46" s="434" t="str">
        <f>'קיזוזים- החלטות ועדה'!G46</f>
        <v/>
      </c>
      <c r="H46" s="437" t="str">
        <f t="shared" si="2"/>
        <v/>
      </c>
      <c r="I46" s="434" t="str">
        <f t="shared" si="3"/>
        <v/>
      </c>
      <c r="J46" s="434" t="str">
        <f t="shared" si="4"/>
        <v/>
      </c>
      <c r="K46" s="438">
        <f t="shared" si="5"/>
        <v>0</v>
      </c>
      <c r="L46" s="439" t="str">
        <f t="shared" si="6"/>
        <v/>
      </c>
      <c r="M46" s="439" t="str">
        <f t="shared" si="7"/>
        <v/>
      </c>
      <c r="N46" s="438">
        <f t="shared" si="8"/>
        <v>0</v>
      </c>
      <c r="O46" s="439" t="str">
        <f t="shared" si="9"/>
        <v/>
      </c>
      <c r="P46" s="439" t="str">
        <f t="shared" si="10"/>
        <v/>
      </c>
      <c r="Q46" s="438">
        <f t="shared" si="11"/>
        <v>0</v>
      </c>
      <c r="R46" s="439" t="str">
        <f t="shared" si="12"/>
        <v/>
      </c>
      <c r="S46" s="439" t="str">
        <f t="shared" si="13"/>
        <v/>
      </c>
      <c r="T46" s="438">
        <f t="shared" si="14"/>
        <v>0</v>
      </c>
      <c r="U46" s="439" t="str">
        <f t="shared" si="15"/>
        <v/>
      </c>
      <c r="V46" s="439" t="str">
        <f t="shared" si="16"/>
        <v/>
      </c>
      <c r="W46" s="39" t="str">
        <f t="shared" si="17"/>
        <v/>
      </c>
      <c r="X46" s="355" t="str">
        <f t="shared" si="18"/>
        <v/>
      </c>
    </row>
    <row r="47" spans="2:204" s="305" customFormat="1" ht="27" customHeight="1" x14ac:dyDescent="0.25">
      <c r="B47" s="38">
        <f t="shared" si="0"/>
        <v>17</v>
      </c>
      <c r="C47" s="241" t="str">
        <f>'קיזוזים- החלטות ועדה'!C47</f>
        <v>הרכב עמית פרידמן</v>
      </c>
      <c r="D47" s="434">
        <f>IF($C47="","",'הגבלה לסכום מבוקש (1)'!D47)</f>
        <v>70000</v>
      </c>
      <c r="E47" s="434">
        <f>IF($C47="","",'קיזוזים בגין איחורים'!F47+'קיזוזים- החלטות ועדה'!E47)</f>
        <v>0</v>
      </c>
      <c r="F47" s="434">
        <f t="shared" si="1"/>
        <v>70000</v>
      </c>
      <c r="G47" s="434">
        <f>'קיזוזים- החלטות ועדה'!G47</f>
        <v>70000</v>
      </c>
      <c r="H47" s="437">
        <f t="shared" si="2"/>
        <v>0</v>
      </c>
      <c r="I47" s="434">
        <f t="shared" si="3"/>
        <v>70000</v>
      </c>
      <c r="J47" s="434">
        <f t="shared" si="4"/>
        <v>69999.999999999985</v>
      </c>
      <c r="K47" s="438">
        <f t="shared" si="5"/>
        <v>0</v>
      </c>
      <c r="L47" s="439">
        <f t="shared" si="6"/>
        <v>69999.999999999985</v>
      </c>
      <c r="M47" s="439">
        <f t="shared" si="7"/>
        <v>70000.000000000029</v>
      </c>
      <c r="N47" s="438">
        <f t="shared" si="8"/>
        <v>0</v>
      </c>
      <c r="O47" s="439">
        <f t="shared" si="9"/>
        <v>70000</v>
      </c>
      <c r="P47" s="439">
        <f t="shared" si="10"/>
        <v>69999.999999999971</v>
      </c>
      <c r="Q47" s="438">
        <f t="shared" si="11"/>
        <v>0</v>
      </c>
      <c r="R47" s="439">
        <f t="shared" si="12"/>
        <v>69999.999999999971</v>
      </c>
      <c r="S47" s="439">
        <f t="shared" si="13"/>
        <v>69999.999999999985</v>
      </c>
      <c r="T47" s="438">
        <f t="shared" si="14"/>
        <v>0</v>
      </c>
      <c r="U47" s="439">
        <f t="shared" si="15"/>
        <v>69999.999999999985</v>
      </c>
      <c r="V47" s="439">
        <f t="shared" si="16"/>
        <v>69999.999999999956</v>
      </c>
      <c r="W47" s="39">
        <f t="shared" si="17"/>
        <v>69999.999999999956</v>
      </c>
      <c r="X47" s="355">
        <f t="shared" si="18"/>
        <v>2.2754112236934014E-2</v>
      </c>
    </row>
    <row r="48" spans="2:204" s="305" customFormat="1" ht="27" hidden="1" customHeight="1" x14ac:dyDescent="0.25">
      <c r="B48" s="38" t="str">
        <f t="shared" si="0"/>
        <v/>
      </c>
      <c r="C48" s="241" t="str">
        <f>'קיזוזים- החלטות ועדה'!C48</f>
        <v/>
      </c>
      <c r="D48" s="434" t="str">
        <f>IF($C48="","",'הגבלה לסכום מבוקש (1)'!D48)</f>
        <v/>
      </c>
      <c r="E48" s="434" t="str">
        <f>IF($C48="","",'קיזוזים בגין איחורים'!F48+'קיזוזים- החלטות ועדה'!E48)</f>
        <v/>
      </c>
      <c r="F48" s="434" t="str">
        <f t="shared" si="1"/>
        <v/>
      </c>
      <c r="G48" s="434" t="str">
        <f>'קיזוזים- החלטות ועדה'!G48</f>
        <v/>
      </c>
      <c r="H48" s="437" t="str">
        <f t="shared" si="2"/>
        <v/>
      </c>
      <c r="I48" s="434" t="str">
        <f t="shared" si="3"/>
        <v/>
      </c>
      <c r="J48" s="434" t="str">
        <f t="shared" si="4"/>
        <v/>
      </c>
      <c r="K48" s="438">
        <f t="shared" si="5"/>
        <v>0</v>
      </c>
      <c r="L48" s="439" t="str">
        <f t="shared" si="6"/>
        <v/>
      </c>
      <c r="M48" s="439" t="str">
        <f t="shared" si="7"/>
        <v/>
      </c>
      <c r="N48" s="438">
        <f t="shared" si="8"/>
        <v>0</v>
      </c>
      <c r="O48" s="439" t="str">
        <f t="shared" si="9"/>
        <v/>
      </c>
      <c r="P48" s="439" t="str">
        <f t="shared" si="10"/>
        <v/>
      </c>
      <c r="Q48" s="438">
        <f t="shared" si="11"/>
        <v>0</v>
      </c>
      <c r="R48" s="439" t="str">
        <f t="shared" si="12"/>
        <v/>
      </c>
      <c r="S48" s="439" t="str">
        <f t="shared" si="13"/>
        <v/>
      </c>
      <c r="T48" s="438">
        <f t="shared" si="14"/>
        <v>0</v>
      </c>
      <c r="U48" s="439" t="str">
        <f t="shared" si="15"/>
        <v/>
      </c>
      <c r="V48" s="439" t="str">
        <f t="shared" si="16"/>
        <v/>
      </c>
      <c r="W48" s="39" t="str">
        <f t="shared" si="17"/>
        <v/>
      </c>
      <c r="X48" s="355" t="str">
        <f t="shared" si="18"/>
        <v/>
      </c>
    </row>
    <row r="49" spans="2:24" s="305" customFormat="1" ht="27" hidden="1" customHeight="1" x14ac:dyDescent="0.25">
      <c r="B49" s="38" t="str">
        <f t="shared" si="0"/>
        <v/>
      </c>
      <c r="C49" s="241" t="str">
        <f>'קיזוזים- החלטות ועדה'!C49</f>
        <v/>
      </c>
      <c r="D49" s="434" t="str">
        <f>IF($C49="","",'הגבלה לסכום מבוקש (1)'!D49)</f>
        <v/>
      </c>
      <c r="E49" s="434" t="str">
        <f>IF($C49="","",'קיזוזים בגין איחורים'!F49+'קיזוזים- החלטות ועדה'!E49)</f>
        <v/>
      </c>
      <c r="F49" s="434" t="str">
        <f t="shared" si="1"/>
        <v/>
      </c>
      <c r="G49" s="434" t="str">
        <f>'קיזוזים- החלטות ועדה'!G49</f>
        <v/>
      </c>
      <c r="H49" s="437" t="str">
        <f t="shared" si="2"/>
        <v/>
      </c>
      <c r="I49" s="434" t="str">
        <f t="shared" si="3"/>
        <v/>
      </c>
      <c r="J49" s="434" t="str">
        <f t="shared" si="4"/>
        <v/>
      </c>
      <c r="K49" s="438">
        <f t="shared" si="5"/>
        <v>0</v>
      </c>
      <c r="L49" s="439" t="str">
        <f t="shared" si="6"/>
        <v/>
      </c>
      <c r="M49" s="439" t="str">
        <f t="shared" si="7"/>
        <v/>
      </c>
      <c r="N49" s="438">
        <f t="shared" si="8"/>
        <v>0</v>
      </c>
      <c r="O49" s="439" t="str">
        <f t="shared" si="9"/>
        <v/>
      </c>
      <c r="P49" s="439" t="str">
        <f t="shared" si="10"/>
        <v/>
      </c>
      <c r="Q49" s="438">
        <f t="shared" si="11"/>
        <v>0</v>
      </c>
      <c r="R49" s="439" t="str">
        <f t="shared" si="12"/>
        <v/>
      </c>
      <c r="S49" s="439" t="str">
        <f t="shared" si="13"/>
        <v/>
      </c>
      <c r="T49" s="438">
        <f t="shared" si="14"/>
        <v>0</v>
      </c>
      <c r="U49" s="439" t="str">
        <f t="shared" si="15"/>
        <v/>
      </c>
      <c r="V49" s="439" t="str">
        <f t="shared" si="16"/>
        <v/>
      </c>
      <c r="W49" s="39" t="str">
        <f t="shared" si="17"/>
        <v/>
      </c>
      <c r="X49" s="355" t="str">
        <f t="shared" si="18"/>
        <v/>
      </c>
    </row>
    <row r="50" spans="2:24" s="305" customFormat="1" ht="27" hidden="1" customHeight="1" x14ac:dyDescent="0.25">
      <c r="B50" s="38" t="str">
        <f t="shared" si="0"/>
        <v/>
      </c>
      <c r="C50" s="241" t="str">
        <f>'קיזוזים- החלטות ועדה'!C50</f>
        <v/>
      </c>
      <c r="D50" s="434" t="str">
        <f>IF($C50="","",'הגבלה לסכום מבוקש (1)'!D50)</f>
        <v/>
      </c>
      <c r="E50" s="434" t="str">
        <f>IF($C50="","",'קיזוזים בגין איחורים'!F50+'קיזוזים- החלטות ועדה'!E50)</f>
        <v/>
      </c>
      <c r="F50" s="434" t="str">
        <f t="shared" si="1"/>
        <v/>
      </c>
      <c r="G50" s="434" t="str">
        <f>'קיזוזים- החלטות ועדה'!G50</f>
        <v/>
      </c>
      <c r="H50" s="437" t="str">
        <f t="shared" si="2"/>
        <v/>
      </c>
      <c r="I50" s="434" t="str">
        <f t="shared" si="3"/>
        <v/>
      </c>
      <c r="J50" s="434" t="str">
        <f t="shared" si="4"/>
        <v/>
      </c>
      <c r="K50" s="438">
        <f t="shared" si="5"/>
        <v>0</v>
      </c>
      <c r="L50" s="439" t="str">
        <f t="shared" si="6"/>
        <v/>
      </c>
      <c r="M50" s="439" t="str">
        <f t="shared" si="7"/>
        <v/>
      </c>
      <c r="N50" s="438">
        <f t="shared" si="8"/>
        <v>0</v>
      </c>
      <c r="O50" s="439" t="str">
        <f t="shared" si="9"/>
        <v/>
      </c>
      <c r="P50" s="439" t="str">
        <f t="shared" si="10"/>
        <v/>
      </c>
      <c r="Q50" s="438">
        <f t="shared" si="11"/>
        <v>0</v>
      </c>
      <c r="R50" s="439" t="str">
        <f t="shared" si="12"/>
        <v/>
      </c>
      <c r="S50" s="439" t="str">
        <f t="shared" si="13"/>
        <v/>
      </c>
      <c r="T50" s="438">
        <f t="shared" si="14"/>
        <v>0</v>
      </c>
      <c r="U50" s="439" t="str">
        <f t="shared" si="15"/>
        <v/>
      </c>
      <c r="V50" s="439" t="str">
        <f t="shared" si="16"/>
        <v/>
      </c>
      <c r="W50" s="39" t="str">
        <f t="shared" si="17"/>
        <v/>
      </c>
      <c r="X50" s="355" t="str">
        <f t="shared" si="18"/>
        <v/>
      </c>
    </row>
    <row r="51" spans="2:24" s="305" customFormat="1" ht="27" customHeight="1" x14ac:dyDescent="0.25">
      <c r="B51" s="38">
        <f t="shared" si="0"/>
        <v>21</v>
      </c>
      <c r="C51" s="241" t="str">
        <f>'קיזוזים- החלטות ועדה'!C51</f>
        <v>חמישיית תל אביב לכלי נשיפה</v>
      </c>
      <c r="D51" s="434">
        <f>IF($C51="","",'הגבלה לסכום מבוקש (1)'!D51)</f>
        <v>90000</v>
      </c>
      <c r="E51" s="434">
        <f>IF($C51="","",'קיזוזים בגין איחורים'!F51+'קיזוזים- החלטות ועדה'!E51)</f>
        <v>0</v>
      </c>
      <c r="F51" s="434">
        <f t="shared" si="1"/>
        <v>90000</v>
      </c>
      <c r="G51" s="434">
        <f>'קיזוזים- החלטות ועדה'!G51</f>
        <v>90000</v>
      </c>
      <c r="H51" s="437">
        <f t="shared" si="2"/>
        <v>0</v>
      </c>
      <c r="I51" s="434">
        <f t="shared" si="3"/>
        <v>90000</v>
      </c>
      <c r="J51" s="434">
        <f t="shared" si="4"/>
        <v>89999.999999999971</v>
      </c>
      <c r="K51" s="438">
        <f t="shared" si="5"/>
        <v>0</v>
      </c>
      <c r="L51" s="439">
        <f t="shared" si="6"/>
        <v>89999.999999999971</v>
      </c>
      <c r="M51" s="439">
        <f t="shared" si="7"/>
        <v>90000.000000000029</v>
      </c>
      <c r="N51" s="438">
        <f t="shared" si="8"/>
        <v>0</v>
      </c>
      <c r="O51" s="439">
        <f t="shared" si="9"/>
        <v>90000</v>
      </c>
      <c r="P51" s="439">
        <f t="shared" si="10"/>
        <v>89999.999999999956</v>
      </c>
      <c r="Q51" s="438">
        <f t="shared" si="11"/>
        <v>0</v>
      </c>
      <c r="R51" s="439">
        <f t="shared" si="12"/>
        <v>89999.999999999956</v>
      </c>
      <c r="S51" s="439">
        <f t="shared" si="13"/>
        <v>89999.999999999985</v>
      </c>
      <c r="T51" s="438">
        <f t="shared" si="14"/>
        <v>0</v>
      </c>
      <c r="U51" s="439">
        <f t="shared" si="15"/>
        <v>89999.999999999985</v>
      </c>
      <c r="V51" s="439">
        <f t="shared" si="16"/>
        <v>89999.999999999956</v>
      </c>
      <c r="W51" s="39">
        <f t="shared" si="17"/>
        <v>89999.999999999956</v>
      </c>
      <c r="X51" s="355">
        <f t="shared" si="18"/>
        <v>2.9255287161772305E-2</v>
      </c>
    </row>
    <row r="52" spans="2:24" s="305" customFormat="1" ht="27" customHeight="1" x14ac:dyDescent="0.25">
      <c r="B52" s="38">
        <f t="shared" si="0"/>
        <v>22</v>
      </c>
      <c r="C52" s="241" t="str">
        <f>'קיזוזים- החלטות ועדה'!C52</f>
        <v>הרכב אקוט</v>
      </c>
      <c r="D52" s="434">
        <f>IF($C52="","",'הגבלה לסכום מבוקש (1)'!D52)</f>
        <v>120000</v>
      </c>
      <c r="E52" s="434">
        <f>IF($C52="","",'קיזוזים בגין איחורים'!F52+'קיזוזים- החלטות ועדה'!E52)</f>
        <v>0</v>
      </c>
      <c r="F52" s="434">
        <f t="shared" si="1"/>
        <v>120000</v>
      </c>
      <c r="G52" s="434">
        <f>'קיזוזים- החלטות ועדה'!G52</f>
        <v>120000</v>
      </c>
      <c r="H52" s="437">
        <f t="shared" si="2"/>
        <v>0</v>
      </c>
      <c r="I52" s="434">
        <f t="shared" si="3"/>
        <v>120000</v>
      </c>
      <c r="J52" s="434">
        <f t="shared" si="4"/>
        <v>119999.99999999996</v>
      </c>
      <c r="K52" s="438">
        <f t="shared" si="5"/>
        <v>0</v>
      </c>
      <c r="L52" s="439">
        <f t="shared" si="6"/>
        <v>119999.99999999996</v>
      </c>
      <c r="M52" s="439">
        <f t="shared" si="7"/>
        <v>120000.00000000004</v>
      </c>
      <c r="N52" s="438">
        <f t="shared" si="8"/>
        <v>0</v>
      </c>
      <c r="O52" s="439">
        <f t="shared" si="9"/>
        <v>120000</v>
      </c>
      <c r="P52" s="439">
        <f t="shared" si="10"/>
        <v>119999.99999999996</v>
      </c>
      <c r="Q52" s="438">
        <f t="shared" si="11"/>
        <v>0</v>
      </c>
      <c r="R52" s="439">
        <f t="shared" si="12"/>
        <v>119999.99999999996</v>
      </c>
      <c r="S52" s="439">
        <f t="shared" si="13"/>
        <v>120000</v>
      </c>
      <c r="T52" s="438">
        <f t="shared" si="14"/>
        <v>0</v>
      </c>
      <c r="U52" s="439">
        <f t="shared" si="15"/>
        <v>120000</v>
      </c>
      <c r="V52" s="439">
        <f t="shared" si="16"/>
        <v>119999.99999999996</v>
      </c>
      <c r="W52" s="39">
        <f t="shared" si="17"/>
        <v>119999.99999999996</v>
      </c>
      <c r="X52" s="355">
        <f t="shared" si="18"/>
        <v>3.9007049549029747E-2</v>
      </c>
    </row>
    <row r="53" spans="2:24" s="305" customFormat="1" ht="27" customHeight="1" x14ac:dyDescent="0.25">
      <c r="B53" s="38">
        <f t="shared" si="0"/>
        <v>23</v>
      </c>
      <c r="C53" s="241" t="str">
        <f>'קיזוזים- החלטות ועדה'!C53</f>
        <v>שלישיית עתר</v>
      </c>
      <c r="D53" s="434">
        <f>IF($C53="","",'הגבלה לסכום מבוקש (1)'!D53)</f>
        <v>75000</v>
      </c>
      <c r="E53" s="434">
        <f>IF($C53="","",'קיזוזים בגין איחורים'!F53+'קיזוזים- החלטות ועדה'!E53)</f>
        <v>0</v>
      </c>
      <c r="F53" s="434">
        <f t="shared" si="1"/>
        <v>75000</v>
      </c>
      <c r="G53" s="434">
        <f>'קיזוזים- החלטות ועדה'!G53</f>
        <v>75000</v>
      </c>
      <c r="H53" s="437">
        <f t="shared" si="2"/>
        <v>0</v>
      </c>
      <c r="I53" s="434">
        <f t="shared" si="3"/>
        <v>75000</v>
      </c>
      <c r="J53" s="434">
        <f t="shared" si="4"/>
        <v>74999.999999999985</v>
      </c>
      <c r="K53" s="438">
        <f t="shared" si="5"/>
        <v>0</v>
      </c>
      <c r="L53" s="439">
        <f t="shared" si="6"/>
        <v>74999.999999999985</v>
      </c>
      <c r="M53" s="439">
        <f t="shared" si="7"/>
        <v>75000.000000000029</v>
      </c>
      <c r="N53" s="438">
        <f t="shared" si="8"/>
        <v>0</v>
      </c>
      <c r="O53" s="439">
        <f t="shared" si="9"/>
        <v>75000</v>
      </c>
      <c r="P53" s="439">
        <f t="shared" si="10"/>
        <v>74999.999999999971</v>
      </c>
      <c r="Q53" s="438">
        <f t="shared" si="11"/>
        <v>0</v>
      </c>
      <c r="R53" s="439">
        <f t="shared" si="12"/>
        <v>74999.999999999971</v>
      </c>
      <c r="S53" s="439">
        <f t="shared" si="13"/>
        <v>74999.999999999985</v>
      </c>
      <c r="T53" s="438">
        <f t="shared" si="14"/>
        <v>0</v>
      </c>
      <c r="U53" s="439">
        <f t="shared" si="15"/>
        <v>74999.999999999985</v>
      </c>
      <c r="V53" s="439">
        <f t="shared" si="16"/>
        <v>74999.999999999956</v>
      </c>
      <c r="W53" s="39">
        <f t="shared" si="17"/>
        <v>74999.999999999956</v>
      </c>
      <c r="X53" s="355">
        <f t="shared" si="18"/>
        <v>2.4379405968143586E-2</v>
      </c>
    </row>
    <row r="54" spans="2:24" s="305" customFormat="1" ht="27" customHeight="1" x14ac:dyDescent="0.25">
      <c r="B54" s="38" t="str">
        <f t="shared" si="0"/>
        <v/>
      </c>
      <c r="C54" s="241" t="str">
        <f>'קיזוזים- החלטות ועדה'!C54</f>
        <v/>
      </c>
      <c r="D54" s="434" t="str">
        <f>IF($C54="","",'הגבלה לסכום מבוקש (1)'!D54)</f>
        <v/>
      </c>
      <c r="E54" s="434" t="str">
        <f>IF($C54="","",'קיזוזים בגין איחורים'!F54+'קיזוזים- החלטות ועדה'!E54)</f>
        <v/>
      </c>
      <c r="F54" s="434" t="str">
        <f t="shared" si="1"/>
        <v/>
      </c>
      <c r="G54" s="434" t="str">
        <f>'קיזוזים- החלטות ועדה'!G54</f>
        <v/>
      </c>
      <c r="H54" s="437" t="str">
        <f t="shared" si="2"/>
        <v/>
      </c>
      <c r="I54" s="434" t="str">
        <f t="shared" si="3"/>
        <v/>
      </c>
      <c r="J54" s="434" t="str">
        <f t="shared" si="4"/>
        <v/>
      </c>
      <c r="K54" s="438">
        <f t="shared" si="5"/>
        <v>0</v>
      </c>
      <c r="L54" s="439" t="str">
        <f t="shared" si="6"/>
        <v/>
      </c>
      <c r="M54" s="439" t="str">
        <f t="shared" si="7"/>
        <v/>
      </c>
      <c r="N54" s="438">
        <f t="shared" si="8"/>
        <v>0</v>
      </c>
      <c r="O54" s="439" t="str">
        <f t="shared" si="9"/>
        <v/>
      </c>
      <c r="P54" s="439" t="str">
        <f t="shared" si="10"/>
        <v/>
      </c>
      <c r="Q54" s="438">
        <f t="shared" si="11"/>
        <v>0</v>
      </c>
      <c r="R54" s="439" t="str">
        <f t="shared" si="12"/>
        <v/>
      </c>
      <c r="S54" s="439" t="str">
        <f t="shared" si="13"/>
        <v/>
      </c>
      <c r="T54" s="438">
        <f t="shared" si="14"/>
        <v>0</v>
      </c>
      <c r="U54" s="439" t="str">
        <f t="shared" si="15"/>
        <v/>
      </c>
      <c r="V54" s="439" t="str">
        <f t="shared" si="16"/>
        <v/>
      </c>
      <c r="W54" s="39" t="str">
        <f t="shared" si="17"/>
        <v/>
      </c>
      <c r="X54" s="355" t="str">
        <f t="shared" si="18"/>
        <v/>
      </c>
    </row>
    <row r="55" spans="2:24" s="305" customFormat="1" ht="27" hidden="1" customHeight="1" x14ac:dyDescent="0.25">
      <c r="B55" s="38" t="str">
        <f t="shared" si="0"/>
        <v/>
      </c>
      <c r="C55" s="241" t="str">
        <f>'קיזוזים- החלטות ועדה'!C55</f>
        <v/>
      </c>
      <c r="D55" s="434" t="str">
        <f>IF($C55="","",'הגבלה לסכום מבוקש (1)'!D55)</f>
        <v/>
      </c>
      <c r="E55" s="434" t="str">
        <f>IF($C55="","",'קיזוזים בגין איחורים'!F55+'קיזוזים- החלטות ועדה'!E55)</f>
        <v/>
      </c>
      <c r="F55" s="434" t="str">
        <f t="shared" si="1"/>
        <v/>
      </c>
      <c r="G55" s="434" t="str">
        <f>'קיזוזים- החלטות ועדה'!G55</f>
        <v/>
      </c>
      <c r="H55" s="437" t="str">
        <f t="shared" si="2"/>
        <v/>
      </c>
      <c r="I55" s="434" t="str">
        <f t="shared" si="3"/>
        <v/>
      </c>
      <c r="J55" s="434" t="str">
        <f t="shared" si="4"/>
        <v/>
      </c>
      <c r="K55" s="438">
        <f t="shared" si="5"/>
        <v>0</v>
      </c>
      <c r="L55" s="439" t="str">
        <f t="shared" si="6"/>
        <v/>
      </c>
      <c r="M55" s="439" t="str">
        <f t="shared" si="7"/>
        <v/>
      </c>
      <c r="N55" s="438">
        <f t="shared" si="8"/>
        <v>0</v>
      </c>
      <c r="O55" s="439" t="str">
        <f t="shared" si="9"/>
        <v/>
      </c>
      <c r="P55" s="439" t="str">
        <f t="shared" si="10"/>
        <v/>
      </c>
      <c r="Q55" s="438">
        <f t="shared" si="11"/>
        <v>0</v>
      </c>
      <c r="R55" s="439" t="str">
        <f t="shared" si="12"/>
        <v/>
      </c>
      <c r="S55" s="439" t="str">
        <f t="shared" si="13"/>
        <v/>
      </c>
      <c r="T55" s="438">
        <f t="shared" si="14"/>
        <v>0</v>
      </c>
      <c r="U55" s="439" t="str">
        <f t="shared" si="15"/>
        <v/>
      </c>
      <c r="V55" s="439" t="str">
        <f t="shared" si="16"/>
        <v/>
      </c>
      <c r="W55" s="39" t="str">
        <f t="shared" si="17"/>
        <v/>
      </c>
      <c r="X55" s="355" t="str">
        <f t="shared" si="18"/>
        <v/>
      </c>
    </row>
    <row r="56" spans="2:24" s="305" customFormat="1" ht="27" customHeight="1" x14ac:dyDescent="0.25">
      <c r="B56" s="38">
        <f t="shared" si="0"/>
        <v>26</v>
      </c>
      <c r="C56" s="241" t="str">
        <f>'קיזוזים- החלטות ועדה'!C56</f>
        <v>אנסמבל מצו</v>
      </c>
      <c r="D56" s="434">
        <f>IF($C56="","",'הגבלה לסכום מבוקש (1)'!D56)</f>
        <v>130000</v>
      </c>
      <c r="E56" s="434">
        <f>IF($C56="","",'קיזוזים בגין איחורים'!F56+'קיזוזים- החלטות ועדה'!E56)</f>
        <v>0</v>
      </c>
      <c r="F56" s="434">
        <f t="shared" si="1"/>
        <v>130000</v>
      </c>
      <c r="G56" s="434">
        <f>'קיזוזים- החלטות ועדה'!G56</f>
        <v>94996.732183776636</v>
      </c>
      <c r="H56" s="437">
        <f t="shared" si="2"/>
        <v>0</v>
      </c>
      <c r="I56" s="434">
        <f t="shared" si="3"/>
        <v>94996.732183776636</v>
      </c>
      <c r="J56" s="434">
        <f t="shared" si="4"/>
        <v>94996.732183776607</v>
      </c>
      <c r="K56" s="438">
        <f t="shared" si="5"/>
        <v>0</v>
      </c>
      <c r="L56" s="439">
        <f t="shared" si="6"/>
        <v>94996.732183776607</v>
      </c>
      <c r="M56" s="439">
        <f t="shared" si="7"/>
        <v>94996.732183776665</v>
      </c>
      <c r="N56" s="438">
        <f t="shared" si="8"/>
        <v>0</v>
      </c>
      <c r="O56" s="439">
        <f t="shared" si="9"/>
        <v>94996.732183776665</v>
      </c>
      <c r="P56" s="439">
        <f t="shared" si="10"/>
        <v>94996.732183776621</v>
      </c>
      <c r="Q56" s="438">
        <f t="shared" si="11"/>
        <v>0</v>
      </c>
      <c r="R56" s="439">
        <f t="shared" si="12"/>
        <v>94996.732183776621</v>
      </c>
      <c r="S56" s="439">
        <f t="shared" si="13"/>
        <v>94996.73218377665</v>
      </c>
      <c r="T56" s="438">
        <f t="shared" si="14"/>
        <v>0</v>
      </c>
      <c r="U56" s="439">
        <f t="shared" si="15"/>
        <v>94996.73218377665</v>
      </c>
      <c r="V56" s="439">
        <f t="shared" si="16"/>
        <v>94996.732183776621</v>
      </c>
      <c r="W56" s="39">
        <f t="shared" si="17"/>
        <v>94996.732183776621</v>
      </c>
      <c r="X56" s="355">
        <f t="shared" si="18"/>
        <v>3.0879518660737373E-2</v>
      </c>
    </row>
    <row r="57" spans="2:24" s="305" customFormat="1" ht="27" customHeight="1" x14ac:dyDescent="0.25">
      <c r="B57" s="38" t="str">
        <f t="shared" si="0"/>
        <v/>
      </c>
      <c r="C57" s="241" t="str">
        <f>'קיזוזים- החלטות ועדה'!C57</f>
        <v/>
      </c>
      <c r="D57" s="434" t="str">
        <f>IF($C57="","",'הגבלה לסכום מבוקש (1)'!D57)</f>
        <v/>
      </c>
      <c r="E57" s="434" t="str">
        <f>IF($C57="","",'קיזוזים בגין איחורים'!F57+'קיזוזים- החלטות ועדה'!E57)</f>
        <v/>
      </c>
      <c r="F57" s="434" t="str">
        <f t="shared" si="1"/>
        <v/>
      </c>
      <c r="G57" s="434" t="str">
        <f>'קיזוזים- החלטות ועדה'!G57</f>
        <v/>
      </c>
      <c r="H57" s="437" t="str">
        <f t="shared" si="2"/>
        <v/>
      </c>
      <c r="I57" s="434" t="str">
        <f t="shared" si="3"/>
        <v/>
      </c>
      <c r="J57" s="434" t="str">
        <f t="shared" si="4"/>
        <v/>
      </c>
      <c r="K57" s="438">
        <f t="shared" si="5"/>
        <v>0</v>
      </c>
      <c r="L57" s="439" t="str">
        <f t="shared" si="6"/>
        <v/>
      </c>
      <c r="M57" s="439" t="str">
        <f t="shared" si="7"/>
        <v/>
      </c>
      <c r="N57" s="438">
        <f t="shared" si="8"/>
        <v>0</v>
      </c>
      <c r="O57" s="439" t="str">
        <f t="shared" si="9"/>
        <v/>
      </c>
      <c r="P57" s="439" t="str">
        <f t="shared" si="10"/>
        <v/>
      </c>
      <c r="Q57" s="438">
        <f t="shared" si="11"/>
        <v>0</v>
      </c>
      <c r="R57" s="439" t="str">
        <f t="shared" si="12"/>
        <v/>
      </c>
      <c r="S57" s="439" t="str">
        <f t="shared" si="13"/>
        <v/>
      </c>
      <c r="T57" s="438">
        <f t="shared" si="14"/>
        <v>0</v>
      </c>
      <c r="U57" s="439" t="str">
        <f t="shared" si="15"/>
        <v/>
      </c>
      <c r="V57" s="439" t="str">
        <f t="shared" si="16"/>
        <v/>
      </c>
      <c r="W57" s="39" t="str">
        <f t="shared" si="17"/>
        <v/>
      </c>
      <c r="X57" s="355" t="str">
        <f t="shared" si="18"/>
        <v/>
      </c>
    </row>
    <row r="58" spans="2:24" s="305" customFormat="1" ht="27" customHeight="1" x14ac:dyDescent="0.25">
      <c r="B58" s="38">
        <f t="shared" si="0"/>
        <v>28</v>
      </c>
      <c r="C58" s="241" t="str">
        <f>'קיזוזים- החלטות ועדה'!C58</f>
        <v>תמיכה שותפת- קבוצת מוסיקה נובה</v>
      </c>
      <c r="D58" s="434">
        <f>IF($C58="","",'הגבלה לסכום מבוקש (1)'!D58)</f>
        <v>150000</v>
      </c>
      <c r="E58" s="434">
        <f>IF($C58="","",'קיזוזים בגין איחורים'!F58+'קיזוזים- החלטות ועדה'!E58)</f>
        <v>0</v>
      </c>
      <c r="F58" s="434">
        <f t="shared" si="1"/>
        <v>150000</v>
      </c>
      <c r="G58" s="434">
        <f>'קיזוזים- החלטות ועדה'!G58</f>
        <v>90285.497612872961</v>
      </c>
      <c r="H58" s="437">
        <f t="shared" si="2"/>
        <v>0</v>
      </c>
      <c r="I58" s="434">
        <f t="shared" si="3"/>
        <v>90285.497612872961</v>
      </c>
      <c r="J58" s="434">
        <f t="shared" si="4"/>
        <v>90285.497612872932</v>
      </c>
      <c r="K58" s="438">
        <f t="shared" si="5"/>
        <v>0</v>
      </c>
      <c r="L58" s="439">
        <f t="shared" si="6"/>
        <v>90285.497612872932</v>
      </c>
      <c r="M58" s="439">
        <f t="shared" si="7"/>
        <v>90285.49761287299</v>
      </c>
      <c r="N58" s="438">
        <f t="shared" si="8"/>
        <v>0</v>
      </c>
      <c r="O58" s="439">
        <f t="shared" si="9"/>
        <v>90285.49761287299</v>
      </c>
      <c r="P58" s="439">
        <f t="shared" si="10"/>
        <v>90285.497612872947</v>
      </c>
      <c r="Q58" s="438">
        <f t="shared" si="11"/>
        <v>0</v>
      </c>
      <c r="R58" s="439">
        <f t="shared" si="12"/>
        <v>90285.497612872947</v>
      </c>
      <c r="S58" s="439">
        <f t="shared" si="13"/>
        <v>90285.497612872976</v>
      </c>
      <c r="T58" s="438">
        <f t="shared" si="14"/>
        <v>0</v>
      </c>
      <c r="U58" s="439">
        <f t="shared" si="15"/>
        <v>90285.497612872976</v>
      </c>
      <c r="V58" s="439">
        <f t="shared" si="16"/>
        <v>90285.497612872947</v>
      </c>
      <c r="W58" s="39">
        <f t="shared" si="17"/>
        <v>90285.497612872947</v>
      </c>
      <c r="X58" s="355">
        <f t="shared" si="18"/>
        <v>2.9348090657867861E-2</v>
      </c>
    </row>
    <row r="59" spans="2:24" s="305" customFormat="1" ht="27" hidden="1" customHeight="1" x14ac:dyDescent="0.25">
      <c r="B59" s="38" t="str">
        <f t="shared" si="0"/>
        <v/>
      </c>
      <c r="C59" s="241" t="str">
        <f>'קיזוזים- החלטות ועדה'!C59</f>
        <v/>
      </c>
      <c r="D59" s="434" t="str">
        <f>IF($C59="","",'הגבלה לסכום מבוקש (1)'!D59)</f>
        <v/>
      </c>
      <c r="E59" s="434" t="str">
        <f>IF($C59="","",'קיזוזים בגין איחורים'!F59+'קיזוזים- החלטות ועדה'!E59)</f>
        <v/>
      </c>
      <c r="F59" s="434" t="str">
        <f t="shared" si="1"/>
        <v/>
      </c>
      <c r="G59" s="434" t="str">
        <f>'קיזוזים- החלטות ועדה'!G59</f>
        <v/>
      </c>
      <c r="H59" s="437" t="str">
        <f t="shared" si="2"/>
        <v/>
      </c>
      <c r="I59" s="434" t="str">
        <f t="shared" si="3"/>
        <v/>
      </c>
      <c r="J59" s="434" t="str">
        <f t="shared" si="4"/>
        <v/>
      </c>
      <c r="K59" s="438">
        <f t="shared" si="5"/>
        <v>0</v>
      </c>
      <c r="L59" s="439" t="str">
        <f t="shared" si="6"/>
        <v/>
      </c>
      <c r="M59" s="439" t="str">
        <f t="shared" si="7"/>
        <v/>
      </c>
      <c r="N59" s="438">
        <f t="shared" si="8"/>
        <v>0</v>
      </c>
      <c r="O59" s="439" t="str">
        <f t="shared" si="9"/>
        <v/>
      </c>
      <c r="P59" s="439" t="str">
        <f t="shared" si="10"/>
        <v/>
      </c>
      <c r="Q59" s="438">
        <f t="shared" si="11"/>
        <v>0</v>
      </c>
      <c r="R59" s="439" t="str">
        <f t="shared" si="12"/>
        <v/>
      </c>
      <c r="S59" s="439" t="str">
        <f t="shared" si="13"/>
        <v/>
      </c>
      <c r="T59" s="438">
        <f t="shared" si="14"/>
        <v>0</v>
      </c>
      <c r="U59" s="439" t="str">
        <f t="shared" si="15"/>
        <v/>
      </c>
      <c r="V59" s="439" t="str">
        <f t="shared" si="16"/>
        <v/>
      </c>
      <c r="W59" s="39" t="str">
        <f t="shared" si="17"/>
        <v/>
      </c>
      <c r="X59" s="355" t="str">
        <f t="shared" si="18"/>
        <v/>
      </c>
    </row>
    <row r="60" spans="2:24" s="305" customFormat="1" ht="27" hidden="1" customHeight="1" x14ac:dyDescent="0.25">
      <c r="B60" s="38" t="str">
        <f t="shared" si="0"/>
        <v/>
      </c>
      <c r="C60" s="241" t="str">
        <f>'קיזוזים- החלטות ועדה'!C60</f>
        <v/>
      </c>
      <c r="D60" s="434" t="str">
        <f>IF($C60="","",'הגבלה לסכום מבוקש (1)'!D60)</f>
        <v/>
      </c>
      <c r="E60" s="434" t="str">
        <f>IF($C60="","",'קיזוזים בגין איחורים'!F60+'קיזוזים- החלטות ועדה'!E60)</f>
        <v/>
      </c>
      <c r="F60" s="434" t="str">
        <f t="shared" si="1"/>
        <v/>
      </c>
      <c r="G60" s="434" t="str">
        <f>'קיזוזים- החלטות ועדה'!G60</f>
        <v/>
      </c>
      <c r="H60" s="437" t="str">
        <f t="shared" si="2"/>
        <v/>
      </c>
      <c r="I60" s="434" t="str">
        <f t="shared" si="3"/>
        <v/>
      </c>
      <c r="J60" s="434" t="str">
        <f t="shared" si="4"/>
        <v/>
      </c>
      <c r="K60" s="438">
        <f t="shared" si="5"/>
        <v>0</v>
      </c>
      <c r="L60" s="439" t="str">
        <f t="shared" si="6"/>
        <v/>
      </c>
      <c r="M60" s="439" t="str">
        <f t="shared" si="7"/>
        <v/>
      </c>
      <c r="N60" s="438">
        <f t="shared" si="8"/>
        <v>0</v>
      </c>
      <c r="O60" s="439" t="str">
        <f t="shared" si="9"/>
        <v/>
      </c>
      <c r="P60" s="439" t="str">
        <f t="shared" si="10"/>
        <v/>
      </c>
      <c r="Q60" s="438">
        <f t="shared" si="11"/>
        <v>0</v>
      </c>
      <c r="R60" s="439" t="str">
        <f t="shared" si="12"/>
        <v/>
      </c>
      <c r="S60" s="439" t="str">
        <f t="shared" si="13"/>
        <v/>
      </c>
      <c r="T60" s="438">
        <f t="shared" si="14"/>
        <v>0</v>
      </c>
      <c r="U60" s="439" t="str">
        <f t="shared" si="15"/>
        <v/>
      </c>
      <c r="V60" s="439" t="str">
        <f t="shared" si="16"/>
        <v/>
      </c>
      <c r="W60" s="39" t="str">
        <f t="shared" si="17"/>
        <v/>
      </c>
      <c r="X60" s="355" t="str">
        <f t="shared" si="18"/>
        <v/>
      </c>
    </row>
    <row r="61" spans="2:24" s="305" customFormat="1" ht="27" hidden="1" customHeight="1" x14ac:dyDescent="0.25">
      <c r="B61" s="38" t="str">
        <f t="shared" si="0"/>
        <v/>
      </c>
      <c r="C61" s="241" t="str">
        <f>'קיזוזים- החלטות ועדה'!C61</f>
        <v/>
      </c>
      <c r="D61" s="434" t="str">
        <f>IF($C61="","",'הגבלה לסכום מבוקש (1)'!D61)</f>
        <v/>
      </c>
      <c r="E61" s="434" t="str">
        <f>IF($C61="","",'קיזוזים בגין איחורים'!F61+'קיזוזים- החלטות ועדה'!E61)</f>
        <v/>
      </c>
      <c r="F61" s="434" t="str">
        <f t="shared" si="1"/>
        <v/>
      </c>
      <c r="G61" s="434" t="str">
        <f>'קיזוזים- החלטות ועדה'!G61</f>
        <v/>
      </c>
      <c r="H61" s="437" t="str">
        <f t="shared" si="2"/>
        <v/>
      </c>
      <c r="I61" s="434" t="str">
        <f t="shared" si="3"/>
        <v/>
      </c>
      <c r="J61" s="434" t="str">
        <f t="shared" si="4"/>
        <v/>
      </c>
      <c r="K61" s="438">
        <f t="shared" si="5"/>
        <v>0</v>
      </c>
      <c r="L61" s="439" t="str">
        <f t="shared" si="6"/>
        <v/>
      </c>
      <c r="M61" s="439" t="str">
        <f t="shared" si="7"/>
        <v/>
      </c>
      <c r="N61" s="438">
        <f t="shared" si="8"/>
        <v>0</v>
      </c>
      <c r="O61" s="439" t="str">
        <f t="shared" si="9"/>
        <v/>
      </c>
      <c r="P61" s="439" t="str">
        <f t="shared" si="10"/>
        <v/>
      </c>
      <c r="Q61" s="438">
        <f t="shared" si="11"/>
        <v>0</v>
      </c>
      <c r="R61" s="439" t="str">
        <f t="shared" si="12"/>
        <v/>
      </c>
      <c r="S61" s="439" t="str">
        <f t="shared" si="13"/>
        <v/>
      </c>
      <c r="T61" s="438">
        <f t="shared" si="14"/>
        <v>0</v>
      </c>
      <c r="U61" s="439" t="str">
        <f t="shared" si="15"/>
        <v/>
      </c>
      <c r="V61" s="439" t="str">
        <f t="shared" si="16"/>
        <v/>
      </c>
      <c r="W61" s="39" t="str">
        <f t="shared" si="17"/>
        <v/>
      </c>
      <c r="X61" s="355" t="str">
        <f t="shared" si="18"/>
        <v/>
      </c>
    </row>
    <row r="62" spans="2:24" s="305" customFormat="1" ht="27" hidden="1" customHeight="1" x14ac:dyDescent="0.25">
      <c r="B62" s="38" t="str">
        <f t="shared" si="0"/>
        <v/>
      </c>
      <c r="C62" s="241" t="str">
        <f>'קיזוזים- החלטות ועדה'!C62</f>
        <v/>
      </c>
      <c r="D62" s="434" t="str">
        <f>IF($C62="","",'הגבלה לסכום מבוקש (1)'!D62)</f>
        <v/>
      </c>
      <c r="E62" s="434" t="str">
        <f>IF($C62="","",'קיזוזים בגין איחורים'!F62+'קיזוזים- החלטות ועדה'!E62)</f>
        <v/>
      </c>
      <c r="F62" s="434" t="str">
        <f t="shared" si="1"/>
        <v/>
      </c>
      <c r="G62" s="434" t="str">
        <f>'קיזוזים- החלטות ועדה'!G62</f>
        <v/>
      </c>
      <c r="H62" s="437" t="str">
        <f t="shared" si="2"/>
        <v/>
      </c>
      <c r="I62" s="434" t="str">
        <f t="shared" si="3"/>
        <v/>
      </c>
      <c r="J62" s="434" t="str">
        <f t="shared" si="4"/>
        <v/>
      </c>
      <c r="K62" s="438">
        <f t="shared" si="5"/>
        <v>0</v>
      </c>
      <c r="L62" s="439" t="str">
        <f t="shared" si="6"/>
        <v/>
      </c>
      <c r="M62" s="439" t="str">
        <f t="shared" si="7"/>
        <v/>
      </c>
      <c r="N62" s="438">
        <f t="shared" si="8"/>
        <v>0</v>
      </c>
      <c r="O62" s="439" t="str">
        <f t="shared" si="9"/>
        <v/>
      </c>
      <c r="P62" s="439" t="str">
        <f t="shared" si="10"/>
        <v/>
      </c>
      <c r="Q62" s="438">
        <f t="shared" si="11"/>
        <v>0</v>
      </c>
      <c r="R62" s="439" t="str">
        <f t="shared" si="12"/>
        <v/>
      </c>
      <c r="S62" s="439" t="str">
        <f t="shared" si="13"/>
        <v/>
      </c>
      <c r="T62" s="438">
        <f t="shared" si="14"/>
        <v>0</v>
      </c>
      <c r="U62" s="439" t="str">
        <f t="shared" si="15"/>
        <v/>
      </c>
      <c r="V62" s="439" t="str">
        <f t="shared" si="16"/>
        <v/>
      </c>
      <c r="W62" s="39" t="str">
        <f t="shared" si="17"/>
        <v/>
      </c>
      <c r="X62" s="355" t="str">
        <f t="shared" si="18"/>
        <v/>
      </c>
    </row>
    <row r="63" spans="2:24" s="305" customFormat="1" ht="27" hidden="1" customHeight="1" x14ac:dyDescent="0.25">
      <c r="B63" s="38" t="str">
        <f t="shared" si="0"/>
        <v/>
      </c>
      <c r="C63" s="241" t="str">
        <f>'קיזוזים- החלטות ועדה'!C63</f>
        <v/>
      </c>
      <c r="D63" s="434" t="str">
        <f>IF($C63="","",'הגבלה לסכום מבוקש (1)'!D63)</f>
        <v/>
      </c>
      <c r="E63" s="434" t="str">
        <f>IF($C63="","",'קיזוזים בגין איחורים'!F63+'קיזוזים- החלטות ועדה'!E63)</f>
        <v/>
      </c>
      <c r="F63" s="434" t="str">
        <f t="shared" si="1"/>
        <v/>
      </c>
      <c r="G63" s="434" t="str">
        <f>'קיזוזים- החלטות ועדה'!G63</f>
        <v/>
      </c>
      <c r="H63" s="437" t="str">
        <f t="shared" si="2"/>
        <v/>
      </c>
      <c r="I63" s="434" t="str">
        <f t="shared" si="3"/>
        <v/>
      </c>
      <c r="J63" s="434" t="str">
        <f t="shared" si="4"/>
        <v/>
      </c>
      <c r="K63" s="438">
        <f t="shared" si="5"/>
        <v>0</v>
      </c>
      <c r="L63" s="439" t="str">
        <f t="shared" si="6"/>
        <v/>
      </c>
      <c r="M63" s="439" t="str">
        <f t="shared" si="7"/>
        <v/>
      </c>
      <c r="N63" s="438">
        <f t="shared" si="8"/>
        <v>0</v>
      </c>
      <c r="O63" s="439" t="str">
        <f t="shared" si="9"/>
        <v/>
      </c>
      <c r="P63" s="439" t="str">
        <f t="shared" si="10"/>
        <v/>
      </c>
      <c r="Q63" s="438">
        <f t="shared" si="11"/>
        <v>0</v>
      </c>
      <c r="R63" s="439" t="str">
        <f t="shared" si="12"/>
        <v/>
      </c>
      <c r="S63" s="439" t="str">
        <f t="shared" si="13"/>
        <v/>
      </c>
      <c r="T63" s="438">
        <f t="shared" si="14"/>
        <v>0</v>
      </c>
      <c r="U63" s="439" t="str">
        <f t="shared" si="15"/>
        <v/>
      </c>
      <c r="V63" s="439" t="str">
        <f t="shared" si="16"/>
        <v/>
      </c>
      <c r="W63" s="39" t="str">
        <f t="shared" si="17"/>
        <v/>
      </c>
      <c r="X63" s="355" t="str">
        <f t="shared" si="18"/>
        <v/>
      </c>
    </row>
    <row r="64" spans="2:24" s="305" customFormat="1" ht="27" hidden="1" customHeight="1" x14ac:dyDescent="0.25">
      <c r="B64" s="38" t="str">
        <f t="shared" si="0"/>
        <v/>
      </c>
      <c r="C64" s="241" t="str">
        <f>'קיזוזים- החלטות ועדה'!C64</f>
        <v/>
      </c>
      <c r="D64" s="434" t="str">
        <f>IF($C64="","",'הגבלה לסכום מבוקש (1)'!D64)</f>
        <v/>
      </c>
      <c r="E64" s="434" t="str">
        <f>IF($C64="","",'קיזוזים בגין איחורים'!F64+'קיזוזים- החלטות ועדה'!E64)</f>
        <v/>
      </c>
      <c r="F64" s="434" t="str">
        <f t="shared" si="1"/>
        <v/>
      </c>
      <c r="G64" s="434" t="str">
        <f>'קיזוזים- החלטות ועדה'!G64</f>
        <v/>
      </c>
      <c r="H64" s="437" t="str">
        <f t="shared" si="2"/>
        <v/>
      </c>
      <c r="I64" s="434" t="str">
        <f t="shared" si="3"/>
        <v/>
      </c>
      <c r="J64" s="434" t="str">
        <f t="shared" si="4"/>
        <v/>
      </c>
      <c r="K64" s="438">
        <f t="shared" si="5"/>
        <v>0</v>
      </c>
      <c r="L64" s="439" t="str">
        <f t="shared" si="6"/>
        <v/>
      </c>
      <c r="M64" s="439" t="str">
        <f t="shared" si="7"/>
        <v/>
      </c>
      <c r="N64" s="438">
        <f t="shared" si="8"/>
        <v>0</v>
      </c>
      <c r="O64" s="439" t="str">
        <f t="shared" si="9"/>
        <v/>
      </c>
      <c r="P64" s="439" t="str">
        <f t="shared" si="10"/>
        <v/>
      </c>
      <c r="Q64" s="438">
        <f t="shared" si="11"/>
        <v>0</v>
      </c>
      <c r="R64" s="439" t="str">
        <f t="shared" si="12"/>
        <v/>
      </c>
      <c r="S64" s="439" t="str">
        <f t="shared" si="13"/>
        <v/>
      </c>
      <c r="T64" s="438">
        <f t="shared" si="14"/>
        <v>0</v>
      </c>
      <c r="U64" s="439" t="str">
        <f t="shared" si="15"/>
        <v/>
      </c>
      <c r="V64" s="439" t="str">
        <f t="shared" si="16"/>
        <v/>
      </c>
      <c r="W64" s="39" t="str">
        <f t="shared" si="17"/>
        <v/>
      </c>
      <c r="X64" s="355" t="str">
        <f t="shared" si="18"/>
        <v/>
      </c>
    </row>
    <row r="65" spans="2:203" s="305" customFormat="1" ht="27" customHeight="1" x14ac:dyDescent="0.25">
      <c r="B65" s="38">
        <f t="shared" si="0"/>
        <v>35</v>
      </c>
      <c r="C65" s="241" t="str">
        <f>'קיזוזים- החלטות ועדה'!C65</f>
        <v>אנסמבל מיתר</v>
      </c>
      <c r="D65" s="434">
        <f>IF($C65="","",'הגבלה לסכום מבוקש (1)'!D65)</f>
        <v>298738</v>
      </c>
      <c r="E65" s="434">
        <f>IF($C65="","",'קיזוזים בגין איחורים'!F65+'קיזוזים- החלטות ועדה'!E65)</f>
        <v>0</v>
      </c>
      <c r="F65" s="434">
        <f t="shared" si="1"/>
        <v>298738</v>
      </c>
      <c r="G65" s="434">
        <f>'קיזוזים- החלטות ועדה'!G65</f>
        <v>210804.2648913592</v>
      </c>
      <c r="H65" s="437">
        <f t="shared" si="2"/>
        <v>0</v>
      </c>
      <c r="I65" s="434">
        <f t="shared" si="3"/>
        <v>210804.2648913592</v>
      </c>
      <c r="J65" s="434">
        <f t="shared" si="4"/>
        <v>210804.26489135911</v>
      </c>
      <c r="K65" s="438">
        <f t="shared" si="5"/>
        <v>0</v>
      </c>
      <c r="L65" s="439">
        <f t="shared" si="6"/>
        <v>210804.26489135911</v>
      </c>
      <c r="M65" s="439">
        <f t="shared" si="7"/>
        <v>210804.26489135926</v>
      </c>
      <c r="N65" s="438">
        <f t="shared" si="8"/>
        <v>0</v>
      </c>
      <c r="O65" s="439">
        <f t="shared" si="9"/>
        <v>210804.26489135926</v>
      </c>
      <c r="P65" s="439">
        <f t="shared" si="10"/>
        <v>210804.26489135917</v>
      </c>
      <c r="Q65" s="438">
        <f t="shared" si="11"/>
        <v>0</v>
      </c>
      <c r="R65" s="439">
        <f t="shared" si="12"/>
        <v>210804.26489135917</v>
      </c>
      <c r="S65" s="439">
        <f t="shared" si="13"/>
        <v>210804.26489135926</v>
      </c>
      <c r="T65" s="438">
        <f t="shared" si="14"/>
        <v>0</v>
      </c>
      <c r="U65" s="439">
        <f t="shared" si="15"/>
        <v>210804.26489135926</v>
      </c>
      <c r="V65" s="439">
        <f t="shared" si="16"/>
        <v>210804.2648913592</v>
      </c>
      <c r="W65" s="39">
        <f t="shared" si="17"/>
        <v>210804.2648913592</v>
      </c>
      <c r="X65" s="355">
        <f t="shared" si="18"/>
        <v>6.8523770048033686E-2</v>
      </c>
    </row>
    <row r="66" spans="2:203" s="305" customFormat="1" ht="27" hidden="1" customHeight="1" x14ac:dyDescent="0.25">
      <c r="B66" s="38" t="str">
        <f t="shared" si="0"/>
        <v/>
      </c>
      <c r="C66" s="241" t="str">
        <f>'קיזוזים- החלטות ועדה'!C66</f>
        <v/>
      </c>
      <c r="D66" s="434" t="str">
        <f>IF($C66="","",'הגבלה לסכום מבוקש (1)'!D66)</f>
        <v/>
      </c>
      <c r="E66" s="434" t="str">
        <f>IF($C66="","",'קיזוזים בגין איחורים'!F66+'קיזוזים- החלטות ועדה'!E66)</f>
        <v/>
      </c>
      <c r="F66" s="434" t="str">
        <f t="shared" si="1"/>
        <v/>
      </c>
      <c r="G66" s="434" t="str">
        <f>'קיזוזים- החלטות ועדה'!G66</f>
        <v/>
      </c>
      <c r="H66" s="437" t="str">
        <f t="shared" si="2"/>
        <v/>
      </c>
      <c r="I66" s="434" t="str">
        <f t="shared" si="3"/>
        <v/>
      </c>
      <c r="J66" s="434" t="str">
        <f t="shared" si="4"/>
        <v/>
      </c>
      <c r="K66" s="438">
        <f t="shared" si="5"/>
        <v>0</v>
      </c>
      <c r="L66" s="439" t="str">
        <f t="shared" si="6"/>
        <v/>
      </c>
      <c r="M66" s="439" t="str">
        <f t="shared" si="7"/>
        <v/>
      </c>
      <c r="N66" s="438">
        <f t="shared" si="8"/>
        <v>0</v>
      </c>
      <c r="O66" s="439" t="str">
        <f t="shared" si="9"/>
        <v/>
      </c>
      <c r="P66" s="439" t="str">
        <f t="shared" si="10"/>
        <v/>
      </c>
      <c r="Q66" s="438">
        <f t="shared" si="11"/>
        <v>0</v>
      </c>
      <c r="R66" s="439" t="str">
        <f t="shared" si="12"/>
        <v/>
      </c>
      <c r="S66" s="439" t="str">
        <f t="shared" si="13"/>
        <v/>
      </c>
      <c r="T66" s="438">
        <f t="shared" si="14"/>
        <v>0</v>
      </c>
      <c r="U66" s="439" t="str">
        <f t="shared" si="15"/>
        <v/>
      </c>
      <c r="V66" s="439" t="str">
        <f t="shared" si="16"/>
        <v/>
      </c>
      <c r="W66" s="39" t="str">
        <f t="shared" si="17"/>
        <v/>
      </c>
      <c r="X66" s="355" t="str">
        <f t="shared" si="18"/>
        <v/>
      </c>
    </row>
    <row r="67" spans="2:203" s="305" customFormat="1" ht="27" customHeight="1" x14ac:dyDescent="0.25">
      <c r="B67" s="38">
        <f t="shared" si="0"/>
        <v>37</v>
      </c>
      <c r="C67" s="241" t="str">
        <f>'קיזוזים- החלטות ועדה'!C67</f>
        <v>אנסמבל ארז נטף</v>
      </c>
      <c r="D67" s="434">
        <f>IF($C67="","",'הגבלה לסכום מבוקש (1)'!D67)</f>
        <v>85000</v>
      </c>
      <c r="E67" s="434">
        <f>IF($C67="","",'קיזוזים בגין איחורים'!F67+'קיזוזים- החלטות ועדה'!E67)</f>
        <v>0</v>
      </c>
      <c r="F67" s="434">
        <f t="shared" si="1"/>
        <v>85000</v>
      </c>
      <c r="G67" s="434">
        <f>'קיזוזים- החלטות ועדה'!G67</f>
        <v>85000</v>
      </c>
      <c r="H67" s="437">
        <f t="shared" si="2"/>
        <v>0</v>
      </c>
      <c r="I67" s="434">
        <f t="shared" si="3"/>
        <v>85000</v>
      </c>
      <c r="J67" s="434">
        <f t="shared" si="4"/>
        <v>84999.999999999971</v>
      </c>
      <c r="K67" s="438">
        <f t="shared" si="5"/>
        <v>0</v>
      </c>
      <c r="L67" s="439">
        <f t="shared" si="6"/>
        <v>84999.999999999971</v>
      </c>
      <c r="M67" s="439">
        <f t="shared" si="7"/>
        <v>85000.000000000029</v>
      </c>
      <c r="N67" s="438">
        <f t="shared" si="8"/>
        <v>0</v>
      </c>
      <c r="O67" s="439">
        <f t="shared" si="9"/>
        <v>85000</v>
      </c>
      <c r="P67" s="439">
        <f t="shared" si="10"/>
        <v>84999.999999999956</v>
      </c>
      <c r="Q67" s="438">
        <f t="shared" si="11"/>
        <v>0</v>
      </c>
      <c r="R67" s="439">
        <f t="shared" si="12"/>
        <v>84999.999999999956</v>
      </c>
      <c r="S67" s="439">
        <f t="shared" si="13"/>
        <v>84999.999999999985</v>
      </c>
      <c r="T67" s="438">
        <f t="shared" si="14"/>
        <v>0</v>
      </c>
      <c r="U67" s="439">
        <f t="shared" si="15"/>
        <v>84999.999999999985</v>
      </c>
      <c r="V67" s="439">
        <f t="shared" si="16"/>
        <v>84999.999999999956</v>
      </c>
      <c r="W67" s="39">
        <f t="shared" si="17"/>
        <v>84999.999999999956</v>
      </c>
      <c r="X67" s="355">
        <f t="shared" si="18"/>
        <v>2.7629993430562733E-2</v>
      </c>
    </row>
    <row r="68" spans="2:203" s="305" customFormat="1" ht="27" hidden="1" customHeight="1" x14ac:dyDescent="0.25">
      <c r="B68" s="38" t="str">
        <f t="shared" si="0"/>
        <v/>
      </c>
      <c r="C68" s="241" t="str">
        <f>'קיזוזים- החלטות ועדה'!C68</f>
        <v/>
      </c>
      <c r="D68" s="434" t="str">
        <f>IF($C68="","",'הגבלה לסכום מבוקש (1)'!D68)</f>
        <v/>
      </c>
      <c r="E68" s="434" t="str">
        <f>IF($C68="","",'קיזוזים בגין איחורים'!F68+'קיזוזים- החלטות ועדה'!E68)</f>
        <v/>
      </c>
      <c r="F68" s="434" t="str">
        <f t="shared" si="1"/>
        <v/>
      </c>
      <c r="G68" s="434" t="str">
        <f>'קיזוזים- החלטות ועדה'!G68</f>
        <v/>
      </c>
      <c r="H68" s="437" t="str">
        <f t="shared" si="2"/>
        <v/>
      </c>
      <c r="I68" s="434" t="str">
        <f t="shared" si="3"/>
        <v/>
      </c>
      <c r="J68" s="434" t="str">
        <f t="shared" si="4"/>
        <v/>
      </c>
      <c r="K68" s="438">
        <f t="shared" si="5"/>
        <v>0</v>
      </c>
      <c r="L68" s="439" t="str">
        <f t="shared" si="6"/>
        <v/>
      </c>
      <c r="M68" s="439" t="str">
        <f t="shared" si="7"/>
        <v/>
      </c>
      <c r="N68" s="438">
        <f t="shared" si="8"/>
        <v>0</v>
      </c>
      <c r="O68" s="439" t="str">
        <f t="shared" si="9"/>
        <v/>
      </c>
      <c r="P68" s="439" t="str">
        <f t="shared" si="10"/>
        <v/>
      </c>
      <c r="Q68" s="438">
        <f t="shared" si="11"/>
        <v>0</v>
      </c>
      <c r="R68" s="439" t="str">
        <f t="shared" si="12"/>
        <v/>
      </c>
      <c r="S68" s="439" t="str">
        <f t="shared" si="13"/>
        <v/>
      </c>
      <c r="T68" s="438">
        <f t="shared" si="14"/>
        <v>0</v>
      </c>
      <c r="U68" s="439" t="str">
        <f t="shared" si="15"/>
        <v/>
      </c>
      <c r="V68" s="439" t="str">
        <f t="shared" si="16"/>
        <v/>
      </c>
      <c r="W68" s="39" t="str">
        <f t="shared" si="17"/>
        <v/>
      </c>
      <c r="X68" s="355" t="str">
        <f t="shared" si="18"/>
        <v/>
      </c>
    </row>
    <row r="69" spans="2:203" s="305" customFormat="1" ht="27" hidden="1" customHeight="1" x14ac:dyDescent="0.25">
      <c r="B69" s="38" t="str">
        <f t="shared" si="0"/>
        <v/>
      </c>
      <c r="C69" s="241" t="str">
        <f>'קיזוזים- החלטות ועדה'!C69</f>
        <v/>
      </c>
      <c r="D69" s="434" t="str">
        <f>IF($C69="","",'הגבלה לסכום מבוקש (1)'!D69)</f>
        <v/>
      </c>
      <c r="E69" s="434" t="str">
        <f>IF($C69="","",'קיזוזים בגין איחורים'!F69+'קיזוזים- החלטות ועדה'!E69)</f>
        <v/>
      </c>
      <c r="F69" s="434" t="str">
        <f t="shared" si="1"/>
        <v/>
      </c>
      <c r="G69" s="434" t="str">
        <f>'קיזוזים- החלטות ועדה'!G69</f>
        <v/>
      </c>
      <c r="H69" s="437" t="str">
        <f t="shared" si="2"/>
        <v/>
      </c>
      <c r="I69" s="434" t="str">
        <f t="shared" si="3"/>
        <v/>
      </c>
      <c r="J69" s="434" t="str">
        <f t="shared" si="4"/>
        <v/>
      </c>
      <c r="K69" s="438">
        <f t="shared" si="5"/>
        <v>0</v>
      </c>
      <c r="L69" s="439" t="str">
        <f t="shared" si="6"/>
        <v/>
      </c>
      <c r="M69" s="439" t="str">
        <f t="shared" si="7"/>
        <v/>
      </c>
      <c r="N69" s="438">
        <f t="shared" si="8"/>
        <v>0</v>
      </c>
      <c r="O69" s="439" t="str">
        <f t="shared" si="9"/>
        <v/>
      </c>
      <c r="P69" s="439" t="str">
        <f t="shared" si="10"/>
        <v/>
      </c>
      <c r="Q69" s="438">
        <f t="shared" si="11"/>
        <v>0</v>
      </c>
      <c r="R69" s="439" t="str">
        <f t="shared" si="12"/>
        <v/>
      </c>
      <c r="S69" s="439" t="str">
        <f t="shared" si="13"/>
        <v/>
      </c>
      <c r="T69" s="438">
        <f t="shared" si="14"/>
        <v>0</v>
      </c>
      <c r="U69" s="439" t="str">
        <f t="shared" si="15"/>
        <v/>
      </c>
      <c r="V69" s="439" t="str">
        <f t="shared" si="16"/>
        <v/>
      </c>
      <c r="W69" s="39" t="str">
        <f t="shared" si="17"/>
        <v/>
      </c>
      <c r="X69" s="355" t="str">
        <f t="shared" si="18"/>
        <v/>
      </c>
    </row>
    <row r="70" spans="2:203" s="305" customFormat="1" ht="27" customHeight="1" x14ac:dyDescent="0.25">
      <c r="B70" s="38">
        <f t="shared" si="0"/>
        <v>40</v>
      </c>
      <c r="C70" s="241" t="str">
        <f>'קיזוזים- החלטות ועדה'!C70</f>
        <v>תו המשווה (ע"ר)</v>
      </c>
      <c r="D70" s="434">
        <f>IF($C70="","",'הגבלה לסכום מבוקש (1)'!D70)</f>
        <v>400000</v>
      </c>
      <c r="E70" s="434">
        <f>IF($C70="","",'קיזוזים בגין איחורים'!F70+'קיזוזים- החלטות ועדה'!E70)</f>
        <v>0</v>
      </c>
      <c r="F70" s="434">
        <f t="shared" si="1"/>
        <v>400000</v>
      </c>
      <c r="G70" s="434">
        <f>'קיזוזים- החלטות ועדה'!G70</f>
        <v>114404.20944372902</v>
      </c>
      <c r="H70" s="437">
        <f t="shared" si="2"/>
        <v>0</v>
      </c>
      <c r="I70" s="434">
        <f t="shared" si="3"/>
        <v>114404.20944372902</v>
      </c>
      <c r="J70" s="434">
        <f t="shared" si="4"/>
        <v>114404.20944372898</v>
      </c>
      <c r="K70" s="438">
        <f t="shared" si="5"/>
        <v>0</v>
      </c>
      <c r="L70" s="439">
        <f t="shared" si="6"/>
        <v>114404.20944372898</v>
      </c>
      <c r="M70" s="439">
        <f t="shared" si="7"/>
        <v>114404.20944372905</v>
      </c>
      <c r="N70" s="438">
        <f t="shared" si="8"/>
        <v>0</v>
      </c>
      <c r="O70" s="439">
        <f t="shared" si="9"/>
        <v>114404.20944372905</v>
      </c>
      <c r="P70" s="439">
        <f t="shared" si="10"/>
        <v>114404.20944372901</v>
      </c>
      <c r="Q70" s="438">
        <f t="shared" si="11"/>
        <v>0</v>
      </c>
      <c r="R70" s="439">
        <f t="shared" si="12"/>
        <v>114404.20944372901</v>
      </c>
      <c r="S70" s="439">
        <f t="shared" si="13"/>
        <v>114404.20944372905</v>
      </c>
      <c r="T70" s="438">
        <f t="shared" si="14"/>
        <v>0</v>
      </c>
      <c r="U70" s="439">
        <f t="shared" si="15"/>
        <v>114404.20944372905</v>
      </c>
      <c r="V70" s="439">
        <f t="shared" si="16"/>
        <v>114404.20944372902</v>
      </c>
      <c r="W70" s="39">
        <f t="shared" si="17"/>
        <v>114404.20944372902</v>
      </c>
      <c r="X70" s="355">
        <f t="shared" si="18"/>
        <v>3.7188088886575967E-2</v>
      </c>
    </row>
    <row r="71" spans="2:203" s="305" customFormat="1" ht="27" hidden="1" customHeight="1" x14ac:dyDescent="0.25">
      <c r="B71" s="38" t="str">
        <f t="shared" si="0"/>
        <v/>
      </c>
      <c r="C71" s="241" t="str">
        <f>'קיזוזים- החלטות ועדה'!C71</f>
        <v/>
      </c>
      <c r="D71" s="434" t="str">
        <f>IF($C71="","",'הגבלה לסכום מבוקש (1)'!D71)</f>
        <v/>
      </c>
      <c r="E71" s="434" t="str">
        <f>IF($C71="","",'קיזוזים בגין איחורים'!F71+'קיזוזים- החלטות ועדה'!E71)</f>
        <v/>
      </c>
      <c r="F71" s="434" t="str">
        <f t="shared" si="1"/>
        <v/>
      </c>
      <c r="G71" s="434" t="str">
        <f>'קיזוזים- החלטות ועדה'!G71</f>
        <v/>
      </c>
      <c r="H71" s="437" t="str">
        <f t="shared" si="2"/>
        <v/>
      </c>
      <c r="I71" s="434" t="str">
        <f t="shared" si="3"/>
        <v/>
      </c>
      <c r="J71" s="434" t="str">
        <f t="shared" si="4"/>
        <v/>
      </c>
      <c r="K71" s="438">
        <f t="shared" si="5"/>
        <v>0</v>
      </c>
      <c r="L71" s="439" t="str">
        <f t="shared" si="6"/>
        <v/>
      </c>
      <c r="M71" s="439" t="str">
        <f t="shared" si="7"/>
        <v/>
      </c>
      <c r="N71" s="438">
        <f t="shared" si="8"/>
        <v>0</v>
      </c>
      <c r="O71" s="439" t="str">
        <f t="shared" si="9"/>
        <v/>
      </c>
      <c r="P71" s="439" t="str">
        <f t="shared" si="10"/>
        <v/>
      </c>
      <c r="Q71" s="438">
        <f t="shared" si="11"/>
        <v>0</v>
      </c>
      <c r="R71" s="439" t="str">
        <f t="shared" si="12"/>
        <v/>
      </c>
      <c r="S71" s="439" t="str">
        <f t="shared" si="13"/>
        <v/>
      </c>
      <c r="T71" s="438">
        <f t="shared" si="14"/>
        <v>0</v>
      </c>
      <c r="U71" s="439" t="str">
        <f t="shared" si="15"/>
        <v/>
      </c>
      <c r="V71" s="439" t="str">
        <f t="shared" si="16"/>
        <v/>
      </c>
      <c r="W71" s="39" t="str">
        <f t="shared" si="17"/>
        <v/>
      </c>
      <c r="X71" s="355" t="str">
        <f t="shared" si="18"/>
        <v/>
      </c>
    </row>
    <row r="72" spans="2:203" s="305" customFormat="1" ht="27" hidden="1" customHeight="1" x14ac:dyDescent="0.25">
      <c r="B72" s="38" t="str">
        <f t="shared" si="0"/>
        <v/>
      </c>
      <c r="C72" s="241" t="str">
        <f>'קיזוזים- החלטות ועדה'!C72</f>
        <v/>
      </c>
      <c r="D72" s="434" t="str">
        <f>IF($C72="","",'הגבלה לסכום מבוקש (1)'!D72)</f>
        <v/>
      </c>
      <c r="E72" s="434" t="str">
        <f>IF($C72="","",'קיזוזים בגין איחורים'!F72+'קיזוזים- החלטות ועדה'!E72)</f>
        <v/>
      </c>
      <c r="F72" s="434" t="str">
        <f t="shared" si="1"/>
        <v/>
      </c>
      <c r="G72" s="434" t="str">
        <f>'קיזוזים- החלטות ועדה'!G72</f>
        <v/>
      </c>
      <c r="H72" s="437" t="str">
        <f t="shared" si="2"/>
        <v/>
      </c>
      <c r="I72" s="434" t="str">
        <f t="shared" si="3"/>
        <v/>
      </c>
      <c r="J72" s="434" t="str">
        <f t="shared" si="4"/>
        <v/>
      </c>
      <c r="K72" s="438">
        <f t="shared" si="5"/>
        <v>0</v>
      </c>
      <c r="L72" s="439" t="str">
        <f t="shared" si="6"/>
        <v/>
      </c>
      <c r="M72" s="439" t="str">
        <f t="shared" si="7"/>
        <v/>
      </c>
      <c r="N72" s="438">
        <f t="shared" si="8"/>
        <v>0</v>
      </c>
      <c r="O72" s="439" t="str">
        <f t="shared" si="9"/>
        <v/>
      </c>
      <c r="P72" s="439" t="str">
        <f t="shared" si="10"/>
        <v/>
      </c>
      <c r="Q72" s="438">
        <f t="shared" si="11"/>
        <v>0</v>
      </c>
      <c r="R72" s="439" t="str">
        <f t="shared" si="12"/>
        <v/>
      </c>
      <c r="S72" s="439" t="str">
        <f t="shared" si="13"/>
        <v/>
      </c>
      <c r="T72" s="438">
        <f t="shared" si="14"/>
        <v>0</v>
      </c>
      <c r="U72" s="439" t="str">
        <f t="shared" si="15"/>
        <v/>
      </c>
      <c r="V72" s="439" t="str">
        <f t="shared" si="16"/>
        <v/>
      </c>
      <c r="W72" s="39" t="str">
        <f t="shared" si="17"/>
        <v/>
      </c>
      <c r="X72" s="355" t="str">
        <f t="shared" si="18"/>
        <v/>
      </c>
    </row>
    <row r="73" spans="2:203" s="305" customFormat="1" ht="27" customHeight="1" x14ac:dyDescent="0.25">
      <c r="B73" s="38">
        <f t="shared" si="0"/>
        <v>43</v>
      </c>
      <c r="C73" s="241" t="str">
        <f>'קיזוזים- החלטות ועדה'!C73</f>
        <v>בר קיימא ואקלקוטנטקט</v>
      </c>
      <c r="D73" s="434">
        <f>IF($C73="","",'הגבלה לסכום מבוקש (1)'!D73)</f>
        <v>200000</v>
      </c>
      <c r="E73" s="434">
        <f>IF($C73="","",'קיזוזים בגין איחורים'!F73+'קיזוזים- החלטות ועדה'!E73)</f>
        <v>0</v>
      </c>
      <c r="F73" s="434">
        <f t="shared" si="1"/>
        <v>200000</v>
      </c>
      <c r="G73" s="434">
        <f>'קיזוזים- החלטות ועדה'!G73</f>
        <v>134079.05030349543</v>
      </c>
      <c r="H73" s="437">
        <f t="shared" si="2"/>
        <v>0</v>
      </c>
      <c r="I73" s="434">
        <f t="shared" si="3"/>
        <v>134079.05030349543</v>
      </c>
      <c r="J73" s="434">
        <f t="shared" si="4"/>
        <v>134079.05030349537</v>
      </c>
      <c r="K73" s="438">
        <f t="shared" si="5"/>
        <v>0</v>
      </c>
      <c r="L73" s="439">
        <f t="shared" si="6"/>
        <v>134079.05030349537</v>
      </c>
      <c r="M73" s="439">
        <f t="shared" si="7"/>
        <v>134079.05030349546</v>
      </c>
      <c r="N73" s="438">
        <f t="shared" si="8"/>
        <v>0</v>
      </c>
      <c r="O73" s="439">
        <f t="shared" si="9"/>
        <v>134079.05030349546</v>
      </c>
      <c r="P73" s="439">
        <f t="shared" si="10"/>
        <v>134079.0503034954</v>
      </c>
      <c r="Q73" s="438">
        <f t="shared" si="11"/>
        <v>0</v>
      </c>
      <c r="R73" s="439">
        <f t="shared" si="12"/>
        <v>134079.0503034954</v>
      </c>
      <c r="S73" s="439">
        <f t="shared" si="13"/>
        <v>134079.05030349546</v>
      </c>
      <c r="T73" s="438">
        <f t="shared" si="14"/>
        <v>0</v>
      </c>
      <c r="U73" s="439">
        <f t="shared" si="15"/>
        <v>134079.05030349546</v>
      </c>
      <c r="V73" s="439">
        <f t="shared" si="16"/>
        <v>134079.05030349543</v>
      </c>
      <c r="W73" s="39">
        <f t="shared" si="17"/>
        <v>134079.05030349543</v>
      </c>
      <c r="X73" s="355">
        <f t="shared" si="18"/>
        <v>4.3583567988960834E-2</v>
      </c>
    </row>
    <row r="74" spans="2:203" s="305" customFormat="1" ht="27" hidden="1" customHeight="1" x14ac:dyDescent="0.25">
      <c r="B74" s="38" t="str">
        <f t="shared" si="0"/>
        <v/>
      </c>
      <c r="C74" s="241" t="str">
        <f>'קיזוזים- החלטות ועדה'!C74</f>
        <v/>
      </c>
      <c r="D74" s="434" t="str">
        <f>IF($C74="","",'הגבלה לסכום מבוקש (1)'!D74)</f>
        <v/>
      </c>
      <c r="E74" s="434" t="str">
        <f>IF($C74="","",'קיזוזים בגין איחורים'!F74+'קיזוזים- החלטות ועדה'!E74)</f>
        <v/>
      </c>
      <c r="F74" s="434" t="str">
        <f t="shared" si="1"/>
        <v/>
      </c>
      <c r="G74" s="434" t="str">
        <f>'קיזוזים- החלטות ועדה'!G74</f>
        <v/>
      </c>
      <c r="H74" s="437" t="str">
        <f t="shared" si="2"/>
        <v/>
      </c>
      <c r="I74" s="434" t="str">
        <f t="shared" si="3"/>
        <v/>
      </c>
      <c r="J74" s="434" t="str">
        <f t="shared" si="4"/>
        <v/>
      </c>
      <c r="K74" s="438">
        <f t="shared" si="5"/>
        <v>0</v>
      </c>
      <c r="L74" s="439" t="str">
        <f t="shared" si="6"/>
        <v/>
      </c>
      <c r="M74" s="439" t="str">
        <f t="shared" si="7"/>
        <v/>
      </c>
      <c r="N74" s="438">
        <f t="shared" si="8"/>
        <v>0</v>
      </c>
      <c r="O74" s="439" t="str">
        <f t="shared" si="9"/>
        <v/>
      </c>
      <c r="P74" s="439" t="str">
        <f t="shared" si="10"/>
        <v/>
      </c>
      <c r="Q74" s="438">
        <f t="shared" si="11"/>
        <v>0</v>
      </c>
      <c r="R74" s="439" t="str">
        <f t="shared" si="12"/>
        <v/>
      </c>
      <c r="S74" s="439" t="str">
        <f t="shared" si="13"/>
        <v/>
      </c>
      <c r="T74" s="438">
        <f t="shared" si="14"/>
        <v>0</v>
      </c>
      <c r="U74" s="439" t="str">
        <f t="shared" si="15"/>
        <v/>
      </c>
      <c r="V74" s="439" t="str">
        <f t="shared" si="16"/>
        <v/>
      </c>
      <c r="W74" s="39" t="str">
        <f t="shared" si="17"/>
        <v/>
      </c>
      <c r="X74" s="355" t="str">
        <f t="shared" si="18"/>
        <v/>
      </c>
    </row>
    <row r="75" spans="2:203" s="305" customFormat="1" ht="27" customHeight="1" x14ac:dyDescent="0.25">
      <c r="B75" s="38">
        <f t="shared" si="0"/>
        <v>45</v>
      </c>
      <c r="C75" s="241" t="str">
        <f>'קיזוזים- החלטות ועדה'!C75</f>
        <v>אלקאת התזמורת התימנית</v>
      </c>
      <c r="D75" s="434">
        <f>IF($C75="","",'הגבלה לסכום מבוקש (1)'!D75)</f>
        <v>500000</v>
      </c>
      <c r="E75" s="434">
        <f>IF($C75="","",'קיזוזים בגין איחורים'!F75+'קיזוזים- החלטות ועדה'!E75)</f>
        <v>0</v>
      </c>
      <c r="F75" s="434">
        <f t="shared" si="1"/>
        <v>500000</v>
      </c>
      <c r="G75" s="434">
        <f>'קיזוזים- החלטות ועדה'!G75</f>
        <v>71593.155601257778</v>
      </c>
      <c r="H75" s="437">
        <f t="shared" si="2"/>
        <v>0</v>
      </c>
      <c r="I75" s="434">
        <f t="shared" si="3"/>
        <v>71593.155601257778</v>
      </c>
      <c r="J75" s="434">
        <f t="shared" si="4"/>
        <v>71593.155601257749</v>
      </c>
      <c r="K75" s="438">
        <f t="shared" si="5"/>
        <v>0</v>
      </c>
      <c r="L75" s="439">
        <f t="shared" si="6"/>
        <v>71593.155601257749</v>
      </c>
      <c r="M75" s="439">
        <f t="shared" si="7"/>
        <v>71593.155601257793</v>
      </c>
      <c r="N75" s="438">
        <f t="shared" si="8"/>
        <v>0</v>
      </c>
      <c r="O75" s="439">
        <f t="shared" si="9"/>
        <v>71593.155601257793</v>
      </c>
      <c r="P75" s="439">
        <f t="shared" si="10"/>
        <v>71593.155601257749</v>
      </c>
      <c r="Q75" s="438">
        <f t="shared" si="11"/>
        <v>0</v>
      </c>
      <c r="R75" s="439">
        <f t="shared" si="12"/>
        <v>71593.155601257749</v>
      </c>
      <c r="S75" s="439">
        <f t="shared" si="13"/>
        <v>71593.155601257764</v>
      </c>
      <c r="T75" s="438">
        <f t="shared" si="14"/>
        <v>0</v>
      </c>
      <c r="U75" s="439">
        <f t="shared" si="15"/>
        <v>71593.155601257764</v>
      </c>
      <c r="V75" s="439">
        <f t="shared" si="16"/>
        <v>71593.155601257749</v>
      </c>
      <c r="W75" s="39">
        <f t="shared" si="17"/>
        <v>71593.155601257749</v>
      </c>
      <c r="X75" s="355">
        <f t="shared" si="18"/>
        <v>2.3271981399247153E-2</v>
      </c>
    </row>
    <row r="76" spans="2:203" ht="27" hidden="1" customHeight="1" x14ac:dyDescent="0.25">
      <c r="B76" s="38" t="str">
        <f t="shared" si="0"/>
        <v/>
      </c>
      <c r="C76" s="241" t="str">
        <f>'קיזוזים- החלטות ועדה'!C76</f>
        <v/>
      </c>
      <c r="D76" s="434" t="str">
        <f>IF($C76="","",'הגבלה לסכום מבוקש (1)'!D76)</f>
        <v/>
      </c>
      <c r="E76" s="434" t="str">
        <f>IF($C76="","",'קיזוזים בגין איחורים'!F76+'קיזוזים- החלטות ועדה'!E76)</f>
        <v/>
      </c>
      <c r="F76" s="434" t="str">
        <f t="shared" si="1"/>
        <v/>
      </c>
      <c r="G76" s="434" t="str">
        <f>'קיזוזים- החלטות ועדה'!G76</f>
        <v/>
      </c>
      <c r="H76" s="437" t="str">
        <f t="shared" si="2"/>
        <v/>
      </c>
      <c r="I76" s="434" t="str">
        <f t="shared" si="3"/>
        <v/>
      </c>
      <c r="J76" s="434" t="str">
        <f t="shared" si="4"/>
        <v/>
      </c>
      <c r="K76" s="438">
        <f t="shared" si="5"/>
        <v>0</v>
      </c>
      <c r="L76" s="439" t="str">
        <f t="shared" si="6"/>
        <v/>
      </c>
      <c r="M76" s="439" t="str">
        <f t="shared" si="7"/>
        <v/>
      </c>
      <c r="N76" s="438">
        <f t="shared" si="8"/>
        <v>0</v>
      </c>
      <c r="O76" s="439" t="str">
        <f t="shared" si="9"/>
        <v/>
      </c>
      <c r="P76" s="439" t="str">
        <f t="shared" si="10"/>
        <v/>
      </c>
      <c r="Q76" s="438">
        <f t="shared" si="11"/>
        <v>0</v>
      </c>
      <c r="R76" s="439" t="str">
        <f t="shared" si="12"/>
        <v/>
      </c>
      <c r="S76" s="439" t="str">
        <f t="shared" si="13"/>
        <v/>
      </c>
      <c r="T76" s="438">
        <f t="shared" si="14"/>
        <v>0</v>
      </c>
      <c r="U76" s="439" t="str">
        <f t="shared" si="15"/>
        <v/>
      </c>
      <c r="V76" s="439" t="str">
        <f t="shared" si="16"/>
        <v/>
      </c>
      <c r="W76" s="39" t="str">
        <f t="shared" si="17"/>
        <v/>
      </c>
      <c r="X76" s="355" t="str">
        <f t="shared" si="18"/>
        <v/>
      </c>
      <c r="GU76" s="305"/>
    </row>
    <row r="77" spans="2:203" ht="27" hidden="1" customHeight="1" x14ac:dyDescent="0.25">
      <c r="B77" s="38" t="str">
        <f t="shared" si="0"/>
        <v/>
      </c>
      <c r="C77" s="241" t="str">
        <f>'קיזוזים- החלטות ועדה'!C77</f>
        <v/>
      </c>
      <c r="D77" s="434" t="str">
        <f>IF($C77="","",'הגבלה לסכום מבוקש (1)'!D77)</f>
        <v/>
      </c>
      <c r="E77" s="434" t="str">
        <f>IF($C77="","",'קיזוזים בגין איחורים'!F77+'קיזוזים- החלטות ועדה'!E77)</f>
        <v/>
      </c>
      <c r="F77" s="434" t="str">
        <f t="shared" si="1"/>
        <v/>
      </c>
      <c r="G77" s="434" t="str">
        <f>'קיזוזים- החלטות ועדה'!G77</f>
        <v/>
      </c>
      <c r="H77" s="437" t="str">
        <f t="shared" si="2"/>
        <v/>
      </c>
      <c r="I77" s="434" t="str">
        <f t="shared" si="3"/>
        <v/>
      </c>
      <c r="J77" s="434" t="str">
        <f t="shared" si="4"/>
        <v/>
      </c>
      <c r="K77" s="438">
        <f t="shared" si="5"/>
        <v>0</v>
      </c>
      <c r="L77" s="439" t="str">
        <f t="shared" si="6"/>
        <v/>
      </c>
      <c r="M77" s="439" t="str">
        <f t="shared" si="7"/>
        <v/>
      </c>
      <c r="N77" s="438">
        <f t="shared" si="8"/>
        <v>0</v>
      </c>
      <c r="O77" s="439" t="str">
        <f t="shared" si="9"/>
        <v/>
      </c>
      <c r="P77" s="439" t="str">
        <f t="shared" si="10"/>
        <v/>
      </c>
      <c r="Q77" s="438">
        <f t="shared" si="11"/>
        <v>0</v>
      </c>
      <c r="R77" s="439" t="str">
        <f t="shared" si="12"/>
        <v/>
      </c>
      <c r="S77" s="439" t="str">
        <f t="shared" si="13"/>
        <v/>
      </c>
      <c r="T77" s="438">
        <f t="shared" si="14"/>
        <v>0</v>
      </c>
      <c r="U77" s="439" t="str">
        <f t="shared" si="15"/>
        <v/>
      </c>
      <c r="V77" s="439" t="str">
        <f t="shared" si="16"/>
        <v/>
      </c>
      <c r="W77" s="39" t="str">
        <f t="shared" si="17"/>
        <v/>
      </c>
      <c r="X77" s="355" t="str">
        <f t="shared" si="18"/>
        <v/>
      </c>
      <c r="GU77" s="305"/>
    </row>
    <row r="78" spans="2:203" ht="27" customHeight="1" x14ac:dyDescent="0.25">
      <c r="B78" s="38">
        <f t="shared" si="0"/>
        <v>48</v>
      </c>
      <c r="C78" s="241" t="str">
        <f>'קיזוזים- החלטות ועדה'!C78</f>
        <v>גיא מינטוס- טריו</v>
      </c>
      <c r="D78" s="434">
        <f>IF($C78="","",'הגבלה לסכום מבוקש (1)'!D78)</f>
        <v>85000</v>
      </c>
      <c r="E78" s="434">
        <f>IF($C78="","",'קיזוזים בגין איחורים'!F78+'קיזוזים- החלטות ועדה'!E78)</f>
        <v>0</v>
      </c>
      <c r="F78" s="434">
        <f t="shared" si="1"/>
        <v>85000</v>
      </c>
      <c r="G78" s="434">
        <f>'קיזוזים- החלטות ועדה'!G78</f>
        <v>85000</v>
      </c>
      <c r="H78" s="437">
        <f t="shared" si="2"/>
        <v>0</v>
      </c>
      <c r="I78" s="434">
        <f t="shared" si="3"/>
        <v>85000</v>
      </c>
      <c r="J78" s="434">
        <f t="shared" si="4"/>
        <v>84999.999999999971</v>
      </c>
      <c r="K78" s="438">
        <f t="shared" si="5"/>
        <v>0</v>
      </c>
      <c r="L78" s="439">
        <f t="shared" si="6"/>
        <v>84999.999999999971</v>
      </c>
      <c r="M78" s="439">
        <f t="shared" si="7"/>
        <v>85000.000000000029</v>
      </c>
      <c r="N78" s="438">
        <f t="shared" si="8"/>
        <v>0</v>
      </c>
      <c r="O78" s="439">
        <f t="shared" si="9"/>
        <v>85000</v>
      </c>
      <c r="P78" s="439">
        <f t="shared" si="10"/>
        <v>84999.999999999956</v>
      </c>
      <c r="Q78" s="438">
        <f t="shared" si="11"/>
        <v>0</v>
      </c>
      <c r="R78" s="439">
        <f t="shared" si="12"/>
        <v>84999.999999999956</v>
      </c>
      <c r="S78" s="439">
        <f t="shared" si="13"/>
        <v>84999.999999999985</v>
      </c>
      <c r="T78" s="438">
        <f t="shared" si="14"/>
        <v>0</v>
      </c>
      <c r="U78" s="439">
        <f t="shared" si="15"/>
        <v>84999.999999999985</v>
      </c>
      <c r="V78" s="439">
        <f t="shared" si="16"/>
        <v>84999.999999999956</v>
      </c>
      <c r="W78" s="39">
        <f t="shared" si="17"/>
        <v>84999.999999999956</v>
      </c>
      <c r="X78" s="355">
        <f t="shared" si="18"/>
        <v>2.7629993430562733E-2</v>
      </c>
      <c r="GU78" s="305"/>
    </row>
    <row r="79" spans="2:203" ht="27" hidden="1" customHeight="1" x14ac:dyDescent="0.25">
      <c r="B79" s="38" t="str">
        <f t="shared" si="0"/>
        <v/>
      </c>
      <c r="C79" s="241" t="str">
        <f>'קיזוזים- החלטות ועדה'!C79</f>
        <v/>
      </c>
      <c r="D79" s="434" t="str">
        <f>IF($C79="","",'הגבלה לסכום מבוקש (1)'!D79)</f>
        <v/>
      </c>
      <c r="E79" s="434" t="str">
        <f>IF($C79="","",'קיזוזים בגין איחורים'!F79+'קיזוזים- החלטות ועדה'!E79)</f>
        <v/>
      </c>
      <c r="F79" s="434" t="str">
        <f t="shared" si="1"/>
        <v/>
      </c>
      <c r="G79" s="434" t="str">
        <f>'קיזוזים- החלטות ועדה'!G79</f>
        <v/>
      </c>
      <c r="H79" s="437" t="str">
        <f t="shared" si="2"/>
        <v/>
      </c>
      <c r="I79" s="434" t="str">
        <f t="shared" si="3"/>
        <v/>
      </c>
      <c r="J79" s="434" t="str">
        <f t="shared" si="4"/>
        <v/>
      </c>
      <c r="K79" s="438">
        <f t="shared" si="5"/>
        <v>0</v>
      </c>
      <c r="L79" s="439" t="str">
        <f t="shared" si="6"/>
        <v/>
      </c>
      <c r="M79" s="439" t="str">
        <f t="shared" si="7"/>
        <v/>
      </c>
      <c r="N79" s="438">
        <f t="shared" si="8"/>
        <v>0</v>
      </c>
      <c r="O79" s="439" t="str">
        <f t="shared" si="9"/>
        <v/>
      </c>
      <c r="P79" s="439" t="str">
        <f t="shared" si="10"/>
        <v/>
      </c>
      <c r="Q79" s="438">
        <f t="shared" si="11"/>
        <v>0</v>
      </c>
      <c r="R79" s="439" t="str">
        <f t="shared" si="12"/>
        <v/>
      </c>
      <c r="S79" s="439" t="str">
        <f t="shared" si="13"/>
        <v/>
      </c>
      <c r="T79" s="438">
        <f t="shared" si="14"/>
        <v>0</v>
      </c>
      <c r="U79" s="439" t="str">
        <f t="shared" si="15"/>
        <v/>
      </c>
      <c r="V79" s="439" t="str">
        <f t="shared" si="16"/>
        <v/>
      </c>
      <c r="W79" s="39" t="str">
        <f t="shared" si="17"/>
        <v/>
      </c>
      <c r="X79" s="355" t="str">
        <f t="shared" si="18"/>
        <v/>
      </c>
      <c r="GU79" s="305"/>
    </row>
    <row r="80" spans="2:203" ht="27" hidden="1" customHeight="1" x14ac:dyDescent="0.25">
      <c r="B80" s="38" t="str">
        <f t="shared" si="0"/>
        <v/>
      </c>
      <c r="C80" s="241" t="str">
        <f>'קיזוזים- החלטות ועדה'!C80</f>
        <v/>
      </c>
      <c r="D80" s="434" t="str">
        <f>IF($C80="","",'הגבלה לסכום מבוקש (1)'!D80)</f>
        <v/>
      </c>
      <c r="E80" s="434" t="str">
        <f>IF($C80="","",'קיזוזים בגין איחורים'!F80+'קיזוזים- החלטות ועדה'!E80)</f>
        <v/>
      </c>
      <c r="F80" s="434" t="str">
        <f t="shared" si="1"/>
        <v/>
      </c>
      <c r="G80" s="434" t="str">
        <f>'קיזוזים- החלטות ועדה'!G80</f>
        <v/>
      </c>
      <c r="H80" s="437" t="str">
        <f t="shared" si="2"/>
        <v/>
      </c>
      <c r="I80" s="434" t="str">
        <f t="shared" si="3"/>
        <v/>
      </c>
      <c r="J80" s="434" t="str">
        <f t="shared" si="4"/>
        <v/>
      </c>
      <c r="K80" s="438">
        <f t="shared" si="5"/>
        <v>0</v>
      </c>
      <c r="L80" s="439" t="str">
        <f t="shared" si="6"/>
        <v/>
      </c>
      <c r="M80" s="439" t="str">
        <f t="shared" si="7"/>
        <v/>
      </c>
      <c r="N80" s="438">
        <f t="shared" si="8"/>
        <v>0</v>
      </c>
      <c r="O80" s="439" t="str">
        <f t="shared" si="9"/>
        <v/>
      </c>
      <c r="P80" s="439" t="str">
        <f t="shared" si="10"/>
        <v/>
      </c>
      <c r="Q80" s="438">
        <f t="shared" si="11"/>
        <v>0</v>
      </c>
      <c r="R80" s="439" t="str">
        <f t="shared" si="12"/>
        <v/>
      </c>
      <c r="S80" s="439" t="str">
        <f t="shared" si="13"/>
        <v/>
      </c>
      <c r="T80" s="438">
        <f t="shared" si="14"/>
        <v>0</v>
      </c>
      <c r="U80" s="439" t="str">
        <f t="shared" si="15"/>
        <v/>
      </c>
      <c r="V80" s="439" t="str">
        <f t="shared" si="16"/>
        <v/>
      </c>
      <c r="W80" s="39" t="str">
        <f t="shared" si="17"/>
        <v/>
      </c>
      <c r="X80" s="355" t="str">
        <f t="shared" si="18"/>
        <v/>
      </c>
      <c r="GU80" s="305"/>
    </row>
    <row r="81" spans="2:203" ht="27" hidden="1" customHeight="1" x14ac:dyDescent="0.25">
      <c r="B81" s="38" t="str">
        <f t="shared" si="0"/>
        <v/>
      </c>
      <c r="C81" s="241" t="str">
        <f>'קיזוזים- החלטות ועדה'!C81</f>
        <v/>
      </c>
      <c r="D81" s="434" t="str">
        <f>IF($C81="","",'הגבלה לסכום מבוקש (1)'!D81)</f>
        <v/>
      </c>
      <c r="E81" s="434" t="str">
        <f>IF($C81="","",'קיזוזים בגין איחורים'!F81+'קיזוזים- החלטות ועדה'!E81)</f>
        <v/>
      </c>
      <c r="F81" s="434" t="str">
        <f t="shared" si="1"/>
        <v/>
      </c>
      <c r="G81" s="434" t="str">
        <f>'קיזוזים- החלטות ועדה'!G81</f>
        <v/>
      </c>
      <c r="H81" s="437" t="str">
        <f t="shared" si="2"/>
        <v/>
      </c>
      <c r="I81" s="434" t="str">
        <f t="shared" si="3"/>
        <v/>
      </c>
      <c r="J81" s="434" t="str">
        <f t="shared" si="4"/>
        <v/>
      </c>
      <c r="K81" s="438">
        <f t="shared" si="5"/>
        <v>0</v>
      </c>
      <c r="L81" s="439" t="str">
        <f t="shared" si="6"/>
        <v/>
      </c>
      <c r="M81" s="439" t="str">
        <f t="shared" si="7"/>
        <v/>
      </c>
      <c r="N81" s="438">
        <f t="shared" si="8"/>
        <v>0</v>
      </c>
      <c r="O81" s="439" t="str">
        <f t="shared" si="9"/>
        <v/>
      </c>
      <c r="P81" s="439" t="str">
        <f t="shared" si="10"/>
        <v/>
      </c>
      <c r="Q81" s="438">
        <f t="shared" si="11"/>
        <v>0</v>
      </c>
      <c r="R81" s="439" t="str">
        <f t="shared" si="12"/>
        <v/>
      </c>
      <c r="S81" s="439" t="str">
        <f t="shared" si="13"/>
        <v/>
      </c>
      <c r="T81" s="438">
        <f t="shared" si="14"/>
        <v>0</v>
      </c>
      <c r="U81" s="439" t="str">
        <f t="shared" si="15"/>
        <v/>
      </c>
      <c r="V81" s="439" t="str">
        <f t="shared" si="16"/>
        <v/>
      </c>
      <c r="W81" s="39" t="str">
        <f t="shared" si="17"/>
        <v/>
      </c>
      <c r="X81" s="355" t="str">
        <f t="shared" si="18"/>
        <v/>
      </c>
      <c r="GU81" s="305"/>
    </row>
    <row r="82" spans="2:203" ht="27" customHeight="1" x14ac:dyDescent="0.25">
      <c r="B82" s="38">
        <f t="shared" si="0"/>
        <v>52</v>
      </c>
      <c r="C82" s="241" t="str">
        <f>'קיזוזים- החלטות ועדה'!C82</f>
        <v xml:space="preserve">פולקעס - בר-קיימא לתרבות </v>
      </c>
      <c r="D82" s="434">
        <f>IF($C82="","",'הגבלה לסכום מבוקש (1)'!D82)</f>
        <v>250000</v>
      </c>
      <c r="E82" s="434">
        <f>IF($C82="","",'קיזוזים בגין איחורים'!F82+'קיזוזים- החלטות ועדה'!E82)</f>
        <v>0</v>
      </c>
      <c r="F82" s="434">
        <f t="shared" si="1"/>
        <v>250000</v>
      </c>
      <c r="G82" s="434">
        <f>'קיזוזים- החלטות ועדה'!G82</f>
        <v>138814.93741556921</v>
      </c>
      <c r="H82" s="437">
        <f t="shared" si="2"/>
        <v>0</v>
      </c>
      <c r="I82" s="434">
        <f t="shared" si="3"/>
        <v>138814.93741556921</v>
      </c>
      <c r="J82" s="434">
        <f t="shared" si="4"/>
        <v>138814.93741556918</v>
      </c>
      <c r="K82" s="438">
        <f t="shared" si="5"/>
        <v>0</v>
      </c>
      <c r="L82" s="439">
        <f t="shared" si="6"/>
        <v>138814.93741556918</v>
      </c>
      <c r="M82" s="439">
        <f t="shared" si="7"/>
        <v>138814.93741556926</v>
      </c>
      <c r="N82" s="438">
        <f t="shared" si="8"/>
        <v>0</v>
      </c>
      <c r="O82" s="439">
        <f t="shared" si="9"/>
        <v>138814.93741556926</v>
      </c>
      <c r="P82" s="439">
        <f t="shared" si="10"/>
        <v>138814.93741556921</v>
      </c>
      <c r="Q82" s="438">
        <f t="shared" si="11"/>
        <v>0</v>
      </c>
      <c r="R82" s="439">
        <f t="shared" si="12"/>
        <v>138814.93741556921</v>
      </c>
      <c r="S82" s="439">
        <f t="shared" si="13"/>
        <v>138814.93741556926</v>
      </c>
      <c r="T82" s="438">
        <f t="shared" si="14"/>
        <v>0</v>
      </c>
      <c r="U82" s="439">
        <f t="shared" si="15"/>
        <v>138814.93741556926</v>
      </c>
      <c r="V82" s="439">
        <f t="shared" si="16"/>
        <v>138814.93741556923</v>
      </c>
      <c r="W82" s="39">
        <f t="shared" si="17"/>
        <v>138814.93741556923</v>
      </c>
      <c r="X82" s="355">
        <f t="shared" si="18"/>
        <v>4.5123009515954784E-2</v>
      </c>
      <c r="GU82" s="305"/>
    </row>
    <row r="83" spans="2:203" ht="27" hidden="1" customHeight="1" x14ac:dyDescent="0.25">
      <c r="B83" s="38" t="str">
        <f t="shared" si="0"/>
        <v/>
      </c>
      <c r="C83" s="241" t="str">
        <f>'קיזוזים- החלטות ועדה'!C83</f>
        <v/>
      </c>
      <c r="D83" s="434" t="str">
        <f>IF($C83="","",'הגבלה לסכום מבוקש (1)'!D83)</f>
        <v/>
      </c>
      <c r="E83" s="434" t="str">
        <f>IF($C83="","",'קיזוזים בגין איחורים'!F83+'קיזוזים- החלטות ועדה'!E83)</f>
        <v/>
      </c>
      <c r="F83" s="434" t="str">
        <f t="shared" si="1"/>
        <v/>
      </c>
      <c r="G83" s="434" t="str">
        <f>'קיזוזים- החלטות ועדה'!G83</f>
        <v/>
      </c>
      <c r="H83" s="437" t="str">
        <f t="shared" si="2"/>
        <v/>
      </c>
      <c r="I83" s="434" t="str">
        <f t="shared" si="3"/>
        <v/>
      </c>
      <c r="J83" s="434" t="str">
        <f t="shared" si="4"/>
        <v/>
      </c>
      <c r="K83" s="438">
        <f t="shared" si="5"/>
        <v>0</v>
      </c>
      <c r="L83" s="439" t="str">
        <f t="shared" si="6"/>
        <v/>
      </c>
      <c r="M83" s="439" t="str">
        <f t="shared" si="7"/>
        <v/>
      </c>
      <c r="N83" s="438">
        <f t="shared" si="8"/>
        <v>0</v>
      </c>
      <c r="O83" s="439" t="str">
        <f t="shared" si="9"/>
        <v/>
      </c>
      <c r="P83" s="439" t="str">
        <f t="shared" si="10"/>
        <v/>
      </c>
      <c r="Q83" s="438">
        <f t="shared" si="11"/>
        <v>0</v>
      </c>
      <c r="R83" s="439" t="str">
        <f t="shared" si="12"/>
        <v/>
      </c>
      <c r="S83" s="439" t="str">
        <f t="shared" si="13"/>
        <v/>
      </c>
      <c r="T83" s="438">
        <f t="shared" si="14"/>
        <v>0</v>
      </c>
      <c r="U83" s="439" t="str">
        <f t="shared" si="15"/>
        <v/>
      </c>
      <c r="V83" s="439" t="str">
        <f t="shared" si="16"/>
        <v/>
      </c>
      <c r="W83" s="39" t="str">
        <f t="shared" si="17"/>
        <v/>
      </c>
      <c r="X83" s="355" t="str">
        <f t="shared" si="18"/>
        <v/>
      </c>
      <c r="GU83" s="305"/>
    </row>
    <row r="84" spans="2:203" ht="27" hidden="1" customHeight="1" x14ac:dyDescent="0.25">
      <c r="B84" s="38" t="str">
        <f t="shared" si="0"/>
        <v/>
      </c>
      <c r="C84" s="241" t="str">
        <f>'קיזוזים- החלטות ועדה'!C84</f>
        <v/>
      </c>
      <c r="D84" s="434" t="str">
        <f>IF($C84="","",'הגבלה לסכום מבוקש (1)'!D84)</f>
        <v/>
      </c>
      <c r="E84" s="434" t="str">
        <f>IF($C84="","",'קיזוזים בגין איחורים'!F84+'קיזוזים- החלטות ועדה'!E84)</f>
        <v/>
      </c>
      <c r="F84" s="434" t="str">
        <f t="shared" si="1"/>
        <v/>
      </c>
      <c r="G84" s="434" t="str">
        <f>'קיזוזים- החלטות ועדה'!G84</f>
        <v/>
      </c>
      <c r="H84" s="437" t="str">
        <f t="shared" si="2"/>
        <v/>
      </c>
      <c r="I84" s="434" t="str">
        <f t="shared" si="3"/>
        <v/>
      </c>
      <c r="J84" s="434" t="str">
        <f t="shared" si="4"/>
        <v/>
      </c>
      <c r="K84" s="438">
        <f t="shared" si="5"/>
        <v>0</v>
      </c>
      <c r="L84" s="439" t="str">
        <f t="shared" si="6"/>
        <v/>
      </c>
      <c r="M84" s="439" t="str">
        <f t="shared" si="7"/>
        <v/>
      </c>
      <c r="N84" s="438">
        <f t="shared" si="8"/>
        <v>0</v>
      </c>
      <c r="O84" s="439" t="str">
        <f t="shared" si="9"/>
        <v/>
      </c>
      <c r="P84" s="439" t="str">
        <f t="shared" si="10"/>
        <v/>
      </c>
      <c r="Q84" s="438">
        <f t="shared" si="11"/>
        <v>0</v>
      </c>
      <c r="R84" s="439" t="str">
        <f t="shared" si="12"/>
        <v/>
      </c>
      <c r="S84" s="439" t="str">
        <f t="shared" si="13"/>
        <v/>
      </c>
      <c r="T84" s="438">
        <f t="shared" si="14"/>
        <v>0</v>
      </c>
      <c r="U84" s="439" t="str">
        <f t="shared" si="15"/>
        <v/>
      </c>
      <c r="V84" s="439" t="str">
        <f t="shared" si="16"/>
        <v/>
      </c>
      <c r="W84" s="39" t="str">
        <f t="shared" si="17"/>
        <v/>
      </c>
      <c r="X84" s="355" t="str">
        <f t="shared" si="18"/>
        <v/>
      </c>
      <c r="GU84" s="305"/>
    </row>
    <row r="85" spans="2:203" ht="27" customHeight="1" x14ac:dyDescent="0.25">
      <c r="B85" s="38">
        <f t="shared" si="0"/>
        <v>55</v>
      </c>
      <c r="C85" s="241" t="str">
        <f>'קיזוזים- החלטות ועדה'!C85</f>
        <v>מכון רננות</v>
      </c>
      <c r="D85" s="434">
        <f>IF($C85="","",'הגבלה לסכום מבוקש (1)'!D85)</f>
        <v>60000</v>
      </c>
      <c r="E85" s="434">
        <f>IF($C85="","",'קיזוזים בגין איחורים'!F85+'קיזוזים- החלטות ועדה'!E85)</f>
        <v>0</v>
      </c>
      <c r="F85" s="434">
        <f t="shared" si="1"/>
        <v>60000</v>
      </c>
      <c r="G85" s="434">
        <f>'קיזוזים- החלטות ועדה'!G85</f>
        <v>60000</v>
      </c>
      <c r="H85" s="437">
        <f t="shared" si="2"/>
        <v>0</v>
      </c>
      <c r="I85" s="434">
        <f t="shared" si="3"/>
        <v>60000</v>
      </c>
      <c r="J85" s="434">
        <f t="shared" si="4"/>
        <v>59999.999999999978</v>
      </c>
      <c r="K85" s="438">
        <f t="shared" si="5"/>
        <v>0</v>
      </c>
      <c r="L85" s="439">
        <f t="shared" si="6"/>
        <v>59999.999999999978</v>
      </c>
      <c r="M85" s="439">
        <f t="shared" si="7"/>
        <v>60000.000000000022</v>
      </c>
      <c r="N85" s="438">
        <f t="shared" si="8"/>
        <v>0</v>
      </c>
      <c r="O85" s="439">
        <f t="shared" si="9"/>
        <v>60000</v>
      </c>
      <c r="P85" s="439">
        <f t="shared" si="10"/>
        <v>59999.999999999978</v>
      </c>
      <c r="Q85" s="438">
        <f t="shared" si="11"/>
        <v>0</v>
      </c>
      <c r="R85" s="439">
        <f t="shared" si="12"/>
        <v>59999.999999999978</v>
      </c>
      <c r="S85" s="439">
        <f t="shared" si="13"/>
        <v>60000</v>
      </c>
      <c r="T85" s="438">
        <f t="shared" si="14"/>
        <v>0</v>
      </c>
      <c r="U85" s="439">
        <f t="shared" si="15"/>
        <v>60000</v>
      </c>
      <c r="V85" s="439">
        <f t="shared" si="16"/>
        <v>59999.999999999978</v>
      </c>
      <c r="W85" s="39">
        <f t="shared" si="17"/>
        <v>59999.999999999978</v>
      </c>
      <c r="X85" s="355">
        <f t="shared" si="18"/>
        <v>1.9503524774514874E-2</v>
      </c>
      <c r="GU85" s="305"/>
    </row>
    <row r="86" spans="2:203" ht="27" hidden="1" customHeight="1" x14ac:dyDescent="0.25">
      <c r="B86" s="38" t="str">
        <f t="shared" si="0"/>
        <v/>
      </c>
      <c r="C86" s="241" t="str">
        <f>'קיזוזים- החלטות ועדה'!C86</f>
        <v/>
      </c>
      <c r="D86" s="434" t="str">
        <f>IF($C86="","",'הגבלה לסכום מבוקש (1)'!D86)</f>
        <v/>
      </c>
      <c r="E86" s="434" t="str">
        <f>IF($C86="","",'קיזוזים בגין איחורים'!F86+'קיזוזים- החלטות ועדה'!E86)</f>
        <v/>
      </c>
      <c r="F86" s="434" t="str">
        <f t="shared" si="1"/>
        <v/>
      </c>
      <c r="G86" s="434" t="str">
        <f>'קיזוזים- החלטות ועדה'!G86</f>
        <v/>
      </c>
      <c r="H86" s="437" t="str">
        <f t="shared" si="2"/>
        <v/>
      </c>
      <c r="I86" s="434" t="str">
        <f t="shared" si="3"/>
        <v/>
      </c>
      <c r="J86" s="434" t="str">
        <f t="shared" si="4"/>
        <v/>
      </c>
      <c r="K86" s="438">
        <f t="shared" si="5"/>
        <v>0</v>
      </c>
      <c r="L86" s="439" t="str">
        <f t="shared" si="6"/>
        <v/>
      </c>
      <c r="M86" s="439" t="str">
        <f t="shared" si="7"/>
        <v/>
      </c>
      <c r="N86" s="438">
        <f t="shared" si="8"/>
        <v>0</v>
      </c>
      <c r="O86" s="439" t="str">
        <f t="shared" si="9"/>
        <v/>
      </c>
      <c r="P86" s="439" t="str">
        <f t="shared" si="10"/>
        <v/>
      </c>
      <c r="Q86" s="438">
        <f t="shared" si="11"/>
        <v>0</v>
      </c>
      <c r="R86" s="439" t="str">
        <f t="shared" si="12"/>
        <v/>
      </c>
      <c r="S86" s="439" t="str">
        <f t="shared" si="13"/>
        <v/>
      </c>
      <c r="T86" s="438">
        <f t="shared" si="14"/>
        <v>0</v>
      </c>
      <c r="U86" s="439" t="str">
        <f t="shared" si="15"/>
        <v/>
      </c>
      <c r="V86" s="439" t="str">
        <f t="shared" si="16"/>
        <v/>
      </c>
      <c r="W86" s="39" t="str">
        <f t="shared" si="17"/>
        <v/>
      </c>
      <c r="X86" s="355" t="str">
        <f t="shared" si="18"/>
        <v/>
      </c>
      <c r="GU86" s="305"/>
    </row>
    <row r="87" spans="2:203" ht="27" customHeight="1" x14ac:dyDescent="0.25">
      <c r="B87" s="38">
        <f t="shared" si="0"/>
        <v>57</v>
      </c>
      <c r="C87" s="241" t="str">
        <f>'קיזוזים- החלטות ועדה'!C87</f>
        <v>עמותת מפעל המוזיקה צימבליסטה</v>
      </c>
      <c r="D87" s="434">
        <f>IF($C87="","",'הגבלה לסכום מבוקש (1)'!D87)</f>
        <v>500000</v>
      </c>
      <c r="E87" s="434">
        <f>IF($C87="","",'קיזוזים בגין איחורים'!F87+'קיזוזים- החלטות ועדה'!E87)</f>
        <v>0</v>
      </c>
      <c r="F87" s="434">
        <f t="shared" si="1"/>
        <v>500000</v>
      </c>
      <c r="G87" s="434">
        <f>'קיזוזים- החלטות ועדה'!G87</f>
        <v>85948.962656008371</v>
      </c>
      <c r="H87" s="437">
        <f t="shared" si="2"/>
        <v>0</v>
      </c>
      <c r="I87" s="434">
        <f t="shared" si="3"/>
        <v>85948.962656008371</v>
      </c>
      <c r="J87" s="434">
        <f t="shared" si="4"/>
        <v>85948.962656008342</v>
      </c>
      <c r="K87" s="438">
        <f t="shared" si="5"/>
        <v>0</v>
      </c>
      <c r="L87" s="439">
        <f t="shared" si="6"/>
        <v>85948.962656008342</v>
      </c>
      <c r="M87" s="439">
        <f t="shared" si="7"/>
        <v>85948.9626560084</v>
      </c>
      <c r="N87" s="438">
        <f t="shared" si="8"/>
        <v>0</v>
      </c>
      <c r="O87" s="439">
        <f t="shared" si="9"/>
        <v>85948.9626560084</v>
      </c>
      <c r="P87" s="439">
        <f t="shared" si="10"/>
        <v>85948.962656008371</v>
      </c>
      <c r="Q87" s="438">
        <f t="shared" si="11"/>
        <v>0</v>
      </c>
      <c r="R87" s="439">
        <f t="shared" si="12"/>
        <v>85948.962656008371</v>
      </c>
      <c r="S87" s="439">
        <f t="shared" si="13"/>
        <v>85948.9626560084</v>
      </c>
      <c r="T87" s="438">
        <f t="shared" si="14"/>
        <v>0</v>
      </c>
      <c r="U87" s="439">
        <f t="shared" si="15"/>
        <v>85948.9626560084</v>
      </c>
      <c r="V87" s="439">
        <f t="shared" si="16"/>
        <v>85948.962656008371</v>
      </c>
      <c r="W87" s="39">
        <f t="shared" si="17"/>
        <v>85948.962656008371</v>
      </c>
      <c r="X87" s="355">
        <f t="shared" si="18"/>
        <v>2.7938462041755225E-2</v>
      </c>
      <c r="GU87" s="305"/>
    </row>
    <row r="88" spans="2:203" ht="27" hidden="1" customHeight="1" x14ac:dyDescent="0.25">
      <c r="B88" s="38" t="str">
        <f t="shared" si="0"/>
        <v/>
      </c>
      <c r="C88" s="241" t="str">
        <f>'קיזוזים- החלטות ועדה'!C88</f>
        <v/>
      </c>
      <c r="D88" s="434" t="str">
        <f>IF($C88="","",'הגבלה לסכום מבוקש (1)'!D88)</f>
        <v/>
      </c>
      <c r="E88" s="434" t="str">
        <f>IF($C88="","",'קיזוזים בגין איחורים'!F88+'קיזוזים- החלטות ועדה'!E88)</f>
        <v/>
      </c>
      <c r="F88" s="434" t="str">
        <f t="shared" si="1"/>
        <v/>
      </c>
      <c r="G88" s="434" t="str">
        <f>'קיזוזים- החלטות ועדה'!G88</f>
        <v/>
      </c>
      <c r="H88" s="437" t="str">
        <f t="shared" si="2"/>
        <v/>
      </c>
      <c r="I88" s="434" t="str">
        <f t="shared" si="3"/>
        <v/>
      </c>
      <c r="J88" s="434" t="str">
        <f t="shared" si="4"/>
        <v/>
      </c>
      <c r="K88" s="438">
        <f t="shared" si="5"/>
        <v>0</v>
      </c>
      <c r="L88" s="439" t="str">
        <f t="shared" si="6"/>
        <v/>
      </c>
      <c r="M88" s="439" t="str">
        <f t="shared" si="7"/>
        <v/>
      </c>
      <c r="N88" s="438">
        <f t="shared" si="8"/>
        <v>0</v>
      </c>
      <c r="O88" s="439" t="str">
        <f t="shared" si="9"/>
        <v/>
      </c>
      <c r="P88" s="439" t="str">
        <f t="shared" si="10"/>
        <v/>
      </c>
      <c r="Q88" s="438">
        <f t="shared" si="11"/>
        <v>0</v>
      </c>
      <c r="R88" s="439" t="str">
        <f t="shared" si="12"/>
        <v/>
      </c>
      <c r="S88" s="439" t="str">
        <f t="shared" si="13"/>
        <v/>
      </c>
      <c r="T88" s="438">
        <f t="shared" si="14"/>
        <v>0</v>
      </c>
      <c r="U88" s="439" t="str">
        <f t="shared" si="15"/>
        <v/>
      </c>
      <c r="V88" s="439" t="str">
        <f t="shared" si="16"/>
        <v/>
      </c>
      <c r="W88" s="39" t="str">
        <f t="shared" si="17"/>
        <v/>
      </c>
      <c r="X88" s="355" t="str">
        <f t="shared" si="18"/>
        <v/>
      </c>
      <c r="GU88" s="305"/>
    </row>
    <row r="89" spans="2:203" ht="27" customHeight="1" x14ac:dyDescent="0.25">
      <c r="B89" s="38">
        <f t="shared" si="0"/>
        <v>59</v>
      </c>
      <c r="C89" s="241" t="str">
        <f>'קיזוזים- החלטות ועדה'!C89</f>
        <v>העמותה לקידום המוסיקה הערבית</v>
      </c>
      <c r="D89" s="434">
        <f>IF($C89="","",'הגבלה לסכום מבוקש (1)'!D89)</f>
        <v>600000</v>
      </c>
      <c r="E89" s="434">
        <f>IF($C89="","",'קיזוזים בגין איחורים'!F89+'קיזוזים- החלטות ועדה'!E89)</f>
        <v>0</v>
      </c>
      <c r="F89" s="434">
        <f t="shared" si="1"/>
        <v>600000</v>
      </c>
      <c r="G89" s="434">
        <f>'קיזוזים- החלטות ועדה'!G89</f>
        <v>223702.42707733833</v>
      </c>
      <c r="H89" s="437">
        <f t="shared" si="2"/>
        <v>0</v>
      </c>
      <c r="I89" s="434">
        <f t="shared" si="3"/>
        <v>223702.42707733833</v>
      </c>
      <c r="J89" s="434">
        <f t="shared" si="4"/>
        <v>223702.42707733827</v>
      </c>
      <c r="K89" s="438">
        <f t="shared" si="5"/>
        <v>0</v>
      </c>
      <c r="L89" s="439">
        <f t="shared" si="6"/>
        <v>223702.42707733827</v>
      </c>
      <c r="M89" s="439">
        <f t="shared" si="7"/>
        <v>223702.42707733839</v>
      </c>
      <c r="N89" s="438">
        <f t="shared" si="8"/>
        <v>0</v>
      </c>
      <c r="O89" s="439">
        <f t="shared" si="9"/>
        <v>223702.42707733839</v>
      </c>
      <c r="P89" s="439">
        <f t="shared" si="10"/>
        <v>223702.4270773383</v>
      </c>
      <c r="Q89" s="438">
        <f t="shared" si="11"/>
        <v>0</v>
      </c>
      <c r="R89" s="439">
        <f t="shared" si="12"/>
        <v>223702.4270773383</v>
      </c>
      <c r="S89" s="439">
        <f t="shared" si="13"/>
        <v>223702.42707733836</v>
      </c>
      <c r="T89" s="438">
        <f t="shared" si="14"/>
        <v>0</v>
      </c>
      <c r="U89" s="439">
        <f t="shared" si="15"/>
        <v>223702.42707733836</v>
      </c>
      <c r="V89" s="439">
        <f t="shared" si="16"/>
        <v>223702.4270773383</v>
      </c>
      <c r="W89" s="39">
        <f t="shared" si="17"/>
        <v>223702.4270773383</v>
      </c>
      <c r="X89" s="355">
        <f t="shared" si="18"/>
        <v>7.2716430477032926E-2</v>
      </c>
      <c r="GU89" s="305"/>
    </row>
    <row r="90" spans="2:203" ht="27" customHeight="1" x14ac:dyDescent="0.25">
      <c r="B90" s="38">
        <f t="shared" si="0"/>
        <v>60</v>
      </c>
      <c r="C90" s="241" t="str">
        <f>'קיזוזים- החלטות ועדה'!C90</f>
        <v>תמיכה בתזמורת TLV (הערבית יהודית)</v>
      </c>
      <c r="D90" s="434">
        <f>IF($C90="","",'הגבלה לסכום מבוקש (1)'!D90)</f>
        <v>150000</v>
      </c>
      <c r="E90" s="434">
        <f>IF($C90="","",'קיזוזים בגין איחורים'!F90+'קיזוזים- החלטות ועדה'!E90)</f>
        <v>0</v>
      </c>
      <c r="F90" s="434">
        <f t="shared" si="1"/>
        <v>150000</v>
      </c>
      <c r="G90" s="434">
        <f>'קיזוזים- החלטות ועדה'!G90</f>
        <v>95484.98126058279</v>
      </c>
      <c r="H90" s="437">
        <f t="shared" si="2"/>
        <v>0</v>
      </c>
      <c r="I90" s="434">
        <f t="shared" si="3"/>
        <v>95484.98126058279</v>
      </c>
      <c r="J90" s="434">
        <f t="shared" si="4"/>
        <v>95484.981260582761</v>
      </c>
      <c r="K90" s="438">
        <f t="shared" si="5"/>
        <v>0</v>
      </c>
      <c r="L90" s="439">
        <f t="shared" si="6"/>
        <v>95484.981260582761</v>
      </c>
      <c r="M90" s="439">
        <f t="shared" si="7"/>
        <v>95484.981260582819</v>
      </c>
      <c r="N90" s="438">
        <f t="shared" si="8"/>
        <v>0</v>
      </c>
      <c r="O90" s="439">
        <f t="shared" si="9"/>
        <v>95484.981260582819</v>
      </c>
      <c r="P90" s="439">
        <f t="shared" si="10"/>
        <v>95484.981260582776</v>
      </c>
      <c r="Q90" s="438">
        <f t="shared" si="11"/>
        <v>0</v>
      </c>
      <c r="R90" s="439">
        <f t="shared" si="12"/>
        <v>95484.981260582776</v>
      </c>
      <c r="S90" s="439">
        <f t="shared" si="13"/>
        <v>95484.981260582805</v>
      </c>
      <c r="T90" s="438">
        <f t="shared" si="14"/>
        <v>0</v>
      </c>
      <c r="U90" s="439">
        <f t="shared" si="15"/>
        <v>95484.981260582805</v>
      </c>
      <c r="V90" s="439">
        <f t="shared" si="16"/>
        <v>95484.981260582776</v>
      </c>
      <c r="W90" s="39">
        <f t="shared" si="17"/>
        <v>95484.981260582776</v>
      </c>
      <c r="X90" s="355">
        <f t="shared" si="18"/>
        <v>3.1038228293497755E-2</v>
      </c>
      <c r="GU90" s="305"/>
    </row>
    <row r="91" spans="2:203" ht="27" customHeight="1" x14ac:dyDescent="0.25">
      <c r="B91" s="38">
        <f t="shared" si="0"/>
        <v>61</v>
      </c>
      <c r="C91" s="241" t="str">
        <f>'קיזוזים- החלטות ועדה'!C91</f>
        <v>אנסמבל גליל</v>
      </c>
      <c r="D91" s="434">
        <f>IF($C91="","",'הגבלה לסכום מבוקש (1)'!D91)</f>
        <v>60000</v>
      </c>
      <c r="E91" s="434">
        <f>IF($C91="","",'קיזוזים בגין איחורים'!F91+'קיזוזים- החלטות ועדה'!E91)</f>
        <v>0</v>
      </c>
      <c r="F91" s="434">
        <f t="shared" si="1"/>
        <v>60000</v>
      </c>
      <c r="G91" s="434">
        <f>'קיזוזים- החלטות ועדה'!G91</f>
        <v>60000</v>
      </c>
      <c r="H91" s="437">
        <f t="shared" si="2"/>
        <v>0</v>
      </c>
      <c r="I91" s="434">
        <f t="shared" si="3"/>
        <v>60000</v>
      </c>
      <c r="J91" s="434">
        <f t="shared" si="4"/>
        <v>59999.999999999978</v>
      </c>
      <c r="K91" s="438">
        <f t="shared" si="5"/>
        <v>0</v>
      </c>
      <c r="L91" s="439">
        <f t="shared" si="6"/>
        <v>59999.999999999978</v>
      </c>
      <c r="M91" s="439">
        <f t="shared" si="7"/>
        <v>60000.000000000022</v>
      </c>
      <c r="N91" s="438">
        <f t="shared" si="8"/>
        <v>0</v>
      </c>
      <c r="O91" s="439">
        <f t="shared" si="9"/>
        <v>60000</v>
      </c>
      <c r="P91" s="439">
        <f t="shared" si="10"/>
        <v>59999.999999999978</v>
      </c>
      <c r="Q91" s="438">
        <f t="shared" si="11"/>
        <v>0</v>
      </c>
      <c r="R91" s="439">
        <f t="shared" si="12"/>
        <v>59999.999999999978</v>
      </c>
      <c r="S91" s="439">
        <f t="shared" si="13"/>
        <v>60000</v>
      </c>
      <c r="T91" s="438">
        <f t="shared" si="14"/>
        <v>0</v>
      </c>
      <c r="U91" s="439">
        <f t="shared" si="15"/>
        <v>60000</v>
      </c>
      <c r="V91" s="439">
        <f t="shared" si="16"/>
        <v>59999.999999999978</v>
      </c>
      <c r="W91" s="39">
        <f t="shared" si="17"/>
        <v>59999.999999999978</v>
      </c>
      <c r="X91" s="355">
        <f t="shared" si="18"/>
        <v>1.9503524774514874E-2</v>
      </c>
      <c r="GU91" s="305"/>
    </row>
    <row r="92" spans="2:203" ht="27" customHeight="1" x14ac:dyDescent="0.25">
      <c r="B92" s="38">
        <f t="shared" si="0"/>
        <v>62</v>
      </c>
      <c r="C92" s="241" t="str">
        <f>'קיזוזים- החלטות ועדה'!C92</f>
        <v>דריה- הרכב אינסטרומנטלי</v>
      </c>
      <c r="D92" s="434">
        <f>IF($C92="","",'הגבלה לסכום מבוקש (1)'!D92)</f>
        <v>50000</v>
      </c>
      <c r="E92" s="434">
        <f>IF($C92="","",'קיזוזים בגין איחורים'!F92+'קיזוזים- החלטות ועדה'!E92)</f>
        <v>0</v>
      </c>
      <c r="F92" s="434">
        <f t="shared" si="1"/>
        <v>50000</v>
      </c>
      <c r="G92" s="434">
        <f>'קיזוזים- החלטות ועדה'!G92</f>
        <v>43686.952954856009</v>
      </c>
      <c r="H92" s="437">
        <f t="shared" si="2"/>
        <v>0</v>
      </c>
      <c r="I92" s="434">
        <f t="shared" si="3"/>
        <v>43686.952954856009</v>
      </c>
      <c r="J92" s="434">
        <f t="shared" si="4"/>
        <v>43686.952954855995</v>
      </c>
      <c r="K92" s="438">
        <f t="shared" si="5"/>
        <v>0</v>
      </c>
      <c r="L92" s="439">
        <f t="shared" si="6"/>
        <v>43686.952954855995</v>
      </c>
      <c r="M92" s="439">
        <f t="shared" si="7"/>
        <v>43686.952954856024</v>
      </c>
      <c r="N92" s="438">
        <f t="shared" si="8"/>
        <v>0</v>
      </c>
      <c r="O92" s="439">
        <f t="shared" si="9"/>
        <v>43686.952954856024</v>
      </c>
      <c r="P92" s="439">
        <f t="shared" si="10"/>
        <v>43686.952954856002</v>
      </c>
      <c r="Q92" s="438">
        <f t="shared" si="11"/>
        <v>0</v>
      </c>
      <c r="R92" s="439">
        <f t="shared" si="12"/>
        <v>43686.952954856002</v>
      </c>
      <c r="S92" s="439">
        <f t="shared" si="13"/>
        <v>43686.952954856017</v>
      </c>
      <c r="T92" s="438">
        <f t="shared" si="14"/>
        <v>0</v>
      </c>
      <c r="U92" s="439">
        <f t="shared" si="15"/>
        <v>43686.952954856017</v>
      </c>
      <c r="V92" s="439">
        <f t="shared" si="16"/>
        <v>43686.952954856002</v>
      </c>
      <c r="W92" s="39">
        <f t="shared" si="17"/>
        <v>43686.952954856002</v>
      </c>
      <c r="X92" s="355">
        <f t="shared" si="18"/>
        <v>1.4200826154635001E-2</v>
      </c>
      <c r="GU92" s="305"/>
    </row>
    <row r="93" spans="2:203" ht="27" customHeight="1" x14ac:dyDescent="0.25">
      <c r="B93" s="38">
        <f t="shared" si="0"/>
        <v>63</v>
      </c>
      <c r="C93" s="241" t="str">
        <f>'קיזוזים- החלטות ועדה'!C93</f>
        <v>להקת שלוש</v>
      </c>
      <c r="D93" s="434">
        <f>IF($C93="","",'הגבלה לסכום מבוקש (1)'!D93)</f>
        <v>50000</v>
      </c>
      <c r="E93" s="434">
        <f>IF($C93="","",'קיזוזים בגין איחורים'!F93+'קיזוזים- החלטות ועדה'!E93)</f>
        <v>0</v>
      </c>
      <c r="F93" s="434">
        <f t="shared" si="1"/>
        <v>50000</v>
      </c>
      <c r="G93" s="434">
        <f>'קיזוזים- החלטות ועדה'!G93</f>
        <v>50000</v>
      </c>
      <c r="H93" s="437">
        <f t="shared" si="2"/>
        <v>0</v>
      </c>
      <c r="I93" s="434">
        <f t="shared" si="3"/>
        <v>50000</v>
      </c>
      <c r="J93" s="434">
        <f t="shared" si="4"/>
        <v>49999.999999999985</v>
      </c>
      <c r="K93" s="438">
        <f t="shared" si="5"/>
        <v>0</v>
      </c>
      <c r="L93" s="439">
        <f t="shared" si="6"/>
        <v>49999.999999999985</v>
      </c>
      <c r="M93" s="439">
        <f t="shared" si="7"/>
        <v>50000.000000000015</v>
      </c>
      <c r="N93" s="438">
        <f t="shared" si="8"/>
        <v>0</v>
      </c>
      <c r="O93" s="439">
        <f t="shared" si="9"/>
        <v>50000</v>
      </c>
      <c r="P93" s="439">
        <f t="shared" si="10"/>
        <v>49999.999999999985</v>
      </c>
      <c r="Q93" s="438">
        <f t="shared" si="11"/>
        <v>0</v>
      </c>
      <c r="R93" s="439">
        <f t="shared" si="12"/>
        <v>49999.999999999985</v>
      </c>
      <c r="S93" s="439">
        <f t="shared" si="13"/>
        <v>50000.000000000007</v>
      </c>
      <c r="T93" s="438">
        <f t="shared" si="14"/>
        <v>0</v>
      </c>
      <c r="U93" s="439">
        <f t="shared" si="15"/>
        <v>50000</v>
      </c>
      <c r="V93" s="439">
        <f t="shared" si="16"/>
        <v>49999.999999999985</v>
      </c>
      <c r="W93" s="39">
        <f t="shared" si="17"/>
        <v>49999.999999999985</v>
      </c>
      <c r="X93" s="355">
        <f t="shared" si="18"/>
        <v>1.625293731209573E-2</v>
      </c>
      <c r="GU93" s="305"/>
    </row>
    <row r="94" spans="2:203" ht="27" customHeight="1" x14ac:dyDescent="0.25">
      <c r="B94" s="38">
        <f t="shared" si="0"/>
        <v>64</v>
      </c>
      <c r="C94" s="241" t="str">
        <f>'קיזוזים- החלטות ועדה'!C94</f>
        <v>רביעיית טוסקאניני</v>
      </c>
      <c r="D94" s="434">
        <f>IF($C94="","",'הגבלה לסכום מבוקש (1)'!D94)</f>
        <v>50000</v>
      </c>
      <c r="E94" s="434">
        <f>IF($C94="","",'קיזוזים בגין איחורים'!F94+'קיזוזים- החלטות ועדה'!E94)</f>
        <v>0</v>
      </c>
      <c r="F94" s="434">
        <f t="shared" si="1"/>
        <v>50000</v>
      </c>
      <c r="G94" s="434">
        <f>'קיזוזים- החלטות ועדה'!G94</f>
        <v>38362.134176260923</v>
      </c>
      <c r="H94" s="437">
        <f t="shared" si="2"/>
        <v>0</v>
      </c>
      <c r="I94" s="434">
        <f t="shared" si="3"/>
        <v>38362.134176260923</v>
      </c>
      <c r="J94" s="434">
        <f t="shared" si="4"/>
        <v>38362.134176260908</v>
      </c>
      <c r="K94" s="438">
        <f t="shared" si="5"/>
        <v>0</v>
      </c>
      <c r="L94" s="439">
        <f t="shared" si="6"/>
        <v>38362.134176260908</v>
      </c>
      <c r="M94" s="439">
        <f t="shared" si="7"/>
        <v>38362.13417626093</v>
      </c>
      <c r="N94" s="438">
        <f t="shared" si="8"/>
        <v>0</v>
      </c>
      <c r="O94" s="439">
        <f t="shared" si="9"/>
        <v>38362.13417626093</v>
      </c>
      <c r="P94" s="439">
        <f t="shared" si="10"/>
        <v>38362.134176260908</v>
      </c>
      <c r="Q94" s="438">
        <f t="shared" si="11"/>
        <v>0</v>
      </c>
      <c r="R94" s="439">
        <f t="shared" si="12"/>
        <v>38362.134176260908</v>
      </c>
      <c r="S94" s="439">
        <f t="shared" si="13"/>
        <v>38362.134176260923</v>
      </c>
      <c r="T94" s="438">
        <f t="shared" si="14"/>
        <v>0</v>
      </c>
      <c r="U94" s="439">
        <f t="shared" si="15"/>
        <v>38362.134176260923</v>
      </c>
      <c r="V94" s="439">
        <f t="shared" si="16"/>
        <v>38362.134176260908</v>
      </c>
      <c r="W94" s="39">
        <f t="shared" si="17"/>
        <v>38362.134176260908</v>
      </c>
      <c r="X94" s="355">
        <f t="shared" si="18"/>
        <v>1.2469947238499477E-2</v>
      </c>
      <c r="GU94" s="305"/>
    </row>
    <row r="95" spans="2:203" ht="27" customHeight="1" x14ac:dyDescent="0.25">
      <c r="B95" s="38">
        <f t="shared" si="0"/>
        <v>65</v>
      </c>
      <c r="C95" s="241" t="str">
        <f>'קיזוזים- החלטות ועדה'!C95</f>
        <v>תקוע-קבוצה מוזיקלית - 'דאפה' 2024</v>
      </c>
      <c r="D95" s="434">
        <f>IF($C95="","",'הגבלה לסכום מבוקש (1)'!D95)</f>
        <v>350000</v>
      </c>
      <c r="E95" s="434">
        <f>IF($C95="","",'קיזוזים בגין איחורים'!F95+'קיזוזים- החלטות ועדה'!E95)</f>
        <v>0</v>
      </c>
      <c r="F95" s="434">
        <f t="shared" si="1"/>
        <v>350000</v>
      </c>
      <c r="G95" s="434">
        <f>'קיזוזים- החלטות ועדה'!G95</f>
        <v>104841.10811467086</v>
      </c>
      <c r="H95" s="437">
        <f t="shared" si="2"/>
        <v>0</v>
      </c>
      <c r="I95" s="434">
        <f t="shared" si="3"/>
        <v>104841.10811467086</v>
      </c>
      <c r="J95" s="434">
        <f t="shared" si="4"/>
        <v>104841.10811467085</v>
      </c>
      <c r="K95" s="438">
        <f t="shared" si="5"/>
        <v>0</v>
      </c>
      <c r="L95" s="439">
        <f t="shared" si="6"/>
        <v>104841.10811467085</v>
      </c>
      <c r="M95" s="439">
        <f t="shared" si="7"/>
        <v>104841.1081146709</v>
      </c>
      <c r="N95" s="438">
        <f t="shared" si="8"/>
        <v>0</v>
      </c>
      <c r="O95" s="439">
        <f t="shared" si="9"/>
        <v>104841.1081146709</v>
      </c>
      <c r="P95" s="439">
        <f t="shared" si="10"/>
        <v>104841.10811467086</v>
      </c>
      <c r="Q95" s="438">
        <f t="shared" si="11"/>
        <v>0</v>
      </c>
      <c r="R95" s="439">
        <f t="shared" si="12"/>
        <v>104841.10811467086</v>
      </c>
      <c r="S95" s="439">
        <f t="shared" si="13"/>
        <v>104841.1081146709</v>
      </c>
      <c r="T95" s="438">
        <f t="shared" si="14"/>
        <v>0</v>
      </c>
      <c r="U95" s="439">
        <f t="shared" si="15"/>
        <v>104841.1081146709</v>
      </c>
      <c r="V95" s="439">
        <f t="shared" si="16"/>
        <v>104841.10811467087</v>
      </c>
      <c r="W95" s="39">
        <f t="shared" si="17"/>
        <v>104841.10811467087</v>
      </c>
      <c r="X95" s="355">
        <f t="shared" si="18"/>
        <v>3.4079519158367939E-2</v>
      </c>
      <c r="GU95" s="305"/>
    </row>
    <row r="96" spans="2:203" ht="27" customHeight="1" x14ac:dyDescent="0.25">
      <c r="B96" s="38">
        <f t="shared" ref="B96:B130" si="19">IF(C96="","",ROW()-30)</f>
        <v>66</v>
      </c>
      <c r="C96" s="241" t="str">
        <f>'קיזוזים- החלטות ועדה'!C96</f>
        <v>טריו בן חיים</v>
      </c>
      <c r="D96" s="434">
        <f>IF($C96="","",'הגבלה לסכום מבוקש (1)'!D96)</f>
        <v>55000</v>
      </c>
      <c r="E96" s="434">
        <f>IF($C96="","",'קיזוזים בגין איחורים'!F96+'קיזוזים- החלטות ועדה'!E96)</f>
        <v>0</v>
      </c>
      <c r="F96" s="434">
        <f t="shared" ref="F96:F130" si="20">IF($C96="","",D96-E96)</f>
        <v>55000</v>
      </c>
      <c r="G96" s="434">
        <f>'קיזוזים- החלטות ועדה'!G96</f>
        <v>44394.089758849463</v>
      </c>
      <c r="H96" s="437">
        <f t="shared" ref="H96:H130" si="21">IF(C96="","",IF(G96&gt;$F96,1,0))</f>
        <v>0</v>
      </c>
      <c r="I96" s="434">
        <f t="shared" ref="I96:I130" si="22">IF($C96="","",MIN(F96:G96))</f>
        <v>44394.089758849463</v>
      </c>
      <c r="J96" s="434">
        <f t="shared" ref="J96:J130" si="23">IF($C96="","",IF(H96=1,I96,I96/SUMIF(H$31:H$130,0,I$31:I$130)*($C$2-SUMIF(H$31:H$130,1,I$31:I$130))))</f>
        <v>44394.089758849448</v>
      </c>
      <c r="K96" s="438">
        <f t="shared" ref="K96:K130" si="24">IF(OR(J96&gt;$F96,$H96=1),1,0)</f>
        <v>0</v>
      </c>
      <c r="L96" s="439">
        <f t="shared" ref="L96:L130" si="25">IF($C96="","",MIN(J96,$F96))</f>
        <v>44394.089758849448</v>
      </c>
      <c r="M96" s="439">
        <f t="shared" ref="M96:M130" si="26">IF($C96="","",IF(K96=1,L96,L96/SUMIF(K$31:K$130,0,L$31:L$130)*($C$2-SUMIF(K$31:K$130,1,L$31:L$130))))</f>
        <v>44394.089758849477</v>
      </c>
      <c r="N96" s="438">
        <f t="shared" ref="N96:N130" si="27">IF(OR(M96&gt;$F96,$H96=1,$K96=1),1,0)</f>
        <v>0</v>
      </c>
      <c r="O96" s="439">
        <f t="shared" ref="O96:O130" si="28">IF($C96="","",MIN(M96,$F96))</f>
        <v>44394.089758849477</v>
      </c>
      <c r="P96" s="439">
        <f t="shared" ref="P96:P130" si="29">IF($C96="","",IF(N96=1,O96,O96/SUMIF(N$31:N$130,0,O$31:O$130)*($C$2-SUMIF(N$31:N$130,1,O$31:O$130))))</f>
        <v>44394.089758849455</v>
      </c>
      <c r="Q96" s="438">
        <f t="shared" ref="Q96:Q130" si="30">IF(OR(P96&gt;$F96,$H96=1,$K96=1,$N96=1),1,0)</f>
        <v>0</v>
      </c>
      <c r="R96" s="439">
        <f t="shared" ref="R96:R130" si="31">IF($C96="","",MIN(P96,$F96))</f>
        <v>44394.089758849455</v>
      </c>
      <c r="S96" s="439">
        <f t="shared" ref="S96:S130" si="32">IF($C96="","",IF(Q96=2,R96,IF(Q96=1,R96,R96/SUMIF(Q$31:Q$130,0,R$31:R$130)*($C$2-SUMIF(Q$31:Q$130,1,R$31:R$130)-SUMIF(Q$31:Q$130,2,R$31:R$130)))))</f>
        <v>44394.08975884947</v>
      </c>
      <c r="T96" s="438">
        <f t="shared" ref="T96:T130" si="33">IF(OR(S96&gt;$F96,$H96=1,$K96=1,$N96=1,$Q96=1),1,0)</f>
        <v>0</v>
      </c>
      <c r="U96" s="439">
        <f t="shared" ref="U96:U130" si="34">IF($C96="","",MIN(S96,$F96))</f>
        <v>44394.08975884947</v>
      </c>
      <c r="V96" s="439">
        <f t="shared" ref="V96:V130" si="35">IF($C96="","",IF(T96=2,U96,IF(T96=1,U96,U96/SUMIF(T$31:T$130,0,U$31:U$130)*($C$2-SUMIF(T$31:T$130,1,U$31:U$130)-SUMIF(T$31:T$130,2,U$31:U$130)))))</f>
        <v>44394.089758849455</v>
      </c>
      <c r="W96" s="39">
        <f t="shared" ref="W96:W130" si="36">IFERROR(V96,$AH$1)</f>
        <v>44394.089758849455</v>
      </c>
      <c r="X96" s="355">
        <f t="shared" ref="X96:X130" si="37">IF(F96="","",IFERROR(W96/SUMIF($W$31:$W$130,"&lt;&gt;#DIV/0!"),$AH$1))</f>
        <v>1.4430687157562627E-2</v>
      </c>
      <c r="GU96" s="305"/>
    </row>
    <row r="97" spans="2:203" ht="27" hidden="1" customHeight="1" x14ac:dyDescent="0.25">
      <c r="B97" s="38" t="str">
        <f t="shared" si="19"/>
        <v/>
      </c>
      <c r="C97" s="241" t="str">
        <f>'קיזוזים- החלטות ועדה'!C97</f>
        <v/>
      </c>
      <c r="D97" s="434" t="str">
        <f>IF($C97="","",'הגבלה לסכום מבוקש (1)'!D97)</f>
        <v/>
      </c>
      <c r="E97" s="434" t="str">
        <f>IF($C97="","",'קיזוזים בגין איחורים'!F97+'קיזוזים- החלטות ועדה'!E97)</f>
        <v/>
      </c>
      <c r="F97" s="434" t="str">
        <f t="shared" si="20"/>
        <v/>
      </c>
      <c r="G97" s="434" t="str">
        <f>'קיזוזים- החלטות ועדה'!G97</f>
        <v/>
      </c>
      <c r="H97" s="437" t="str">
        <f t="shared" si="21"/>
        <v/>
      </c>
      <c r="I97" s="434" t="str">
        <f t="shared" si="22"/>
        <v/>
      </c>
      <c r="J97" s="434" t="str">
        <f t="shared" si="23"/>
        <v/>
      </c>
      <c r="K97" s="438">
        <f t="shared" si="24"/>
        <v>0</v>
      </c>
      <c r="L97" s="439" t="str">
        <f t="shared" si="25"/>
        <v/>
      </c>
      <c r="M97" s="439" t="str">
        <f t="shared" si="26"/>
        <v/>
      </c>
      <c r="N97" s="438">
        <f t="shared" si="27"/>
        <v>0</v>
      </c>
      <c r="O97" s="439" t="str">
        <f t="shared" si="28"/>
        <v/>
      </c>
      <c r="P97" s="439" t="str">
        <f t="shared" si="29"/>
        <v/>
      </c>
      <c r="Q97" s="438">
        <f t="shared" si="30"/>
        <v>0</v>
      </c>
      <c r="R97" s="439" t="str">
        <f t="shared" si="31"/>
        <v/>
      </c>
      <c r="S97" s="439" t="str">
        <f t="shared" si="32"/>
        <v/>
      </c>
      <c r="T97" s="438">
        <f t="shared" si="33"/>
        <v>0</v>
      </c>
      <c r="U97" s="439" t="str">
        <f t="shared" si="34"/>
        <v/>
      </c>
      <c r="V97" s="439" t="str">
        <f t="shared" si="35"/>
        <v/>
      </c>
      <c r="W97" s="39" t="str">
        <f t="shared" si="36"/>
        <v/>
      </c>
      <c r="X97" s="355" t="str">
        <f t="shared" si="37"/>
        <v/>
      </c>
      <c r="GU97" s="305"/>
    </row>
    <row r="98" spans="2:203" ht="27" customHeight="1" x14ac:dyDescent="0.25">
      <c r="B98" s="38">
        <f t="shared" si="19"/>
        <v>68</v>
      </c>
      <c r="C98" s="241" t="str">
        <f>'קיזוזים- החלטות ועדה'!C98</f>
        <v>אמיתי אריכא והפרויקט D1</v>
      </c>
      <c r="D98" s="434">
        <f>IF($C98="","",'הגבלה לסכום מבוקש (1)'!D98)</f>
        <v>45000</v>
      </c>
      <c r="E98" s="434">
        <f>IF($C98="","",'קיזוזים בגין איחורים'!F98+'קיזוזים- החלטות ועדה'!E98)</f>
        <v>0</v>
      </c>
      <c r="F98" s="434">
        <f t="shared" si="20"/>
        <v>45000</v>
      </c>
      <c r="G98" s="434">
        <f>'קיזוזים- החלטות ועדה'!G98</f>
        <v>45000</v>
      </c>
      <c r="H98" s="437">
        <f t="shared" si="21"/>
        <v>0</v>
      </c>
      <c r="I98" s="434">
        <f t="shared" si="22"/>
        <v>45000</v>
      </c>
      <c r="J98" s="434">
        <f t="shared" si="23"/>
        <v>44999.999999999985</v>
      </c>
      <c r="K98" s="438">
        <f t="shared" si="24"/>
        <v>0</v>
      </c>
      <c r="L98" s="439">
        <f t="shared" si="25"/>
        <v>44999.999999999985</v>
      </c>
      <c r="M98" s="439">
        <f t="shared" si="26"/>
        <v>45000.000000000015</v>
      </c>
      <c r="N98" s="438">
        <f t="shared" si="27"/>
        <v>0</v>
      </c>
      <c r="O98" s="439">
        <f t="shared" si="28"/>
        <v>45000</v>
      </c>
      <c r="P98" s="439">
        <f t="shared" si="29"/>
        <v>44999.999999999978</v>
      </c>
      <c r="Q98" s="438">
        <f t="shared" si="30"/>
        <v>0</v>
      </c>
      <c r="R98" s="439">
        <f t="shared" si="31"/>
        <v>44999.999999999978</v>
      </c>
      <c r="S98" s="439">
        <f t="shared" si="32"/>
        <v>44999.999999999993</v>
      </c>
      <c r="T98" s="438">
        <f t="shared" si="33"/>
        <v>0</v>
      </c>
      <c r="U98" s="439">
        <f t="shared" si="34"/>
        <v>44999.999999999993</v>
      </c>
      <c r="V98" s="439">
        <f t="shared" si="35"/>
        <v>44999.999999999978</v>
      </c>
      <c r="W98" s="39">
        <f t="shared" si="36"/>
        <v>44999.999999999978</v>
      </c>
      <c r="X98" s="355">
        <f t="shared" si="37"/>
        <v>1.4627643580886153E-2</v>
      </c>
      <c r="GU98" s="305"/>
    </row>
    <row r="99" spans="2:203" x14ac:dyDescent="0.25">
      <c r="B99" s="38" t="str">
        <f t="shared" si="19"/>
        <v/>
      </c>
      <c r="C99" s="241" t="str">
        <f>'קיזוזים- החלטות ועדה'!C99</f>
        <v/>
      </c>
      <c r="D99" s="434" t="str">
        <f>IF($C99="","",'הגבלה לסכום מבוקש (1)'!D99)</f>
        <v/>
      </c>
      <c r="E99" s="434" t="str">
        <f>IF($C99="","",'קיזוזים בגין איחורים'!F99+'קיזוזים- החלטות ועדה'!E99)</f>
        <v/>
      </c>
      <c r="F99" s="434" t="str">
        <f t="shared" si="20"/>
        <v/>
      </c>
      <c r="G99" s="434" t="str">
        <f>'קיזוזים- החלטות ועדה'!G99</f>
        <v/>
      </c>
      <c r="H99" s="437" t="str">
        <f t="shared" si="21"/>
        <v/>
      </c>
      <c r="I99" s="434" t="str">
        <f t="shared" si="22"/>
        <v/>
      </c>
      <c r="J99" s="434" t="str">
        <f t="shared" si="23"/>
        <v/>
      </c>
      <c r="K99" s="438">
        <f t="shared" si="24"/>
        <v>0</v>
      </c>
      <c r="L99" s="439" t="str">
        <f t="shared" si="25"/>
        <v/>
      </c>
      <c r="M99" s="439" t="str">
        <f t="shared" si="26"/>
        <v/>
      </c>
      <c r="N99" s="438">
        <f t="shared" si="27"/>
        <v>0</v>
      </c>
      <c r="O99" s="439" t="str">
        <f t="shared" si="28"/>
        <v/>
      </c>
      <c r="P99" s="439" t="str">
        <f t="shared" si="29"/>
        <v/>
      </c>
      <c r="Q99" s="438">
        <f t="shared" si="30"/>
        <v>0</v>
      </c>
      <c r="R99" s="439" t="str">
        <f t="shared" si="31"/>
        <v/>
      </c>
      <c r="S99" s="439" t="str">
        <f t="shared" si="32"/>
        <v/>
      </c>
      <c r="T99" s="438">
        <f t="shared" si="33"/>
        <v>0</v>
      </c>
      <c r="U99" s="439" t="str">
        <f t="shared" si="34"/>
        <v/>
      </c>
      <c r="V99" s="439" t="str">
        <f t="shared" si="35"/>
        <v/>
      </c>
      <c r="W99" s="39" t="str">
        <f t="shared" si="36"/>
        <v/>
      </c>
      <c r="X99" s="355" t="str">
        <f t="shared" si="37"/>
        <v/>
      </c>
      <c r="GU99" s="305"/>
    </row>
    <row r="100" spans="2:203" x14ac:dyDescent="0.25">
      <c r="B100" s="38" t="str">
        <f t="shared" si="19"/>
        <v/>
      </c>
      <c r="C100" s="241" t="str">
        <f>'קיזוזים- החלטות ועדה'!C100</f>
        <v/>
      </c>
      <c r="D100" s="434" t="str">
        <f>IF($C100="","",'הגבלה לסכום מבוקש (1)'!D100)</f>
        <v/>
      </c>
      <c r="E100" s="434" t="str">
        <f>IF($C100="","",'קיזוזים בגין איחורים'!F100+'קיזוזים- החלטות ועדה'!E100)</f>
        <v/>
      </c>
      <c r="F100" s="434" t="str">
        <f t="shared" si="20"/>
        <v/>
      </c>
      <c r="G100" s="434" t="str">
        <f>'קיזוזים- החלטות ועדה'!G100</f>
        <v/>
      </c>
      <c r="H100" s="437" t="str">
        <f t="shared" si="21"/>
        <v/>
      </c>
      <c r="I100" s="434" t="str">
        <f t="shared" si="22"/>
        <v/>
      </c>
      <c r="J100" s="434" t="str">
        <f t="shared" si="23"/>
        <v/>
      </c>
      <c r="K100" s="438">
        <f t="shared" si="24"/>
        <v>0</v>
      </c>
      <c r="L100" s="439" t="str">
        <f t="shared" si="25"/>
        <v/>
      </c>
      <c r="M100" s="439" t="str">
        <f t="shared" si="26"/>
        <v/>
      </c>
      <c r="N100" s="438">
        <f t="shared" si="27"/>
        <v>0</v>
      </c>
      <c r="O100" s="439" t="str">
        <f t="shared" si="28"/>
        <v/>
      </c>
      <c r="P100" s="439" t="str">
        <f t="shared" si="29"/>
        <v/>
      </c>
      <c r="Q100" s="438">
        <f t="shared" si="30"/>
        <v>0</v>
      </c>
      <c r="R100" s="439" t="str">
        <f t="shared" si="31"/>
        <v/>
      </c>
      <c r="S100" s="439" t="str">
        <f t="shared" si="32"/>
        <v/>
      </c>
      <c r="T100" s="438">
        <f t="shared" si="33"/>
        <v>0</v>
      </c>
      <c r="U100" s="439" t="str">
        <f t="shared" si="34"/>
        <v/>
      </c>
      <c r="V100" s="439" t="str">
        <f t="shared" si="35"/>
        <v/>
      </c>
      <c r="W100" s="39" t="str">
        <f t="shared" si="36"/>
        <v/>
      </c>
      <c r="X100" s="355" t="str">
        <f t="shared" si="37"/>
        <v/>
      </c>
      <c r="GU100" s="305"/>
    </row>
    <row r="101" spans="2:203" x14ac:dyDescent="0.25">
      <c r="B101" s="38" t="str">
        <f t="shared" si="19"/>
        <v/>
      </c>
      <c r="C101" s="241" t="str">
        <f>'קיזוזים- החלטות ועדה'!C101</f>
        <v/>
      </c>
      <c r="D101" s="434" t="str">
        <f>IF($C101="","",'הגבלה לסכום מבוקש (1)'!D101)</f>
        <v/>
      </c>
      <c r="E101" s="434" t="str">
        <f>IF($C101="","",'קיזוזים בגין איחורים'!F101+'קיזוזים- החלטות ועדה'!E101)</f>
        <v/>
      </c>
      <c r="F101" s="434" t="str">
        <f t="shared" si="20"/>
        <v/>
      </c>
      <c r="G101" s="434" t="str">
        <f>'קיזוזים- החלטות ועדה'!G101</f>
        <v/>
      </c>
      <c r="H101" s="437" t="str">
        <f t="shared" si="21"/>
        <v/>
      </c>
      <c r="I101" s="434" t="str">
        <f t="shared" si="22"/>
        <v/>
      </c>
      <c r="J101" s="434" t="str">
        <f t="shared" si="23"/>
        <v/>
      </c>
      <c r="K101" s="438">
        <f t="shared" si="24"/>
        <v>0</v>
      </c>
      <c r="L101" s="439" t="str">
        <f t="shared" si="25"/>
        <v/>
      </c>
      <c r="M101" s="439" t="str">
        <f t="shared" si="26"/>
        <v/>
      </c>
      <c r="N101" s="438">
        <f t="shared" si="27"/>
        <v>0</v>
      </c>
      <c r="O101" s="439" t="str">
        <f t="shared" si="28"/>
        <v/>
      </c>
      <c r="P101" s="439" t="str">
        <f t="shared" si="29"/>
        <v/>
      </c>
      <c r="Q101" s="438">
        <f t="shared" si="30"/>
        <v>0</v>
      </c>
      <c r="R101" s="439" t="str">
        <f t="shared" si="31"/>
        <v/>
      </c>
      <c r="S101" s="439" t="str">
        <f t="shared" si="32"/>
        <v/>
      </c>
      <c r="T101" s="438">
        <f t="shared" si="33"/>
        <v>0</v>
      </c>
      <c r="U101" s="439" t="str">
        <f t="shared" si="34"/>
        <v/>
      </c>
      <c r="V101" s="439" t="str">
        <f t="shared" si="35"/>
        <v/>
      </c>
      <c r="W101" s="39" t="str">
        <f t="shared" si="36"/>
        <v/>
      </c>
      <c r="X101" s="355" t="str">
        <f t="shared" si="37"/>
        <v/>
      </c>
      <c r="GU101" s="305"/>
    </row>
    <row r="102" spans="2:203" x14ac:dyDescent="0.25">
      <c r="B102" s="38" t="str">
        <f t="shared" si="19"/>
        <v/>
      </c>
      <c r="C102" s="241" t="str">
        <f>'קיזוזים- החלטות ועדה'!C102</f>
        <v/>
      </c>
      <c r="D102" s="434" t="str">
        <f>IF($C102="","",'הגבלה לסכום מבוקש (1)'!D102)</f>
        <v/>
      </c>
      <c r="E102" s="434" t="str">
        <f>IF($C102="","",'קיזוזים בגין איחורים'!F102+'קיזוזים- החלטות ועדה'!E102)</f>
        <v/>
      </c>
      <c r="F102" s="434" t="str">
        <f t="shared" si="20"/>
        <v/>
      </c>
      <c r="G102" s="434" t="str">
        <f>'קיזוזים- החלטות ועדה'!G102</f>
        <v/>
      </c>
      <c r="H102" s="437" t="str">
        <f t="shared" si="21"/>
        <v/>
      </c>
      <c r="I102" s="434" t="str">
        <f t="shared" si="22"/>
        <v/>
      </c>
      <c r="J102" s="434" t="str">
        <f t="shared" si="23"/>
        <v/>
      </c>
      <c r="K102" s="438">
        <f t="shared" si="24"/>
        <v>0</v>
      </c>
      <c r="L102" s="439" t="str">
        <f t="shared" si="25"/>
        <v/>
      </c>
      <c r="M102" s="439" t="str">
        <f t="shared" si="26"/>
        <v/>
      </c>
      <c r="N102" s="438">
        <f t="shared" si="27"/>
        <v>0</v>
      </c>
      <c r="O102" s="439" t="str">
        <f t="shared" si="28"/>
        <v/>
      </c>
      <c r="P102" s="439" t="str">
        <f t="shared" si="29"/>
        <v/>
      </c>
      <c r="Q102" s="438">
        <f t="shared" si="30"/>
        <v>0</v>
      </c>
      <c r="R102" s="439" t="str">
        <f t="shared" si="31"/>
        <v/>
      </c>
      <c r="S102" s="439" t="str">
        <f t="shared" si="32"/>
        <v/>
      </c>
      <c r="T102" s="438">
        <f t="shared" si="33"/>
        <v>0</v>
      </c>
      <c r="U102" s="439" t="str">
        <f t="shared" si="34"/>
        <v/>
      </c>
      <c r="V102" s="439" t="str">
        <f t="shared" si="35"/>
        <v/>
      </c>
      <c r="W102" s="39" t="str">
        <f t="shared" si="36"/>
        <v/>
      </c>
      <c r="X102" s="355" t="str">
        <f t="shared" si="37"/>
        <v/>
      </c>
      <c r="GU102" s="305"/>
    </row>
    <row r="103" spans="2:203" x14ac:dyDescent="0.25">
      <c r="B103" s="38" t="str">
        <f t="shared" si="19"/>
        <v/>
      </c>
      <c r="C103" s="241" t="str">
        <f>'קיזוזים- החלטות ועדה'!C103</f>
        <v/>
      </c>
      <c r="D103" s="434" t="str">
        <f>IF($C103="","",'הגבלה לסכום מבוקש (1)'!D103)</f>
        <v/>
      </c>
      <c r="E103" s="434" t="str">
        <f>IF($C103="","",'קיזוזים בגין איחורים'!F103+'קיזוזים- החלטות ועדה'!E103)</f>
        <v/>
      </c>
      <c r="F103" s="434" t="str">
        <f t="shared" si="20"/>
        <v/>
      </c>
      <c r="G103" s="434" t="str">
        <f>'קיזוזים- החלטות ועדה'!G103</f>
        <v/>
      </c>
      <c r="H103" s="437" t="str">
        <f t="shared" si="21"/>
        <v/>
      </c>
      <c r="I103" s="434" t="str">
        <f t="shared" si="22"/>
        <v/>
      </c>
      <c r="J103" s="434" t="str">
        <f t="shared" si="23"/>
        <v/>
      </c>
      <c r="K103" s="438">
        <f t="shared" si="24"/>
        <v>0</v>
      </c>
      <c r="L103" s="439" t="str">
        <f t="shared" si="25"/>
        <v/>
      </c>
      <c r="M103" s="439" t="str">
        <f t="shared" si="26"/>
        <v/>
      </c>
      <c r="N103" s="438">
        <f t="shared" si="27"/>
        <v>0</v>
      </c>
      <c r="O103" s="439" t="str">
        <f t="shared" si="28"/>
        <v/>
      </c>
      <c r="P103" s="439" t="str">
        <f t="shared" si="29"/>
        <v/>
      </c>
      <c r="Q103" s="438">
        <f t="shared" si="30"/>
        <v>0</v>
      </c>
      <c r="R103" s="439" t="str">
        <f t="shared" si="31"/>
        <v/>
      </c>
      <c r="S103" s="439" t="str">
        <f t="shared" si="32"/>
        <v/>
      </c>
      <c r="T103" s="438">
        <f t="shared" si="33"/>
        <v>0</v>
      </c>
      <c r="U103" s="439" t="str">
        <f t="shared" si="34"/>
        <v/>
      </c>
      <c r="V103" s="439" t="str">
        <f t="shared" si="35"/>
        <v/>
      </c>
      <c r="W103" s="39" t="str">
        <f t="shared" si="36"/>
        <v/>
      </c>
      <c r="X103" s="355" t="str">
        <f t="shared" si="37"/>
        <v/>
      </c>
      <c r="GU103" s="305"/>
    </row>
    <row r="104" spans="2:203" x14ac:dyDescent="0.25">
      <c r="B104" s="38" t="str">
        <f t="shared" si="19"/>
        <v/>
      </c>
      <c r="C104" s="241" t="str">
        <f>'קיזוזים- החלטות ועדה'!C104</f>
        <v/>
      </c>
      <c r="D104" s="434" t="str">
        <f>IF($C104="","",'הגבלה לסכום מבוקש (1)'!D104)</f>
        <v/>
      </c>
      <c r="E104" s="434" t="str">
        <f>IF($C104="","",'קיזוזים בגין איחורים'!F104+'קיזוזים- החלטות ועדה'!E104)</f>
        <v/>
      </c>
      <c r="F104" s="434" t="str">
        <f t="shared" si="20"/>
        <v/>
      </c>
      <c r="G104" s="434" t="str">
        <f>'קיזוזים- החלטות ועדה'!G104</f>
        <v/>
      </c>
      <c r="H104" s="437" t="str">
        <f t="shared" si="21"/>
        <v/>
      </c>
      <c r="I104" s="434" t="str">
        <f t="shared" si="22"/>
        <v/>
      </c>
      <c r="J104" s="434" t="str">
        <f t="shared" si="23"/>
        <v/>
      </c>
      <c r="K104" s="438">
        <f t="shared" si="24"/>
        <v>0</v>
      </c>
      <c r="L104" s="439" t="str">
        <f t="shared" si="25"/>
        <v/>
      </c>
      <c r="M104" s="439" t="str">
        <f t="shared" si="26"/>
        <v/>
      </c>
      <c r="N104" s="438">
        <f t="shared" si="27"/>
        <v>0</v>
      </c>
      <c r="O104" s="439" t="str">
        <f t="shared" si="28"/>
        <v/>
      </c>
      <c r="P104" s="439" t="str">
        <f t="shared" si="29"/>
        <v/>
      </c>
      <c r="Q104" s="438">
        <f t="shared" si="30"/>
        <v>0</v>
      </c>
      <c r="R104" s="439" t="str">
        <f t="shared" si="31"/>
        <v/>
      </c>
      <c r="S104" s="439" t="str">
        <f t="shared" si="32"/>
        <v/>
      </c>
      <c r="T104" s="438">
        <f t="shared" si="33"/>
        <v>0</v>
      </c>
      <c r="U104" s="439" t="str">
        <f t="shared" si="34"/>
        <v/>
      </c>
      <c r="V104" s="439" t="str">
        <f t="shared" si="35"/>
        <v/>
      </c>
      <c r="W104" s="39" t="str">
        <f t="shared" si="36"/>
        <v/>
      </c>
      <c r="X104" s="355" t="str">
        <f t="shared" si="37"/>
        <v/>
      </c>
      <c r="GU104" s="305"/>
    </row>
    <row r="105" spans="2:203" ht="30.75" customHeight="1" x14ac:dyDescent="0.25">
      <c r="B105" s="38">
        <f t="shared" si="19"/>
        <v>75</v>
      </c>
      <c r="C105" s="241" t="str">
        <f>'קיזוזים- החלטות ועדה'!C105</f>
        <v>לבונטין 7</v>
      </c>
      <c r="D105" s="434">
        <f>IF($C105="","",'הגבלה לסכום מבוקש (1)'!D105)</f>
        <v>100000</v>
      </c>
      <c r="E105" s="434">
        <f>IF($C105="","",'קיזוזים בגין איחורים'!F105+'קיזוזים- החלטות ועדה'!E105)</f>
        <v>0</v>
      </c>
      <c r="F105" s="434">
        <f t="shared" si="20"/>
        <v>100000</v>
      </c>
      <c r="G105" s="434">
        <f>'קיזוזים- החלטות ועדה'!G105</f>
        <v>74924.348521178836</v>
      </c>
      <c r="H105" s="437">
        <f t="shared" si="21"/>
        <v>0</v>
      </c>
      <c r="I105" s="434">
        <f t="shared" si="22"/>
        <v>74924.348521178836</v>
      </c>
      <c r="J105" s="434">
        <f t="shared" si="23"/>
        <v>74924.348521178807</v>
      </c>
      <c r="K105" s="438">
        <f t="shared" si="24"/>
        <v>0</v>
      </c>
      <c r="L105" s="439">
        <f t="shared" si="25"/>
        <v>74924.348521178807</v>
      </c>
      <c r="M105" s="439">
        <f t="shared" si="26"/>
        <v>74924.34852117885</v>
      </c>
      <c r="N105" s="438">
        <f t="shared" si="27"/>
        <v>0</v>
      </c>
      <c r="O105" s="439">
        <f t="shared" si="28"/>
        <v>74924.34852117885</v>
      </c>
      <c r="P105" s="439">
        <f t="shared" si="29"/>
        <v>74924.348521178821</v>
      </c>
      <c r="Q105" s="438">
        <f t="shared" si="30"/>
        <v>0</v>
      </c>
      <c r="R105" s="439">
        <f t="shared" si="31"/>
        <v>74924.348521178821</v>
      </c>
      <c r="S105" s="439">
        <f t="shared" si="32"/>
        <v>74924.348521178836</v>
      </c>
      <c r="T105" s="438">
        <f t="shared" si="33"/>
        <v>0</v>
      </c>
      <c r="U105" s="439">
        <f t="shared" si="34"/>
        <v>74924.348521178836</v>
      </c>
      <c r="V105" s="439">
        <f t="shared" si="35"/>
        <v>74924.348521178807</v>
      </c>
      <c r="W105" s="39">
        <f t="shared" si="36"/>
        <v>74924.348521178807</v>
      </c>
      <c r="X105" s="355">
        <f t="shared" si="37"/>
        <v>2.4354814793286637E-2</v>
      </c>
      <c r="GU105" s="305"/>
    </row>
    <row r="106" spans="2:203" ht="33.75" customHeight="1" x14ac:dyDescent="0.25">
      <c r="B106" s="38">
        <f t="shared" si="19"/>
        <v>76</v>
      </c>
      <c r="C106" s="241" t="str">
        <f>'קיזוזים- החלטות ועדה'!C106</f>
        <v>מולטי פיאנו- פליציה בלומנטל</v>
      </c>
      <c r="D106" s="434">
        <f>IF($C106="","",'הגבלה לסכום מבוקש (1)'!D106)</f>
        <v>75000</v>
      </c>
      <c r="E106" s="434">
        <f>IF($C106="","",'קיזוזים בגין איחורים'!F106+'קיזוזים- החלטות ועדה'!E106)</f>
        <v>0</v>
      </c>
      <c r="F106" s="434">
        <f t="shared" si="20"/>
        <v>75000</v>
      </c>
      <c r="G106" s="434">
        <f>'קיזוזים- החלטות ועדה'!G106</f>
        <v>54445.873871104304</v>
      </c>
      <c r="H106" s="437">
        <f t="shared" si="21"/>
        <v>0</v>
      </c>
      <c r="I106" s="434">
        <f t="shared" si="22"/>
        <v>54445.873871104304</v>
      </c>
      <c r="J106" s="434">
        <f t="shared" si="23"/>
        <v>54445.87387110429</v>
      </c>
      <c r="K106" s="438">
        <f t="shared" si="24"/>
        <v>0</v>
      </c>
      <c r="L106" s="439">
        <f t="shared" si="25"/>
        <v>54445.87387110429</v>
      </c>
      <c r="M106" s="439">
        <f t="shared" si="26"/>
        <v>54445.873871104319</v>
      </c>
      <c r="N106" s="438">
        <f t="shared" si="27"/>
        <v>0</v>
      </c>
      <c r="O106" s="439">
        <f t="shared" si="28"/>
        <v>54445.873871104319</v>
      </c>
      <c r="P106" s="439">
        <f t="shared" si="29"/>
        <v>54445.87387110429</v>
      </c>
      <c r="Q106" s="438">
        <f t="shared" si="30"/>
        <v>0</v>
      </c>
      <c r="R106" s="439">
        <f t="shared" si="31"/>
        <v>54445.87387110429</v>
      </c>
      <c r="S106" s="439">
        <f t="shared" si="32"/>
        <v>54445.873871104312</v>
      </c>
      <c r="T106" s="438">
        <f t="shared" si="33"/>
        <v>0</v>
      </c>
      <c r="U106" s="439">
        <f t="shared" si="34"/>
        <v>54445.873871104312</v>
      </c>
      <c r="V106" s="439">
        <f t="shared" si="35"/>
        <v>54445.873871104297</v>
      </c>
      <c r="W106" s="39">
        <f t="shared" si="36"/>
        <v>54445.873871104297</v>
      </c>
      <c r="X106" s="355">
        <f t="shared" si="37"/>
        <v>1.7698107498586583E-2</v>
      </c>
      <c r="GU106" s="305"/>
    </row>
    <row r="107" spans="2:203" ht="27" customHeight="1" x14ac:dyDescent="0.25">
      <c r="B107" s="38">
        <f t="shared" si="19"/>
        <v>77</v>
      </c>
      <c r="C107" s="241" t="str">
        <f>'קיזוזים- החלטות ועדה'!C107</f>
        <v>ארמון בזמן - העמותה לתרבות רב תחומית</v>
      </c>
      <c r="D107" s="434">
        <f>IF($C107="","",'הגבלה לסכום מבוקש (1)'!D107)</f>
        <v>300000</v>
      </c>
      <c r="E107" s="434">
        <f>IF($C107="","",'קיזוזים בגין איחורים'!F107+'קיזוזים- החלטות ועדה'!E107)</f>
        <v>0</v>
      </c>
      <c r="F107" s="434">
        <f t="shared" si="20"/>
        <v>300000</v>
      </c>
      <c r="G107" s="434">
        <f>'קיזוזים- החלטות ועדה'!G107</f>
        <v>74648.657273345394</v>
      </c>
      <c r="H107" s="437">
        <f t="shared" si="21"/>
        <v>0</v>
      </c>
      <c r="I107" s="434">
        <f t="shared" si="22"/>
        <v>74648.657273345394</v>
      </c>
      <c r="J107" s="434">
        <f t="shared" si="23"/>
        <v>74648.657273345365</v>
      </c>
      <c r="K107" s="438">
        <f t="shared" si="24"/>
        <v>0</v>
      </c>
      <c r="L107" s="439">
        <f t="shared" si="25"/>
        <v>74648.657273345365</v>
      </c>
      <c r="M107" s="439">
        <f t="shared" si="26"/>
        <v>74648.657273345409</v>
      </c>
      <c r="N107" s="438">
        <f t="shared" si="27"/>
        <v>0</v>
      </c>
      <c r="O107" s="439">
        <f t="shared" si="28"/>
        <v>74648.657273345409</v>
      </c>
      <c r="P107" s="439">
        <f t="shared" si="29"/>
        <v>74648.65727334538</v>
      </c>
      <c r="Q107" s="438">
        <f t="shared" si="30"/>
        <v>0</v>
      </c>
      <c r="R107" s="439">
        <f t="shared" si="31"/>
        <v>74648.65727334538</v>
      </c>
      <c r="S107" s="439">
        <f t="shared" si="32"/>
        <v>74648.657273345394</v>
      </c>
      <c r="T107" s="438">
        <f t="shared" si="33"/>
        <v>0</v>
      </c>
      <c r="U107" s="439">
        <f t="shared" si="34"/>
        <v>74648.657273345394</v>
      </c>
      <c r="V107" s="439">
        <f t="shared" si="35"/>
        <v>74648.657273345365</v>
      </c>
      <c r="W107" s="39">
        <f t="shared" si="36"/>
        <v>74648.657273345365</v>
      </c>
      <c r="X107" s="355">
        <f t="shared" si="37"/>
        <v>2.426519894191603E-2</v>
      </c>
      <c r="GU107" s="305"/>
    </row>
    <row r="108" spans="2:203" x14ac:dyDescent="0.25">
      <c r="B108" s="38" t="str">
        <f t="shared" si="19"/>
        <v/>
      </c>
      <c r="C108" s="241" t="str">
        <f>'קיזוזים- החלטות ועדה'!C108</f>
        <v/>
      </c>
      <c r="D108" s="434" t="str">
        <f>IF($C108="","",'הגבלה לסכום מבוקש (1)'!D108)</f>
        <v/>
      </c>
      <c r="E108" s="434" t="str">
        <f>IF($C108="","",'קיזוזים בגין איחורים'!F108+'קיזוזים- החלטות ועדה'!E108)</f>
        <v/>
      </c>
      <c r="F108" s="434" t="str">
        <f t="shared" si="20"/>
        <v/>
      </c>
      <c r="G108" s="434" t="str">
        <f>'קיזוזים- החלטות ועדה'!G108</f>
        <v/>
      </c>
      <c r="H108" s="437" t="str">
        <f t="shared" si="21"/>
        <v/>
      </c>
      <c r="I108" s="434" t="str">
        <f t="shared" si="22"/>
        <v/>
      </c>
      <c r="J108" s="434" t="str">
        <f t="shared" si="23"/>
        <v/>
      </c>
      <c r="K108" s="438">
        <f t="shared" si="24"/>
        <v>0</v>
      </c>
      <c r="L108" s="439" t="str">
        <f t="shared" si="25"/>
        <v/>
      </c>
      <c r="M108" s="439" t="str">
        <f t="shared" si="26"/>
        <v/>
      </c>
      <c r="N108" s="438">
        <f t="shared" si="27"/>
        <v>0</v>
      </c>
      <c r="O108" s="439" t="str">
        <f t="shared" si="28"/>
        <v/>
      </c>
      <c r="P108" s="439" t="str">
        <f t="shared" si="29"/>
        <v/>
      </c>
      <c r="Q108" s="438">
        <f t="shared" si="30"/>
        <v>0</v>
      </c>
      <c r="R108" s="439" t="str">
        <f t="shared" si="31"/>
        <v/>
      </c>
      <c r="S108" s="439" t="str">
        <f t="shared" si="32"/>
        <v/>
      </c>
      <c r="T108" s="438">
        <f t="shared" si="33"/>
        <v>0</v>
      </c>
      <c r="U108" s="439" t="str">
        <f t="shared" si="34"/>
        <v/>
      </c>
      <c r="V108" s="439" t="str">
        <f t="shared" si="35"/>
        <v/>
      </c>
      <c r="W108" s="39" t="str">
        <f t="shared" si="36"/>
        <v/>
      </c>
      <c r="X108" s="355" t="str">
        <f t="shared" si="37"/>
        <v/>
      </c>
      <c r="GU108" s="305"/>
    </row>
    <row r="109" spans="2:203" x14ac:dyDescent="0.25">
      <c r="B109" s="38" t="str">
        <f t="shared" si="19"/>
        <v/>
      </c>
      <c r="C109" s="241" t="str">
        <f>'קיזוזים- החלטות ועדה'!C109</f>
        <v/>
      </c>
      <c r="D109" s="434" t="str">
        <f>IF($C109="","",'הגבלה לסכום מבוקש (1)'!D109)</f>
        <v/>
      </c>
      <c r="E109" s="434" t="str">
        <f>IF($C109="","",'קיזוזים בגין איחורים'!F109+'קיזוזים- החלטות ועדה'!E109)</f>
        <v/>
      </c>
      <c r="F109" s="434" t="str">
        <f t="shared" si="20"/>
        <v/>
      </c>
      <c r="G109" s="434" t="str">
        <f>'קיזוזים- החלטות ועדה'!G109</f>
        <v/>
      </c>
      <c r="H109" s="437" t="str">
        <f t="shared" si="21"/>
        <v/>
      </c>
      <c r="I109" s="434" t="str">
        <f t="shared" si="22"/>
        <v/>
      </c>
      <c r="J109" s="434" t="str">
        <f t="shared" si="23"/>
        <v/>
      </c>
      <c r="K109" s="438">
        <f t="shared" si="24"/>
        <v>0</v>
      </c>
      <c r="L109" s="439" t="str">
        <f t="shared" si="25"/>
        <v/>
      </c>
      <c r="M109" s="439" t="str">
        <f t="shared" si="26"/>
        <v/>
      </c>
      <c r="N109" s="438">
        <f t="shared" si="27"/>
        <v>0</v>
      </c>
      <c r="O109" s="439" t="str">
        <f t="shared" si="28"/>
        <v/>
      </c>
      <c r="P109" s="439" t="str">
        <f t="shared" si="29"/>
        <v/>
      </c>
      <c r="Q109" s="438">
        <f t="shared" si="30"/>
        <v>0</v>
      </c>
      <c r="R109" s="439" t="str">
        <f t="shared" si="31"/>
        <v/>
      </c>
      <c r="S109" s="439" t="str">
        <f t="shared" si="32"/>
        <v/>
      </c>
      <c r="T109" s="438">
        <f t="shared" si="33"/>
        <v>0</v>
      </c>
      <c r="U109" s="439" t="str">
        <f t="shared" si="34"/>
        <v/>
      </c>
      <c r="V109" s="439" t="str">
        <f t="shared" si="35"/>
        <v/>
      </c>
      <c r="W109" s="39" t="str">
        <f t="shared" si="36"/>
        <v/>
      </c>
      <c r="X109" s="355" t="str">
        <f t="shared" si="37"/>
        <v/>
      </c>
      <c r="GU109" s="305"/>
    </row>
    <row r="110" spans="2:203" x14ac:dyDescent="0.25">
      <c r="B110" s="38" t="str">
        <f t="shared" si="19"/>
        <v/>
      </c>
      <c r="C110" s="241" t="str">
        <f>'קיזוזים- החלטות ועדה'!C110</f>
        <v/>
      </c>
      <c r="D110" s="434" t="str">
        <f>IF($C110="","",'הגבלה לסכום מבוקש (1)'!D110)</f>
        <v/>
      </c>
      <c r="E110" s="434" t="str">
        <f>IF($C110="","",'קיזוזים בגין איחורים'!F110+'קיזוזים- החלטות ועדה'!E110)</f>
        <v/>
      </c>
      <c r="F110" s="434" t="str">
        <f t="shared" si="20"/>
        <v/>
      </c>
      <c r="G110" s="434" t="str">
        <f>'קיזוזים- החלטות ועדה'!G110</f>
        <v/>
      </c>
      <c r="H110" s="437" t="str">
        <f t="shared" si="21"/>
        <v/>
      </c>
      <c r="I110" s="434" t="str">
        <f t="shared" si="22"/>
        <v/>
      </c>
      <c r="J110" s="434" t="str">
        <f t="shared" si="23"/>
        <v/>
      </c>
      <c r="K110" s="438">
        <f t="shared" si="24"/>
        <v>0</v>
      </c>
      <c r="L110" s="439" t="str">
        <f t="shared" si="25"/>
        <v/>
      </c>
      <c r="M110" s="439" t="str">
        <f t="shared" si="26"/>
        <v/>
      </c>
      <c r="N110" s="438">
        <f t="shared" si="27"/>
        <v>0</v>
      </c>
      <c r="O110" s="439" t="str">
        <f t="shared" si="28"/>
        <v/>
      </c>
      <c r="P110" s="439" t="str">
        <f t="shared" si="29"/>
        <v/>
      </c>
      <c r="Q110" s="438">
        <f t="shared" si="30"/>
        <v>0</v>
      </c>
      <c r="R110" s="439" t="str">
        <f t="shared" si="31"/>
        <v/>
      </c>
      <c r="S110" s="439" t="str">
        <f t="shared" si="32"/>
        <v/>
      </c>
      <c r="T110" s="438">
        <f t="shared" si="33"/>
        <v>0</v>
      </c>
      <c r="U110" s="439" t="str">
        <f t="shared" si="34"/>
        <v/>
      </c>
      <c r="V110" s="439" t="str">
        <f t="shared" si="35"/>
        <v/>
      </c>
      <c r="W110" s="39" t="str">
        <f t="shared" si="36"/>
        <v/>
      </c>
      <c r="X110" s="355" t="str">
        <f t="shared" si="37"/>
        <v/>
      </c>
      <c r="GU110" s="305"/>
    </row>
    <row r="111" spans="2:203" x14ac:dyDescent="0.25">
      <c r="B111" s="38" t="str">
        <f t="shared" si="19"/>
        <v/>
      </c>
      <c r="C111" s="241" t="str">
        <f>'קיזוזים- החלטות ועדה'!C111</f>
        <v/>
      </c>
      <c r="D111" s="434" t="str">
        <f>IF($C111="","",'הגבלה לסכום מבוקש (1)'!D111)</f>
        <v/>
      </c>
      <c r="E111" s="434" t="str">
        <f>IF($C111="","",'קיזוזים בגין איחורים'!F111+'קיזוזים- החלטות ועדה'!E111)</f>
        <v/>
      </c>
      <c r="F111" s="434" t="str">
        <f t="shared" si="20"/>
        <v/>
      </c>
      <c r="G111" s="434" t="str">
        <f>'קיזוזים- החלטות ועדה'!G111</f>
        <v/>
      </c>
      <c r="H111" s="437" t="str">
        <f t="shared" si="21"/>
        <v/>
      </c>
      <c r="I111" s="434" t="str">
        <f t="shared" si="22"/>
        <v/>
      </c>
      <c r="J111" s="434" t="str">
        <f t="shared" si="23"/>
        <v/>
      </c>
      <c r="K111" s="438">
        <f t="shared" si="24"/>
        <v>0</v>
      </c>
      <c r="L111" s="439" t="str">
        <f t="shared" si="25"/>
        <v/>
      </c>
      <c r="M111" s="439" t="str">
        <f t="shared" si="26"/>
        <v/>
      </c>
      <c r="N111" s="438">
        <f t="shared" si="27"/>
        <v>0</v>
      </c>
      <c r="O111" s="439" t="str">
        <f t="shared" si="28"/>
        <v/>
      </c>
      <c r="P111" s="439" t="str">
        <f t="shared" si="29"/>
        <v/>
      </c>
      <c r="Q111" s="438">
        <f t="shared" si="30"/>
        <v>0</v>
      </c>
      <c r="R111" s="439" t="str">
        <f t="shared" si="31"/>
        <v/>
      </c>
      <c r="S111" s="439" t="str">
        <f t="shared" si="32"/>
        <v/>
      </c>
      <c r="T111" s="438">
        <f t="shared" si="33"/>
        <v>0</v>
      </c>
      <c r="U111" s="439" t="str">
        <f t="shared" si="34"/>
        <v/>
      </c>
      <c r="V111" s="439" t="str">
        <f t="shared" si="35"/>
        <v/>
      </c>
      <c r="W111" s="39" t="str">
        <f t="shared" si="36"/>
        <v/>
      </c>
      <c r="X111" s="355" t="str">
        <f t="shared" si="37"/>
        <v/>
      </c>
      <c r="GU111" s="305"/>
    </row>
    <row r="112" spans="2:203" x14ac:dyDescent="0.25">
      <c r="B112" s="38" t="str">
        <f t="shared" si="19"/>
        <v/>
      </c>
      <c r="C112" s="241" t="str">
        <f>'קיזוזים- החלטות ועדה'!C112</f>
        <v/>
      </c>
      <c r="D112" s="434" t="str">
        <f>IF($C112="","",'הגבלה לסכום מבוקש (1)'!D112)</f>
        <v/>
      </c>
      <c r="E112" s="434" t="str">
        <f>IF($C112="","",'קיזוזים בגין איחורים'!F112+'קיזוזים- החלטות ועדה'!E112)</f>
        <v/>
      </c>
      <c r="F112" s="434" t="str">
        <f t="shared" si="20"/>
        <v/>
      </c>
      <c r="G112" s="434" t="str">
        <f>'קיזוזים- החלטות ועדה'!G112</f>
        <v/>
      </c>
      <c r="H112" s="437" t="str">
        <f t="shared" si="21"/>
        <v/>
      </c>
      <c r="I112" s="434" t="str">
        <f t="shared" si="22"/>
        <v/>
      </c>
      <c r="J112" s="434" t="str">
        <f t="shared" si="23"/>
        <v/>
      </c>
      <c r="K112" s="438">
        <f t="shared" si="24"/>
        <v>0</v>
      </c>
      <c r="L112" s="439" t="str">
        <f t="shared" si="25"/>
        <v/>
      </c>
      <c r="M112" s="439" t="str">
        <f t="shared" si="26"/>
        <v/>
      </c>
      <c r="N112" s="438">
        <f t="shared" si="27"/>
        <v>0</v>
      </c>
      <c r="O112" s="439" t="str">
        <f t="shared" si="28"/>
        <v/>
      </c>
      <c r="P112" s="439" t="str">
        <f t="shared" si="29"/>
        <v/>
      </c>
      <c r="Q112" s="438">
        <f t="shared" si="30"/>
        <v>0</v>
      </c>
      <c r="R112" s="439" t="str">
        <f t="shared" si="31"/>
        <v/>
      </c>
      <c r="S112" s="439" t="str">
        <f t="shared" si="32"/>
        <v/>
      </c>
      <c r="T112" s="438">
        <f t="shared" si="33"/>
        <v>0</v>
      </c>
      <c r="U112" s="439" t="str">
        <f t="shared" si="34"/>
        <v/>
      </c>
      <c r="V112" s="439" t="str">
        <f t="shared" si="35"/>
        <v/>
      </c>
      <c r="W112" s="39" t="str">
        <f t="shared" si="36"/>
        <v/>
      </c>
      <c r="X112" s="355" t="str">
        <f t="shared" si="37"/>
        <v/>
      </c>
      <c r="GU112" s="305"/>
    </row>
    <row r="113" spans="2:203" x14ac:dyDescent="0.25">
      <c r="B113" s="38" t="str">
        <f t="shared" si="19"/>
        <v/>
      </c>
      <c r="C113" s="241" t="str">
        <f>'קיזוזים- החלטות ועדה'!C113</f>
        <v/>
      </c>
      <c r="D113" s="434" t="str">
        <f>IF($C113="","",'הגבלה לסכום מבוקש (1)'!D113)</f>
        <v/>
      </c>
      <c r="E113" s="434" t="str">
        <f>IF($C113="","",'קיזוזים בגין איחורים'!F113+'קיזוזים- החלטות ועדה'!E113)</f>
        <v/>
      </c>
      <c r="F113" s="434" t="str">
        <f t="shared" si="20"/>
        <v/>
      </c>
      <c r="G113" s="434" t="str">
        <f>'קיזוזים- החלטות ועדה'!G113</f>
        <v/>
      </c>
      <c r="H113" s="437" t="str">
        <f t="shared" si="21"/>
        <v/>
      </c>
      <c r="I113" s="434" t="str">
        <f t="shared" si="22"/>
        <v/>
      </c>
      <c r="J113" s="434" t="str">
        <f t="shared" si="23"/>
        <v/>
      </c>
      <c r="K113" s="438">
        <f t="shared" si="24"/>
        <v>0</v>
      </c>
      <c r="L113" s="439" t="str">
        <f t="shared" si="25"/>
        <v/>
      </c>
      <c r="M113" s="439" t="str">
        <f t="shared" si="26"/>
        <v/>
      </c>
      <c r="N113" s="438">
        <f t="shared" si="27"/>
        <v>0</v>
      </c>
      <c r="O113" s="439" t="str">
        <f t="shared" si="28"/>
        <v/>
      </c>
      <c r="P113" s="439" t="str">
        <f t="shared" si="29"/>
        <v/>
      </c>
      <c r="Q113" s="438">
        <f t="shared" si="30"/>
        <v>0</v>
      </c>
      <c r="R113" s="439" t="str">
        <f t="shared" si="31"/>
        <v/>
      </c>
      <c r="S113" s="439" t="str">
        <f t="shared" si="32"/>
        <v/>
      </c>
      <c r="T113" s="438">
        <f t="shared" si="33"/>
        <v>0</v>
      </c>
      <c r="U113" s="439" t="str">
        <f t="shared" si="34"/>
        <v/>
      </c>
      <c r="V113" s="439" t="str">
        <f t="shared" si="35"/>
        <v/>
      </c>
      <c r="W113" s="39" t="str">
        <f t="shared" si="36"/>
        <v/>
      </c>
      <c r="X113" s="355" t="str">
        <f t="shared" si="37"/>
        <v/>
      </c>
      <c r="GU113" s="305"/>
    </row>
    <row r="114" spans="2:203" x14ac:dyDescent="0.25">
      <c r="B114" s="38" t="str">
        <f t="shared" si="19"/>
        <v/>
      </c>
      <c r="C114" s="241" t="str">
        <f>'קיזוזים- החלטות ועדה'!C114</f>
        <v/>
      </c>
      <c r="D114" s="434" t="str">
        <f>IF($C114="","",'הגבלה לסכום מבוקש (1)'!D114)</f>
        <v/>
      </c>
      <c r="E114" s="434" t="str">
        <f>IF($C114="","",'קיזוזים בגין איחורים'!F114+'קיזוזים- החלטות ועדה'!E114)</f>
        <v/>
      </c>
      <c r="F114" s="434" t="str">
        <f t="shared" si="20"/>
        <v/>
      </c>
      <c r="G114" s="434" t="str">
        <f>'קיזוזים- החלטות ועדה'!G114</f>
        <v/>
      </c>
      <c r="H114" s="437" t="str">
        <f t="shared" si="21"/>
        <v/>
      </c>
      <c r="I114" s="434" t="str">
        <f t="shared" si="22"/>
        <v/>
      </c>
      <c r="J114" s="434" t="str">
        <f t="shared" si="23"/>
        <v/>
      </c>
      <c r="K114" s="438">
        <f t="shared" si="24"/>
        <v>0</v>
      </c>
      <c r="L114" s="439" t="str">
        <f t="shared" si="25"/>
        <v/>
      </c>
      <c r="M114" s="439" t="str">
        <f t="shared" si="26"/>
        <v/>
      </c>
      <c r="N114" s="438">
        <f t="shared" si="27"/>
        <v>0</v>
      </c>
      <c r="O114" s="439" t="str">
        <f t="shared" si="28"/>
        <v/>
      </c>
      <c r="P114" s="439" t="str">
        <f t="shared" si="29"/>
        <v/>
      </c>
      <c r="Q114" s="438">
        <f t="shared" si="30"/>
        <v>0</v>
      </c>
      <c r="R114" s="439" t="str">
        <f t="shared" si="31"/>
        <v/>
      </c>
      <c r="S114" s="439" t="str">
        <f t="shared" si="32"/>
        <v/>
      </c>
      <c r="T114" s="438">
        <f t="shared" si="33"/>
        <v>0</v>
      </c>
      <c r="U114" s="439" t="str">
        <f t="shared" si="34"/>
        <v/>
      </c>
      <c r="V114" s="439" t="str">
        <f t="shared" si="35"/>
        <v/>
      </c>
      <c r="W114" s="39" t="str">
        <f t="shared" si="36"/>
        <v/>
      </c>
      <c r="X114" s="355" t="str">
        <f t="shared" si="37"/>
        <v/>
      </c>
      <c r="GU114" s="305"/>
    </row>
    <row r="115" spans="2:203" x14ac:dyDescent="0.25">
      <c r="B115" s="38" t="str">
        <f t="shared" si="19"/>
        <v/>
      </c>
      <c r="C115" s="241" t="str">
        <f>'קיזוזים- החלטות ועדה'!C115</f>
        <v/>
      </c>
      <c r="D115" s="434" t="str">
        <f>IF($C115="","",'הגבלה לסכום מבוקש (1)'!D115)</f>
        <v/>
      </c>
      <c r="E115" s="434" t="str">
        <f>IF($C115="","",'קיזוזים בגין איחורים'!F115+'קיזוזים- החלטות ועדה'!E115)</f>
        <v/>
      </c>
      <c r="F115" s="434" t="str">
        <f t="shared" si="20"/>
        <v/>
      </c>
      <c r="G115" s="434" t="str">
        <f>'קיזוזים- החלטות ועדה'!G115</f>
        <v/>
      </c>
      <c r="H115" s="437" t="str">
        <f t="shared" si="21"/>
        <v/>
      </c>
      <c r="I115" s="434" t="str">
        <f t="shared" si="22"/>
        <v/>
      </c>
      <c r="J115" s="434" t="str">
        <f t="shared" si="23"/>
        <v/>
      </c>
      <c r="K115" s="438">
        <f t="shared" si="24"/>
        <v>0</v>
      </c>
      <c r="L115" s="439" t="str">
        <f t="shared" si="25"/>
        <v/>
      </c>
      <c r="M115" s="439" t="str">
        <f t="shared" si="26"/>
        <v/>
      </c>
      <c r="N115" s="438">
        <f t="shared" si="27"/>
        <v>0</v>
      </c>
      <c r="O115" s="439" t="str">
        <f t="shared" si="28"/>
        <v/>
      </c>
      <c r="P115" s="439" t="str">
        <f t="shared" si="29"/>
        <v/>
      </c>
      <c r="Q115" s="438">
        <f t="shared" si="30"/>
        <v>0</v>
      </c>
      <c r="R115" s="439" t="str">
        <f t="shared" si="31"/>
        <v/>
      </c>
      <c r="S115" s="439" t="str">
        <f t="shared" si="32"/>
        <v/>
      </c>
      <c r="T115" s="438">
        <f t="shared" si="33"/>
        <v>0</v>
      </c>
      <c r="U115" s="439" t="str">
        <f t="shared" si="34"/>
        <v/>
      </c>
      <c r="V115" s="439" t="str">
        <f t="shared" si="35"/>
        <v/>
      </c>
      <c r="W115" s="39" t="str">
        <f t="shared" si="36"/>
        <v/>
      </c>
      <c r="X115" s="355" t="str">
        <f t="shared" si="37"/>
        <v/>
      </c>
      <c r="GU115" s="305"/>
    </row>
    <row r="116" spans="2:203" x14ac:dyDescent="0.25">
      <c r="B116" s="38" t="str">
        <f t="shared" si="19"/>
        <v/>
      </c>
      <c r="C116" s="241" t="str">
        <f>'קיזוזים- החלטות ועדה'!C116</f>
        <v/>
      </c>
      <c r="D116" s="434" t="str">
        <f>IF($C116="","",'הגבלה לסכום מבוקש (1)'!D116)</f>
        <v/>
      </c>
      <c r="E116" s="434" t="str">
        <f>IF($C116="","",'קיזוזים בגין איחורים'!F116+'קיזוזים- החלטות ועדה'!E116)</f>
        <v/>
      </c>
      <c r="F116" s="434" t="str">
        <f t="shared" si="20"/>
        <v/>
      </c>
      <c r="G116" s="434" t="str">
        <f>'קיזוזים- החלטות ועדה'!G116</f>
        <v/>
      </c>
      <c r="H116" s="437" t="str">
        <f t="shared" si="21"/>
        <v/>
      </c>
      <c r="I116" s="434" t="str">
        <f t="shared" si="22"/>
        <v/>
      </c>
      <c r="J116" s="434" t="str">
        <f t="shared" si="23"/>
        <v/>
      </c>
      <c r="K116" s="438">
        <f t="shared" si="24"/>
        <v>0</v>
      </c>
      <c r="L116" s="439" t="str">
        <f t="shared" si="25"/>
        <v/>
      </c>
      <c r="M116" s="439" t="str">
        <f t="shared" si="26"/>
        <v/>
      </c>
      <c r="N116" s="438">
        <f t="shared" si="27"/>
        <v>0</v>
      </c>
      <c r="O116" s="439" t="str">
        <f t="shared" si="28"/>
        <v/>
      </c>
      <c r="P116" s="439" t="str">
        <f t="shared" si="29"/>
        <v/>
      </c>
      <c r="Q116" s="438">
        <f t="shared" si="30"/>
        <v>0</v>
      </c>
      <c r="R116" s="439" t="str">
        <f t="shared" si="31"/>
        <v/>
      </c>
      <c r="S116" s="439" t="str">
        <f t="shared" si="32"/>
        <v/>
      </c>
      <c r="T116" s="438">
        <f t="shared" si="33"/>
        <v>0</v>
      </c>
      <c r="U116" s="439" t="str">
        <f t="shared" si="34"/>
        <v/>
      </c>
      <c r="V116" s="439" t="str">
        <f t="shared" si="35"/>
        <v/>
      </c>
      <c r="W116" s="39" t="str">
        <f t="shared" si="36"/>
        <v/>
      </c>
      <c r="X116" s="355" t="str">
        <f t="shared" si="37"/>
        <v/>
      </c>
      <c r="GU116" s="305"/>
    </row>
    <row r="117" spans="2:203" x14ac:dyDescent="0.25">
      <c r="B117" s="38" t="str">
        <f t="shared" si="19"/>
        <v/>
      </c>
      <c r="C117" s="241" t="str">
        <f>'קיזוזים- החלטות ועדה'!C117</f>
        <v/>
      </c>
      <c r="D117" s="434" t="str">
        <f>IF($C117="","",'הגבלה לסכום מבוקש (1)'!D117)</f>
        <v/>
      </c>
      <c r="E117" s="434" t="str">
        <f>IF($C117="","",'קיזוזים בגין איחורים'!F117+'קיזוזים- החלטות ועדה'!E117)</f>
        <v/>
      </c>
      <c r="F117" s="434" t="str">
        <f t="shared" si="20"/>
        <v/>
      </c>
      <c r="G117" s="434" t="str">
        <f>'קיזוזים- החלטות ועדה'!G117</f>
        <v/>
      </c>
      <c r="H117" s="437" t="str">
        <f t="shared" si="21"/>
        <v/>
      </c>
      <c r="I117" s="434" t="str">
        <f t="shared" si="22"/>
        <v/>
      </c>
      <c r="J117" s="434" t="str">
        <f t="shared" si="23"/>
        <v/>
      </c>
      <c r="K117" s="438">
        <f t="shared" si="24"/>
        <v>0</v>
      </c>
      <c r="L117" s="439" t="str">
        <f t="shared" si="25"/>
        <v/>
      </c>
      <c r="M117" s="439" t="str">
        <f t="shared" si="26"/>
        <v/>
      </c>
      <c r="N117" s="438">
        <f t="shared" si="27"/>
        <v>0</v>
      </c>
      <c r="O117" s="439" t="str">
        <f t="shared" si="28"/>
        <v/>
      </c>
      <c r="P117" s="439" t="str">
        <f t="shared" si="29"/>
        <v/>
      </c>
      <c r="Q117" s="438">
        <f t="shared" si="30"/>
        <v>0</v>
      </c>
      <c r="R117" s="439" t="str">
        <f t="shared" si="31"/>
        <v/>
      </c>
      <c r="S117" s="439" t="str">
        <f t="shared" si="32"/>
        <v/>
      </c>
      <c r="T117" s="438">
        <f t="shared" si="33"/>
        <v>0</v>
      </c>
      <c r="U117" s="439" t="str">
        <f t="shared" si="34"/>
        <v/>
      </c>
      <c r="V117" s="439" t="str">
        <f t="shared" si="35"/>
        <v/>
      </c>
      <c r="W117" s="39" t="str">
        <f t="shared" si="36"/>
        <v/>
      </c>
      <c r="X117" s="355" t="str">
        <f t="shared" si="37"/>
        <v/>
      </c>
      <c r="GU117" s="305"/>
    </row>
    <row r="118" spans="2:203" x14ac:dyDescent="0.25">
      <c r="B118" s="38" t="str">
        <f t="shared" si="19"/>
        <v/>
      </c>
      <c r="C118" s="241" t="str">
        <f>'קיזוזים- החלטות ועדה'!C118</f>
        <v/>
      </c>
      <c r="D118" s="434" t="str">
        <f>IF($C118="","",'הגבלה לסכום מבוקש (1)'!D118)</f>
        <v/>
      </c>
      <c r="E118" s="434" t="str">
        <f>IF($C118="","",'קיזוזים בגין איחורים'!F118+'קיזוזים- החלטות ועדה'!E118)</f>
        <v/>
      </c>
      <c r="F118" s="434" t="str">
        <f t="shared" si="20"/>
        <v/>
      </c>
      <c r="G118" s="434" t="str">
        <f>'קיזוזים- החלטות ועדה'!G118</f>
        <v/>
      </c>
      <c r="H118" s="437" t="str">
        <f t="shared" si="21"/>
        <v/>
      </c>
      <c r="I118" s="434" t="str">
        <f t="shared" si="22"/>
        <v/>
      </c>
      <c r="J118" s="434" t="str">
        <f t="shared" si="23"/>
        <v/>
      </c>
      <c r="K118" s="438">
        <f t="shared" si="24"/>
        <v>0</v>
      </c>
      <c r="L118" s="439" t="str">
        <f t="shared" si="25"/>
        <v/>
      </c>
      <c r="M118" s="439" t="str">
        <f t="shared" si="26"/>
        <v/>
      </c>
      <c r="N118" s="438">
        <f t="shared" si="27"/>
        <v>0</v>
      </c>
      <c r="O118" s="439" t="str">
        <f t="shared" si="28"/>
        <v/>
      </c>
      <c r="P118" s="439" t="str">
        <f t="shared" si="29"/>
        <v/>
      </c>
      <c r="Q118" s="438">
        <f t="shared" si="30"/>
        <v>0</v>
      </c>
      <c r="R118" s="439" t="str">
        <f t="shared" si="31"/>
        <v/>
      </c>
      <c r="S118" s="439" t="str">
        <f t="shared" si="32"/>
        <v/>
      </c>
      <c r="T118" s="438">
        <f t="shared" si="33"/>
        <v>0</v>
      </c>
      <c r="U118" s="439" t="str">
        <f t="shared" si="34"/>
        <v/>
      </c>
      <c r="V118" s="439" t="str">
        <f t="shared" si="35"/>
        <v/>
      </c>
      <c r="W118" s="39" t="str">
        <f t="shared" si="36"/>
        <v/>
      </c>
      <c r="X118" s="355" t="str">
        <f t="shared" si="37"/>
        <v/>
      </c>
      <c r="GU118" s="305"/>
    </row>
    <row r="119" spans="2:203" x14ac:dyDescent="0.25">
      <c r="B119" s="38" t="str">
        <f t="shared" si="19"/>
        <v/>
      </c>
      <c r="C119" s="241" t="str">
        <f>'קיזוזים- החלטות ועדה'!C119</f>
        <v/>
      </c>
      <c r="D119" s="434" t="str">
        <f>IF($C119="","",'הגבלה לסכום מבוקש (1)'!D119)</f>
        <v/>
      </c>
      <c r="E119" s="434" t="str">
        <f>IF($C119="","",'קיזוזים בגין איחורים'!F119+'קיזוזים- החלטות ועדה'!E119)</f>
        <v/>
      </c>
      <c r="F119" s="434" t="str">
        <f t="shared" si="20"/>
        <v/>
      </c>
      <c r="G119" s="434" t="str">
        <f>'קיזוזים- החלטות ועדה'!G119</f>
        <v/>
      </c>
      <c r="H119" s="437" t="str">
        <f t="shared" si="21"/>
        <v/>
      </c>
      <c r="I119" s="434" t="str">
        <f t="shared" si="22"/>
        <v/>
      </c>
      <c r="J119" s="434" t="str">
        <f t="shared" si="23"/>
        <v/>
      </c>
      <c r="K119" s="438">
        <f t="shared" si="24"/>
        <v>0</v>
      </c>
      <c r="L119" s="439" t="str">
        <f t="shared" si="25"/>
        <v/>
      </c>
      <c r="M119" s="439" t="str">
        <f t="shared" si="26"/>
        <v/>
      </c>
      <c r="N119" s="438">
        <f t="shared" si="27"/>
        <v>0</v>
      </c>
      <c r="O119" s="439" t="str">
        <f t="shared" si="28"/>
        <v/>
      </c>
      <c r="P119" s="439" t="str">
        <f t="shared" si="29"/>
        <v/>
      </c>
      <c r="Q119" s="438">
        <f t="shared" si="30"/>
        <v>0</v>
      </c>
      <c r="R119" s="439" t="str">
        <f t="shared" si="31"/>
        <v/>
      </c>
      <c r="S119" s="439" t="str">
        <f t="shared" si="32"/>
        <v/>
      </c>
      <c r="T119" s="438">
        <f t="shared" si="33"/>
        <v>0</v>
      </c>
      <c r="U119" s="439" t="str">
        <f t="shared" si="34"/>
        <v/>
      </c>
      <c r="V119" s="439" t="str">
        <f t="shared" si="35"/>
        <v/>
      </c>
      <c r="W119" s="39" t="str">
        <f t="shared" si="36"/>
        <v/>
      </c>
      <c r="X119" s="355" t="str">
        <f t="shared" si="37"/>
        <v/>
      </c>
      <c r="GU119" s="305"/>
    </row>
    <row r="120" spans="2:203" x14ac:dyDescent="0.25">
      <c r="B120" s="38" t="str">
        <f t="shared" si="19"/>
        <v/>
      </c>
      <c r="C120" s="241" t="str">
        <f>'קיזוזים- החלטות ועדה'!C120</f>
        <v/>
      </c>
      <c r="D120" s="434" t="str">
        <f>IF($C120="","",'הגבלה לסכום מבוקש (1)'!D120)</f>
        <v/>
      </c>
      <c r="E120" s="434" t="str">
        <f>IF($C120="","",'קיזוזים בגין איחורים'!F120+'קיזוזים- החלטות ועדה'!E120)</f>
        <v/>
      </c>
      <c r="F120" s="434" t="str">
        <f t="shared" si="20"/>
        <v/>
      </c>
      <c r="G120" s="434" t="str">
        <f>'קיזוזים- החלטות ועדה'!G120</f>
        <v/>
      </c>
      <c r="H120" s="437" t="str">
        <f t="shared" si="21"/>
        <v/>
      </c>
      <c r="I120" s="434" t="str">
        <f t="shared" si="22"/>
        <v/>
      </c>
      <c r="J120" s="434" t="str">
        <f t="shared" si="23"/>
        <v/>
      </c>
      <c r="K120" s="438">
        <f t="shared" si="24"/>
        <v>0</v>
      </c>
      <c r="L120" s="439" t="str">
        <f t="shared" si="25"/>
        <v/>
      </c>
      <c r="M120" s="439" t="str">
        <f t="shared" si="26"/>
        <v/>
      </c>
      <c r="N120" s="438">
        <f t="shared" si="27"/>
        <v>0</v>
      </c>
      <c r="O120" s="439" t="str">
        <f t="shared" si="28"/>
        <v/>
      </c>
      <c r="P120" s="439" t="str">
        <f t="shared" si="29"/>
        <v/>
      </c>
      <c r="Q120" s="438">
        <f t="shared" si="30"/>
        <v>0</v>
      </c>
      <c r="R120" s="439" t="str">
        <f t="shared" si="31"/>
        <v/>
      </c>
      <c r="S120" s="439" t="str">
        <f t="shared" si="32"/>
        <v/>
      </c>
      <c r="T120" s="438">
        <f t="shared" si="33"/>
        <v>0</v>
      </c>
      <c r="U120" s="439" t="str">
        <f t="shared" si="34"/>
        <v/>
      </c>
      <c r="V120" s="439" t="str">
        <f t="shared" si="35"/>
        <v/>
      </c>
      <c r="W120" s="39" t="str">
        <f t="shared" si="36"/>
        <v/>
      </c>
      <c r="X120" s="355" t="str">
        <f t="shared" si="37"/>
        <v/>
      </c>
      <c r="GU120" s="305"/>
    </row>
    <row r="121" spans="2:203" x14ac:dyDescent="0.25">
      <c r="B121" s="38" t="str">
        <f t="shared" si="19"/>
        <v/>
      </c>
      <c r="C121" s="241" t="str">
        <f>'קיזוזים- החלטות ועדה'!C121</f>
        <v/>
      </c>
      <c r="D121" s="434" t="str">
        <f>IF($C121="","",'הגבלה לסכום מבוקש (1)'!D121)</f>
        <v/>
      </c>
      <c r="E121" s="434" t="str">
        <f>IF($C121="","",'קיזוזים בגין איחורים'!F121+'קיזוזים- החלטות ועדה'!E121)</f>
        <v/>
      </c>
      <c r="F121" s="434" t="str">
        <f t="shared" si="20"/>
        <v/>
      </c>
      <c r="G121" s="434" t="str">
        <f>'קיזוזים- החלטות ועדה'!G121</f>
        <v/>
      </c>
      <c r="H121" s="437" t="str">
        <f t="shared" si="21"/>
        <v/>
      </c>
      <c r="I121" s="434" t="str">
        <f t="shared" si="22"/>
        <v/>
      </c>
      <c r="J121" s="434" t="str">
        <f t="shared" si="23"/>
        <v/>
      </c>
      <c r="K121" s="438">
        <f t="shared" si="24"/>
        <v>0</v>
      </c>
      <c r="L121" s="439" t="str">
        <f t="shared" si="25"/>
        <v/>
      </c>
      <c r="M121" s="439" t="str">
        <f t="shared" si="26"/>
        <v/>
      </c>
      <c r="N121" s="438">
        <f t="shared" si="27"/>
        <v>0</v>
      </c>
      <c r="O121" s="439" t="str">
        <f t="shared" si="28"/>
        <v/>
      </c>
      <c r="P121" s="439" t="str">
        <f t="shared" si="29"/>
        <v/>
      </c>
      <c r="Q121" s="438">
        <f t="shared" si="30"/>
        <v>0</v>
      </c>
      <c r="R121" s="439" t="str">
        <f t="shared" si="31"/>
        <v/>
      </c>
      <c r="S121" s="439" t="str">
        <f t="shared" si="32"/>
        <v/>
      </c>
      <c r="T121" s="438">
        <f t="shared" si="33"/>
        <v>0</v>
      </c>
      <c r="U121" s="439" t="str">
        <f t="shared" si="34"/>
        <v/>
      </c>
      <c r="V121" s="439" t="str">
        <f t="shared" si="35"/>
        <v/>
      </c>
      <c r="W121" s="39" t="str">
        <f t="shared" si="36"/>
        <v/>
      </c>
      <c r="X121" s="355" t="str">
        <f t="shared" si="37"/>
        <v/>
      </c>
      <c r="GU121" s="305"/>
    </row>
    <row r="122" spans="2:203" x14ac:dyDescent="0.25">
      <c r="B122" s="38" t="str">
        <f t="shared" si="19"/>
        <v/>
      </c>
      <c r="C122" s="241" t="str">
        <f>'קיזוזים- החלטות ועדה'!C122</f>
        <v/>
      </c>
      <c r="D122" s="434" t="str">
        <f>IF($C122="","",'הגבלה לסכום מבוקש (1)'!D122)</f>
        <v/>
      </c>
      <c r="E122" s="434" t="str">
        <f>IF($C122="","",'קיזוזים בגין איחורים'!F122+'קיזוזים- החלטות ועדה'!E122)</f>
        <v/>
      </c>
      <c r="F122" s="434" t="str">
        <f t="shared" si="20"/>
        <v/>
      </c>
      <c r="G122" s="434" t="str">
        <f>'קיזוזים- החלטות ועדה'!G122</f>
        <v/>
      </c>
      <c r="H122" s="437" t="str">
        <f t="shared" si="21"/>
        <v/>
      </c>
      <c r="I122" s="434" t="str">
        <f t="shared" si="22"/>
        <v/>
      </c>
      <c r="J122" s="434" t="str">
        <f t="shared" si="23"/>
        <v/>
      </c>
      <c r="K122" s="438">
        <f t="shared" si="24"/>
        <v>0</v>
      </c>
      <c r="L122" s="439" t="str">
        <f t="shared" si="25"/>
        <v/>
      </c>
      <c r="M122" s="439" t="str">
        <f t="shared" si="26"/>
        <v/>
      </c>
      <c r="N122" s="438">
        <f t="shared" si="27"/>
        <v>0</v>
      </c>
      <c r="O122" s="439" t="str">
        <f t="shared" si="28"/>
        <v/>
      </c>
      <c r="P122" s="439" t="str">
        <f t="shared" si="29"/>
        <v/>
      </c>
      <c r="Q122" s="438">
        <f t="shared" si="30"/>
        <v>0</v>
      </c>
      <c r="R122" s="439" t="str">
        <f t="shared" si="31"/>
        <v/>
      </c>
      <c r="S122" s="439" t="str">
        <f t="shared" si="32"/>
        <v/>
      </c>
      <c r="T122" s="438">
        <f t="shared" si="33"/>
        <v>0</v>
      </c>
      <c r="U122" s="439" t="str">
        <f t="shared" si="34"/>
        <v/>
      </c>
      <c r="V122" s="439" t="str">
        <f t="shared" si="35"/>
        <v/>
      </c>
      <c r="W122" s="39" t="str">
        <f t="shared" si="36"/>
        <v/>
      </c>
      <c r="X122" s="355" t="str">
        <f t="shared" si="37"/>
        <v/>
      </c>
      <c r="GU122" s="305"/>
    </row>
    <row r="123" spans="2:203" x14ac:dyDescent="0.25">
      <c r="B123" s="38" t="str">
        <f t="shared" si="19"/>
        <v/>
      </c>
      <c r="C123" s="241" t="str">
        <f>'קיזוזים- החלטות ועדה'!C123</f>
        <v/>
      </c>
      <c r="D123" s="434" t="str">
        <f>IF($C123="","",'הגבלה לסכום מבוקש (1)'!D123)</f>
        <v/>
      </c>
      <c r="E123" s="434" t="str">
        <f>IF($C123="","",'קיזוזים בגין איחורים'!F123+'קיזוזים- החלטות ועדה'!E123)</f>
        <v/>
      </c>
      <c r="F123" s="434" t="str">
        <f t="shared" si="20"/>
        <v/>
      </c>
      <c r="G123" s="434" t="str">
        <f>'קיזוזים- החלטות ועדה'!G123</f>
        <v/>
      </c>
      <c r="H123" s="437" t="str">
        <f t="shared" si="21"/>
        <v/>
      </c>
      <c r="I123" s="434" t="str">
        <f t="shared" si="22"/>
        <v/>
      </c>
      <c r="J123" s="434" t="str">
        <f t="shared" si="23"/>
        <v/>
      </c>
      <c r="K123" s="438">
        <f t="shared" si="24"/>
        <v>0</v>
      </c>
      <c r="L123" s="439" t="str">
        <f t="shared" si="25"/>
        <v/>
      </c>
      <c r="M123" s="439" t="str">
        <f t="shared" si="26"/>
        <v/>
      </c>
      <c r="N123" s="438">
        <f t="shared" si="27"/>
        <v>0</v>
      </c>
      <c r="O123" s="439" t="str">
        <f t="shared" si="28"/>
        <v/>
      </c>
      <c r="P123" s="439" t="str">
        <f t="shared" si="29"/>
        <v/>
      </c>
      <c r="Q123" s="438">
        <f t="shared" si="30"/>
        <v>0</v>
      </c>
      <c r="R123" s="439" t="str">
        <f t="shared" si="31"/>
        <v/>
      </c>
      <c r="S123" s="439" t="str">
        <f t="shared" si="32"/>
        <v/>
      </c>
      <c r="T123" s="438">
        <f t="shared" si="33"/>
        <v>0</v>
      </c>
      <c r="U123" s="439" t="str">
        <f t="shared" si="34"/>
        <v/>
      </c>
      <c r="V123" s="439" t="str">
        <f t="shared" si="35"/>
        <v/>
      </c>
      <c r="W123" s="39" t="str">
        <f t="shared" si="36"/>
        <v/>
      </c>
      <c r="X123" s="355" t="str">
        <f t="shared" si="37"/>
        <v/>
      </c>
      <c r="GU123" s="305"/>
    </row>
    <row r="124" spans="2:203" x14ac:dyDescent="0.25">
      <c r="B124" s="38" t="str">
        <f t="shared" si="19"/>
        <v/>
      </c>
      <c r="C124" s="241" t="str">
        <f>'קיזוזים- החלטות ועדה'!C124</f>
        <v/>
      </c>
      <c r="D124" s="434" t="str">
        <f>IF($C124="","",'הגבלה לסכום מבוקש (1)'!D124)</f>
        <v/>
      </c>
      <c r="E124" s="434" t="str">
        <f>IF($C124="","",'קיזוזים בגין איחורים'!F124+'קיזוזים- החלטות ועדה'!E124)</f>
        <v/>
      </c>
      <c r="F124" s="434" t="str">
        <f t="shared" si="20"/>
        <v/>
      </c>
      <c r="G124" s="434" t="str">
        <f>'קיזוזים- החלטות ועדה'!G124</f>
        <v/>
      </c>
      <c r="H124" s="437" t="str">
        <f t="shared" si="21"/>
        <v/>
      </c>
      <c r="I124" s="434" t="str">
        <f t="shared" si="22"/>
        <v/>
      </c>
      <c r="J124" s="434" t="str">
        <f t="shared" si="23"/>
        <v/>
      </c>
      <c r="K124" s="438">
        <f t="shared" si="24"/>
        <v>0</v>
      </c>
      <c r="L124" s="439" t="str">
        <f t="shared" si="25"/>
        <v/>
      </c>
      <c r="M124" s="439" t="str">
        <f t="shared" si="26"/>
        <v/>
      </c>
      <c r="N124" s="438">
        <f t="shared" si="27"/>
        <v>0</v>
      </c>
      <c r="O124" s="439" t="str">
        <f t="shared" si="28"/>
        <v/>
      </c>
      <c r="P124" s="439" t="str">
        <f t="shared" si="29"/>
        <v/>
      </c>
      <c r="Q124" s="438">
        <f t="shared" si="30"/>
        <v>0</v>
      </c>
      <c r="R124" s="439" t="str">
        <f t="shared" si="31"/>
        <v/>
      </c>
      <c r="S124" s="439" t="str">
        <f t="shared" si="32"/>
        <v/>
      </c>
      <c r="T124" s="438">
        <f t="shared" si="33"/>
        <v>0</v>
      </c>
      <c r="U124" s="439" t="str">
        <f t="shared" si="34"/>
        <v/>
      </c>
      <c r="V124" s="439" t="str">
        <f t="shared" si="35"/>
        <v/>
      </c>
      <c r="W124" s="39" t="str">
        <f t="shared" si="36"/>
        <v/>
      </c>
      <c r="X124" s="355" t="str">
        <f t="shared" si="37"/>
        <v/>
      </c>
      <c r="GU124" s="305"/>
    </row>
    <row r="125" spans="2:203" x14ac:dyDescent="0.25">
      <c r="B125" s="38" t="str">
        <f t="shared" si="19"/>
        <v/>
      </c>
      <c r="C125" s="241" t="str">
        <f>'קיזוזים- החלטות ועדה'!C125</f>
        <v/>
      </c>
      <c r="D125" s="434" t="str">
        <f>IF($C125="","",'הגבלה לסכום מבוקש (1)'!D125)</f>
        <v/>
      </c>
      <c r="E125" s="434" t="str">
        <f>IF($C125="","",'קיזוזים בגין איחורים'!F125+'קיזוזים- החלטות ועדה'!E125)</f>
        <v/>
      </c>
      <c r="F125" s="434" t="str">
        <f t="shared" si="20"/>
        <v/>
      </c>
      <c r="G125" s="434" t="str">
        <f>'קיזוזים- החלטות ועדה'!G125</f>
        <v/>
      </c>
      <c r="H125" s="437" t="str">
        <f t="shared" si="21"/>
        <v/>
      </c>
      <c r="I125" s="434" t="str">
        <f t="shared" si="22"/>
        <v/>
      </c>
      <c r="J125" s="434" t="str">
        <f t="shared" si="23"/>
        <v/>
      </c>
      <c r="K125" s="438">
        <f t="shared" si="24"/>
        <v>0</v>
      </c>
      <c r="L125" s="439" t="str">
        <f t="shared" si="25"/>
        <v/>
      </c>
      <c r="M125" s="439" t="str">
        <f t="shared" si="26"/>
        <v/>
      </c>
      <c r="N125" s="438">
        <f t="shared" si="27"/>
        <v>0</v>
      </c>
      <c r="O125" s="439" t="str">
        <f t="shared" si="28"/>
        <v/>
      </c>
      <c r="P125" s="439" t="str">
        <f t="shared" si="29"/>
        <v/>
      </c>
      <c r="Q125" s="438">
        <f t="shared" si="30"/>
        <v>0</v>
      </c>
      <c r="R125" s="439" t="str">
        <f t="shared" si="31"/>
        <v/>
      </c>
      <c r="S125" s="439" t="str">
        <f t="shared" si="32"/>
        <v/>
      </c>
      <c r="T125" s="438">
        <f t="shared" si="33"/>
        <v>0</v>
      </c>
      <c r="U125" s="439" t="str">
        <f t="shared" si="34"/>
        <v/>
      </c>
      <c r="V125" s="439" t="str">
        <f t="shared" si="35"/>
        <v/>
      </c>
      <c r="W125" s="39" t="str">
        <f t="shared" si="36"/>
        <v/>
      </c>
      <c r="X125" s="355" t="str">
        <f t="shared" si="37"/>
        <v/>
      </c>
      <c r="GU125" s="305"/>
    </row>
    <row r="126" spans="2:203" x14ac:dyDescent="0.25">
      <c r="B126" s="38" t="str">
        <f t="shared" si="19"/>
        <v/>
      </c>
      <c r="C126" s="241" t="str">
        <f>'קיזוזים- החלטות ועדה'!C126</f>
        <v/>
      </c>
      <c r="D126" s="434" t="str">
        <f>IF($C126="","",'הגבלה לסכום מבוקש (1)'!D126)</f>
        <v/>
      </c>
      <c r="E126" s="434" t="str">
        <f>IF($C126="","",'קיזוזים בגין איחורים'!F126+'קיזוזים- החלטות ועדה'!E126)</f>
        <v/>
      </c>
      <c r="F126" s="434" t="str">
        <f t="shared" si="20"/>
        <v/>
      </c>
      <c r="G126" s="434" t="str">
        <f>'קיזוזים- החלטות ועדה'!G126</f>
        <v/>
      </c>
      <c r="H126" s="437" t="str">
        <f t="shared" si="21"/>
        <v/>
      </c>
      <c r="I126" s="434" t="str">
        <f t="shared" si="22"/>
        <v/>
      </c>
      <c r="J126" s="434" t="str">
        <f t="shared" si="23"/>
        <v/>
      </c>
      <c r="K126" s="438">
        <f t="shared" si="24"/>
        <v>0</v>
      </c>
      <c r="L126" s="439" t="str">
        <f t="shared" si="25"/>
        <v/>
      </c>
      <c r="M126" s="439" t="str">
        <f t="shared" si="26"/>
        <v/>
      </c>
      <c r="N126" s="438">
        <f t="shared" si="27"/>
        <v>0</v>
      </c>
      <c r="O126" s="439" t="str">
        <f t="shared" si="28"/>
        <v/>
      </c>
      <c r="P126" s="439" t="str">
        <f t="shared" si="29"/>
        <v/>
      </c>
      <c r="Q126" s="438">
        <f t="shared" si="30"/>
        <v>0</v>
      </c>
      <c r="R126" s="439" t="str">
        <f t="shared" si="31"/>
        <v/>
      </c>
      <c r="S126" s="439" t="str">
        <f t="shared" si="32"/>
        <v/>
      </c>
      <c r="T126" s="438">
        <f t="shared" si="33"/>
        <v>0</v>
      </c>
      <c r="U126" s="439" t="str">
        <f t="shared" si="34"/>
        <v/>
      </c>
      <c r="V126" s="439" t="str">
        <f t="shared" si="35"/>
        <v/>
      </c>
      <c r="W126" s="39" t="str">
        <f t="shared" si="36"/>
        <v/>
      </c>
      <c r="X126" s="355" t="str">
        <f t="shared" si="37"/>
        <v/>
      </c>
      <c r="GU126" s="305"/>
    </row>
    <row r="127" spans="2:203" x14ac:dyDescent="0.25">
      <c r="B127" s="38" t="str">
        <f t="shared" si="19"/>
        <v/>
      </c>
      <c r="C127" s="241" t="str">
        <f>'קיזוזים- החלטות ועדה'!C127</f>
        <v/>
      </c>
      <c r="D127" s="434" t="str">
        <f>IF($C127="","",'הגבלה לסכום מבוקש (1)'!D127)</f>
        <v/>
      </c>
      <c r="E127" s="434" t="str">
        <f>IF($C127="","",'קיזוזים בגין איחורים'!F127+'קיזוזים- החלטות ועדה'!E127)</f>
        <v/>
      </c>
      <c r="F127" s="434" t="str">
        <f t="shared" si="20"/>
        <v/>
      </c>
      <c r="G127" s="434" t="str">
        <f>'קיזוזים- החלטות ועדה'!G127</f>
        <v/>
      </c>
      <c r="H127" s="437" t="str">
        <f t="shared" si="21"/>
        <v/>
      </c>
      <c r="I127" s="434" t="str">
        <f t="shared" si="22"/>
        <v/>
      </c>
      <c r="J127" s="434" t="str">
        <f t="shared" si="23"/>
        <v/>
      </c>
      <c r="K127" s="438">
        <f t="shared" si="24"/>
        <v>0</v>
      </c>
      <c r="L127" s="439" t="str">
        <f t="shared" si="25"/>
        <v/>
      </c>
      <c r="M127" s="439" t="str">
        <f t="shared" si="26"/>
        <v/>
      </c>
      <c r="N127" s="438">
        <f t="shared" si="27"/>
        <v>0</v>
      </c>
      <c r="O127" s="439" t="str">
        <f t="shared" si="28"/>
        <v/>
      </c>
      <c r="P127" s="439" t="str">
        <f t="shared" si="29"/>
        <v/>
      </c>
      <c r="Q127" s="438">
        <f t="shared" si="30"/>
        <v>0</v>
      </c>
      <c r="R127" s="439" t="str">
        <f t="shared" si="31"/>
        <v/>
      </c>
      <c r="S127" s="439" t="str">
        <f t="shared" si="32"/>
        <v/>
      </c>
      <c r="T127" s="438">
        <f t="shared" si="33"/>
        <v>0</v>
      </c>
      <c r="U127" s="439" t="str">
        <f t="shared" si="34"/>
        <v/>
      </c>
      <c r="V127" s="439" t="str">
        <f t="shared" si="35"/>
        <v/>
      </c>
      <c r="W127" s="39" t="str">
        <f t="shared" si="36"/>
        <v/>
      </c>
      <c r="X127" s="355" t="str">
        <f t="shared" si="37"/>
        <v/>
      </c>
      <c r="GU127" s="305"/>
    </row>
    <row r="128" spans="2:203" x14ac:dyDescent="0.25">
      <c r="B128" s="38" t="str">
        <f t="shared" si="19"/>
        <v/>
      </c>
      <c r="C128" s="241" t="str">
        <f>'קיזוזים- החלטות ועדה'!C128</f>
        <v/>
      </c>
      <c r="D128" s="434" t="str">
        <f>IF($C128="","",'הגבלה לסכום מבוקש (1)'!D128)</f>
        <v/>
      </c>
      <c r="E128" s="434" t="str">
        <f>IF($C128="","",'קיזוזים בגין איחורים'!F128+'קיזוזים- החלטות ועדה'!E128)</f>
        <v/>
      </c>
      <c r="F128" s="434" t="str">
        <f t="shared" si="20"/>
        <v/>
      </c>
      <c r="G128" s="434" t="str">
        <f>'קיזוזים- החלטות ועדה'!G128</f>
        <v/>
      </c>
      <c r="H128" s="437" t="str">
        <f t="shared" si="21"/>
        <v/>
      </c>
      <c r="I128" s="434" t="str">
        <f t="shared" si="22"/>
        <v/>
      </c>
      <c r="J128" s="434" t="str">
        <f t="shared" si="23"/>
        <v/>
      </c>
      <c r="K128" s="438">
        <f t="shared" si="24"/>
        <v>0</v>
      </c>
      <c r="L128" s="439" t="str">
        <f t="shared" si="25"/>
        <v/>
      </c>
      <c r="M128" s="439" t="str">
        <f t="shared" si="26"/>
        <v/>
      </c>
      <c r="N128" s="438">
        <f t="shared" si="27"/>
        <v>0</v>
      </c>
      <c r="O128" s="439" t="str">
        <f t="shared" si="28"/>
        <v/>
      </c>
      <c r="P128" s="439" t="str">
        <f t="shared" si="29"/>
        <v/>
      </c>
      <c r="Q128" s="438">
        <f t="shared" si="30"/>
        <v>0</v>
      </c>
      <c r="R128" s="439" t="str">
        <f t="shared" si="31"/>
        <v/>
      </c>
      <c r="S128" s="439" t="str">
        <f t="shared" si="32"/>
        <v/>
      </c>
      <c r="T128" s="438">
        <f t="shared" si="33"/>
        <v>0</v>
      </c>
      <c r="U128" s="439" t="str">
        <f t="shared" si="34"/>
        <v/>
      </c>
      <c r="V128" s="439" t="str">
        <f t="shared" si="35"/>
        <v/>
      </c>
      <c r="W128" s="39" t="str">
        <f t="shared" si="36"/>
        <v/>
      </c>
      <c r="X128" s="355" t="str">
        <f t="shared" si="37"/>
        <v/>
      </c>
      <c r="GU128" s="305"/>
    </row>
    <row r="129" spans="2:203" x14ac:dyDescent="0.25">
      <c r="B129" s="38" t="str">
        <f t="shared" si="19"/>
        <v/>
      </c>
      <c r="C129" s="241" t="str">
        <f>'קיזוזים- החלטות ועדה'!C129</f>
        <v/>
      </c>
      <c r="D129" s="434" t="str">
        <f>IF($C129="","",'הגבלה לסכום מבוקש (1)'!D129)</f>
        <v/>
      </c>
      <c r="E129" s="434" t="str">
        <f>IF($C129="","",'קיזוזים בגין איחורים'!F129+'קיזוזים- החלטות ועדה'!E129)</f>
        <v/>
      </c>
      <c r="F129" s="434" t="str">
        <f t="shared" si="20"/>
        <v/>
      </c>
      <c r="G129" s="434" t="str">
        <f>'קיזוזים- החלטות ועדה'!G129</f>
        <v/>
      </c>
      <c r="H129" s="437" t="str">
        <f t="shared" si="21"/>
        <v/>
      </c>
      <c r="I129" s="434" t="str">
        <f t="shared" si="22"/>
        <v/>
      </c>
      <c r="J129" s="434" t="str">
        <f t="shared" si="23"/>
        <v/>
      </c>
      <c r="K129" s="438">
        <f t="shared" si="24"/>
        <v>0</v>
      </c>
      <c r="L129" s="439" t="str">
        <f t="shared" si="25"/>
        <v/>
      </c>
      <c r="M129" s="439" t="str">
        <f t="shared" si="26"/>
        <v/>
      </c>
      <c r="N129" s="438">
        <f t="shared" si="27"/>
        <v>0</v>
      </c>
      <c r="O129" s="439" t="str">
        <f t="shared" si="28"/>
        <v/>
      </c>
      <c r="P129" s="439" t="str">
        <f t="shared" si="29"/>
        <v/>
      </c>
      <c r="Q129" s="438">
        <f t="shared" si="30"/>
        <v>0</v>
      </c>
      <c r="R129" s="439" t="str">
        <f t="shared" si="31"/>
        <v/>
      </c>
      <c r="S129" s="439" t="str">
        <f t="shared" si="32"/>
        <v/>
      </c>
      <c r="T129" s="438">
        <f t="shared" si="33"/>
        <v>0</v>
      </c>
      <c r="U129" s="439" t="str">
        <f t="shared" si="34"/>
        <v/>
      </c>
      <c r="V129" s="439" t="str">
        <f t="shared" si="35"/>
        <v/>
      </c>
      <c r="W129" s="39" t="str">
        <f t="shared" si="36"/>
        <v/>
      </c>
      <c r="X129" s="355" t="str">
        <f t="shared" si="37"/>
        <v/>
      </c>
      <c r="GU129" s="305"/>
    </row>
    <row r="130" spans="2:203" ht="16.5" thickBot="1" x14ac:dyDescent="0.3">
      <c r="B130" s="38" t="str">
        <f t="shared" si="19"/>
        <v/>
      </c>
      <c r="C130" s="241" t="str">
        <f>'קיזוזים- החלטות ועדה'!C130</f>
        <v/>
      </c>
      <c r="D130" s="434" t="str">
        <f>IF($C130="","",'הגבלה לסכום מבוקש (1)'!D130)</f>
        <v/>
      </c>
      <c r="E130" s="434" t="str">
        <f>IF($C130="","",'קיזוזים בגין איחורים'!F130+'קיזוזים- החלטות ועדה'!E130)</f>
        <v/>
      </c>
      <c r="F130" s="434" t="str">
        <f t="shared" si="20"/>
        <v/>
      </c>
      <c r="G130" s="434" t="str">
        <f>'קיזוזים- החלטות ועדה'!G130</f>
        <v/>
      </c>
      <c r="H130" s="437" t="str">
        <f t="shared" si="21"/>
        <v/>
      </c>
      <c r="I130" s="434" t="str">
        <f t="shared" si="22"/>
        <v/>
      </c>
      <c r="J130" s="434" t="str">
        <f t="shared" si="23"/>
        <v/>
      </c>
      <c r="K130" s="438">
        <f t="shared" si="24"/>
        <v>0</v>
      </c>
      <c r="L130" s="439" t="str">
        <f t="shared" si="25"/>
        <v/>
      </c>
      <c r="M130" s="439" t="str">
        <f t="shared" si="26"/>
        <v/>
      </c>
      <c r="N130" s="438">
        <f t="shared" si="27"/>
        <v>0</v>
      </c>
      <c r="O130" s="439" t="str">
        <f t="shared" si="28"/>
        <v/>
      </c>
      <c r="P130" s="439" t="str">
        <f t="shared" si="29"/>
        <v/>
      </c>
      <c r="Q130" s="438">
        <f t="shared" si="30"/>
        <v>0</v>
      </c>
      <c r="R130" s="439" t="str">
        <f t="shared" si="31"/>
        <v/>
      </c>
      <c r="S130" s="439" t="str">
        <f t="shared" si="32"/>
        <v/>
      </c>
      <c r="T130" s="438">
        <f t="shared" si="33"/>
        <v>0</v>
      </c>
      <c r="U130" s="439" t="str">
        <f t="shared" si="34"/>
        <v/>
      </c>
      <c r="V130" s="439" t="str">
        <f t="shared" si="35"/>
        <v/>
      </c>
      <c r="W130" s="39" t="str">
        <f t="shared" si="36"/>
        <v/>
      </c>
      <c r="X130" s="355" t="str">
        <f t="shared" si="37"/>
        <v/>
      </c>
      <c r="GU130" s="305"/>
    </row>
    <row r="131" spans="2:203" ht="19.5" thickBot="1" x14ac:dyDescent="0.35">
      <c r="B131" s="635" t="s">
        <v>77</v>
      </c>
      <c r="C131" s="557"/>
      <c r="D131" s="42">
        <f t="shared" ref="D131:W131" si="38">SUM(D31:D130)</f>
        <v>5581738</v>
      </c>
      <c r="E131" s="42">
        <f t="shared" si="38"/>
        <v>0</v>
      </c>
      <c r="F131" s="42">
        <f t="shared" si="38"/>
        <v>5581738</v>
      </c>
      <c r="G131" s="42">
        <f t="shared" si="38"/>
        <v>3076367.0000000009</v>
      </c>
      <c r="H131" s="42">
        <f t="shared" si="38"/>
        <v>0</v>
      </c>
      <c r="I131" s="42">
        <f t="shared" si="38"/>
        <v>3076367.0000000009</v>
      </c>
      <c r="J131" s="42">
        <f t="shared" si="38"/>
        <v>3076366.9999999981</v>
      </c>
      <c r="K131" s="42">
        <f t="shared" si="38"/>
        <v>0</v>
      </c>
      <c r="L131" s="42">
        <f t="shared" si="38"/>
        <v>3076366.9999999981</v>
      </c>
      <c r="M131" s="42">
        <f t="shared" si="38"/>
        <v>3076367.0000000014</v>
      </c>
      <c r="N131" s="42">
        <f t="shared" si="38"/>
        <v>0</v>
      </c>
      <c r="O131" s="42">
        <f t="shared" si="38"/>
        <v>3076367.0000000014</v>
      </c>
      <c r="P131" s="42">
        <f t="shared" si="38"/>
        <v>3076366.9999999991</v>
      </c>
      <c r="Q131" s="42">
        <f t="shared" si="38"/>
        <v>0</v>
      </c>
      <c r="R131" s="42">
        <f t="shared" si="38"/>
        <v>3076366.9999999991</v>
      </c>
      <c r="S131" s="42">
        <f t="shared" si="38"/>
        <v>3076367.0000000009</v>
      </c>
      <c r="T131" s="42">
        <f t="shared" si="38"/>
        <v>0</v>
      </c>
      <c r="U131" s="42">
        <f t="shared" si="38"/>
        <v>3076367.0000000009</v>
      </c>
      <c r="V131" s="42">
        <f t="shared" si="38"/>
        <v>3076366.9999999991</v>
      </c>
      <c r="W131" s="42">
        <f t="shared" si="38"/>
        <v>3076366.9999999991</v>
      </c>
      <c r="X131" s="43">
        <f>SUM(X31:X130)</f>
        <v>1</v>
      </c>
    </row>
  </sheetData>
  <sheetProtection algorithmName="SHA-512" hashValue="5J1g3tl4ZlaqVGkwt9BMZxf9FlJBfBeb0AcuqPX+YTwRMSe4fgz1+9kovolxHm7CtO71PjmX1VrX2RGJiQWw7g==" saltValue="zCY8i5rWVlMU5OAHmUWR+A==" spinCount="100000" sheet="1" scenarios="1" formatCells="0" formatColumns="0" formatRows="0" autoFilter="0"/>
  <mergeCells count="13">
    <mergeCell ref="W29:W30"/>
    <mergeCell ref="X29:X30"/>
    <mergeCell ref="B131:C131"/>
    <mergeCell ref="B28:X28"/>
    <mergeCell ref="B29:B30"/>
    <mergeCell ref="C29:C30"/>
    <mergeCell ref="D29:D30"/>
    <mergeCell ref="E29:E30"/>
    <mergeCell ref="F29:F30"/>
    <mergeCell ref="G29:G30"/>
    <mergeCell ref="H29:H30"/>
    <mergeCell ref="I29:I30"/>
    <mergeCell ref="J29:J30"/>
  </mergeCells>
  <conditionalFormatting sqref="B31:X130">
    <cfRule type="expression" dxfId="41" priority="449" stopIfTrue="1">
      <formula>AND($C31="",B31&lt;&gt;"")</formula>
    </cfRule>
    <cfRule type="expression" dxfId="40" priority="450">
      <formula>$C31=""</formula>
    </cfRule>
    <cfRule type="expression" dxfId="39" priority="451">
      <formula>B$30&lt;&gt;""</formula>
    </cfRule>
  </conditionalFormatting>
  <conditionalFormatting sqref="C1:E27 B3:B27">
    <cfRule type="containsBlanks" dxfId="38" priority="15">
      <formula>LEN(TRIM(B1))=0</formula>
    </cfRule>
  </conditionalFormatting>
  <pageMargins left="0.70866141732283472" right="0.70866141732283472" top="0.74803149606299213" bottom="0.74803149606299213" header="0.31496062992125984" footer="0.31496062992125984"/>
  <pageSetup paperSize="9" scale="31"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extLst>
    <ext xmlns:x14="http://schemas.microsoft.com/office/spreadsheetml/2009/9/main" uri="{78C0D931-6437-407d-A8EE-F0AAD7539E65}">
      <x14:conditionalFormattings>
        <x14:conditionalFormatting xmlns:xm="http://schemas.microsoft.com/office/excel/2006/main">
          <x14:cfRule type="containsText" priority="452" operator="containsText" id="{C49FAB94-3D2D-4C4C-86ED-5221547C0C44}">
            <xm:f>NOT(ISERROR(SEARCH($AH$1,B31)))</xm:f>
            <xm:f>$AH$1</xm:f>
            <x14:dxf>
              <fill>
                <patternFill>
                  <bgColor rgb="FFFF0000"/>
                </patternFill>
              </fill>
            </x14:dxf>
          </x14:cfRule>
          <xm:sqref>B31:X130</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filterMode="1">
    <tabColor rgb="FFFFFFCC"/>
  </sheetPr>
  <dimension ref="A1:U131"/>
  <sheetViews>
    <sheetView rightToLeft="1" view="pageBreakPreview" zoomScale="80" zoomScaleNormal="80" zoomScaleSheetLayoutView="80" workbookViewId="0">
      <pane xSplit="3" ySplit="30" topLeftCell="D31" activePane="bottomRight" state="frozen"/>
      <selection pane="topRight" activeCell="G58" sqref="G58"/>
      <selection pane="bottomLeft" activeCell="G58" sqref="G58"/>
      <selection pane="bottomRight" activeCell="D31" sqref="D31"/>
    </sheetView>
  </sheetViews>
  <sheetFormatPr defaultColWidth="9" defaultRowHeight="15.75" x14ac:dyDescent="0.25"/>
  <cols>
    <col min="1" max="1" width="2.42578125" style="11" hidden="1" customWidth="1"/>
    <col min="2" max="2" width="10" style="11" customWidth="1"/>
    <col min="3" max="3" width="47.28515625" style="11" customWidth="1"/>
    <col min="4" max="11" width="15" style="11" customWidth="1"/>
    <col min="12" max="12" width="42.140625" style="11" bestFit="1" customWidth="1"/>
    <col min="13" max="13" width="33" style="11" customWidth="1"/>
    <col min="14" max="16" width="16.85546875" style="11" bestFit="1" customWidth="1"/>
    <col min="17" max="17" width="15" style="11" customWidth="1"/>
    <col min="18" max="18" width="32.7109375" style="11" customWidth="1"/>
    <col min="19" max="19" width="54.85546875" style="11" customWidth="1"/>
    <col min="20" max="20" width="29.28515625" style="11" customWidth="1"/>
    <col min="21" max="21" width="22.28515625" style="11" customWidth="1"/>
    <col min="22" max="199" width="9" style="11" customWidth="1"/>
    <col min="200" max="16384" width="9" style="11"/>
  </cols>
  <sheetData>
    <row r="1" spans="2:17" ht="18.75" x14ac:dyDescent="0.25">
      <c r="B1" s="249" t="str">
        <f>'פרמטרים לעקרונות חישוב התמיכה'!$B$1</f>
        <v>שנה</v>
      </c>
      <c r="C1" s="1">
        <f>'פרמטרים לעקרונות חישוב התמיכה'!$C$1</f>
        <v>2025</v>
      </c>
    </row>
    <row r="2" spans="2:17" ht="19.5" thickBot="1" x14ac:dyDescent="0.3">
      <c r="B2" s="256" t="str">
        <f>'פרמטרים לעקרונות חישוב התמיכה'!$B$2</f>
        <v>תקציב</v>
      </c>
      <c r="C2" s="2">
        <f>'פרמטרים לעקרונות חישוב התמיכה'!$C$2</f>
        <v>3076367</v>
      </c>
    </row>
    <row r="4" spans="2:17" ht="16.5" hidden="1" thickBot="1" x14ac:dyDescent="0.3">
      <c r="D4" s="186"/>
      <c r="E4" s="186"/>
      <c r="F4" s="186"/>
      <c r="G4" s="186"/>
      <c r="H4" s="186"/>
      <c r="I4" s="186"/>
      <c r="J4" s="186"/>
      <c r="K4" s="186"/>
      <c r="L4" s="186"/>
      <c r="M4" s="186"/>
      <c r="N4" s="186"/>
      <c r="O4" s="186"/>
      <c r="P4" s="186"/>
      <c r="Q4" s="186"/>
    </row>
    <row r="5" spans="2:17" ht="16.5" hidden="1" thickBot="1" x14ac:dyDescent="0.3"/>
    <row r="6" spans="2:17" ht="16.5" hidden="1" thickBot="1" x14ac:dyDescent="0.3">
      <c r="D6" s="186"/>
      <c r="E6" s="186"/>
      <c r="F6" s="186"/>
      <c r="G6" s="186"/>
      <c r="H6" s="186"/>
      <c r="I6" s="186"/>
      <c r="J6" s="186"/>
      <c r="K6" s="186"/>
      <c r="L6" s="186"/>
      <c r="M6" s="186"/>
      <c r="N6" s="186"/>
      <c r="O6" s="186"/>
      <c r="P6" s="186"/>
      <c r="Q6" s="186"/>
    </row>
    <row r="7" spans="2:17" ht="16.5" hidden="1" thickBot="1" x14ac:dyDescent="0.3"/>
    <row r="8" spans="2:17" ht="16.5" hidden="1" thickBot="1" x14ac:dyDescent="0.3"/>
    <row r="9" spans="2:17" ht="16.5" hidden="1" thickBot="1" x14ac:dyDescent="0.3"/>
    <row r="10" spans="2:17" ht="16.5" hidden="1" thickBot="1" x14ac:dyDescent="0.3"/>
    <row r="11" spans="2:17" ht="16.5" hidden="1" thickBot="1" x14ac:dyDescent="0.3"/>
    <row r="12" spans="2:17" ht="16.5" hidden="1" thickBot="1" x14ac:dyDescent="0.3"/>
    <row r="13" spans="2:17" ht="16.5" hidden="1" thickBot="1" x14ac:dyDescent="0.3"/>
    <row r="14" spans="2:17" ht="16.5" hidden="1" thickBot="1" x14ac:dyDescent="0.3"/>
    <row r="15" spans="2:17" ht="16.5" hidden="1" thickBot="1" x14ac:dyDescent="0.3"/>
    <row r="16" spans="2:17" ht="16.5" hidden="1" thickBot="1" x14ac:dyDescent="0.3"/>
    <row r="17" spans="2:21" ht="16.5" hidden="1" thickBot="1" x14ac:dyDescent="0.3"/>
    <row r="18" spans="2:21" ht="16.5" hidden="1" thickBot="1" x14ac:dyDescent="0.3"/>
    <row r="19" spans="2:21" ht="16.5" hidden="1" thickBot="1" x14ac:dyDescent="0.3"/>
    <row r="20" spans="2:21" ht="16.5" hidden="1" thickBot="1" x14ac:dyDescent="0.3"/>
    <row r="21" spans="2:21" ht="16.5" hidden="1" thickBot="1" x14ac:dyDescent="0.3"/>
    <row r="22" spans="2:21" ht="16.5" hidden="1" thickBot="1" x14ac:dyDescent="0.3"/>
    <row r="23" spans="2:21" ht="16.5" hidden="1" thickBot="1" x14ac:dyDescent="0.3"/>
    <row r="24" spans="2:21" ht="16.5" hidden="1" thickBot="1" x14ac:dyDescent="0.3"/>
    <row r="25" spans="2:21" ht="16.5" hidden="1" thickBot="1" x14ac:dyDescent="0.3"/>
    <row r="26" spans="2:21" ht="16.5" hidden="1" thickBot="1" x14ac:dyDescent="0.3"/>
    <row r="27" spans="2:21" ht="16.5" hidden="1" thickBot="1" x14ac:dyDescent="0.3"/>
    <row r="28" spans="2:21" ht="16.5" hidden="1" thickBot="1" x14ac:dyDescent="0.3"/>
    <row r="29" spans="2:21" ht="14.25" customHeight="1" x14ac:dyDescent="0.25"/>
    <row r="30" spans="2:21" ht="111" thickBot="1" x14ac:dyDescent="0.3">
      <c r="B30" s="472" t="s">
        <v>219</v>
      </c>
      <c r="C30" s="422" t="s">
        <v>133</v>
      </c>
      <c r="D30" s="471" t="s">
        <v>676</v>
      </c>
      <c r="E30" s="471" t="s">
        <v>677</v>
      </c>
      <c r="F30" s="471" t="s">
        <v>678</v>
      </c>
      <c r="G30" s="471" t="s">
        <v>679</v>
      </c>
      <c r="H30" s="471" t="s">
        <v>680</v>
      </c>
      <c r="I30" s="471" t="s">
        <v>443</v>
      </c>
      <c r="J30" s="471" t="s">
        <v>378</v>
      </c>
      <c r="K30" s="471" t="s">
        <v>379</v>
      </c>
      <c r="L30" s="471" t="s">
        <v>380</v>
      </c>
      <c r="M30" s="471" t="s">
        <v>381</v>
      </c>
      <c r="N30" s="471" t="s">
        <v>444</v>
      </c>
      <c r="O30" s="471" t="s">
        <v>681</v>
      </c>
      <c r="P30" s="471" t="s">
        <v>682</v>
      </c>
      <c r="Q30" s="471" t="s">
        <v>683</v>
      </c>
      <c r="R30" s="472" t="s">
        <v>382</v>
      </c>
      <c r="S30" s="472" t="s">
        <v>383</v>
      </c>
      <c r="T30" s="308" t="s">
        <v>384</v>
      </c>
      <c r="U30" s="308" t="s">
        <v>385</v>
      </c>
    </row>
    <row r="31" spans="2:21" s="21" customFormat="1" ht="45.75" customHeight="1" x14ac:dyDescent="0.25">
      <c r="B31" s="31">
        <f>IF(C31="","",ROW()-30)</f>
        <v>1</v>
      </c>
      <c r="C31" s="32" t="str">
        <f>IF('תנאי סף'!F31="","",'תנאי סף'!F31)</f>
        <v>אנסמבל פרץ אליהו</v>
      </c>
      <c r="D31" s="453">
        <v>1001908693</v>
      </c>
      <c r="E31" s="453">
        <v>1001735309</v>
      </c>
      <c r="F31" s="453">
        <v>2020</v>
      </c>
      <c r="G31" s="32">
        <f>IF(C31="","",IF($C$1&gt;(F31+3),1,0))</f>
        <v>1</v>
      </c>
      <c r="H31" s="32" t="str">
        <f>IF(IFERROR(VLOOKUP(E31,מרכבה!A:K,4,0),"")=K31,"","no")</f>
        <v/>
      </c>
      <c r="I31" s="32">
        <f>IFERROR(VLOOKUP(D31,מרכבה!A:K,7,0),"")</f>
        <v>2025</v>
      </c>
      <c r="J31" s="32">
        <f>IFERROR(VLOOKUP(D31,מרכבה!A:K,5,0),"")</f>
        <v>40221541</v>
      </c>
      <c r="K31" s="32">
        <f>IFERROR(VLOOKUP(D31,מרכבה!A:K,4,0),"")</f>
        <v>580327740</v>
      </c>
      <c r="L31" s="32" t="str">
        <f>IFERROR(VLOOKUP(D31,מרכבה!A:K,6,0),"")</f>
        <v>המרכז למוסיקה ע"ש פיליציה בלומנטל (</v>
      </c>
      <c r="M31" s="32" t="str">
        <f>IFERROR(VLOOKUP(D31,מרכבה!A:K,2,0),"")</f>
        <v>אנסמבל פרץ אליהו</v>
      </c>
      <c r="N31" s="473">
        <f>IFERROR(VLOOKUP(D31,מרכבה!A:K,8,0),"")</f>
        <v>95000</v>
      </c>
      <c r="O31" s="473">
        <f>IFERROR(VLOOKUP(E31,מרכבה!A:K,9,0),0)</f>
        <v>90000</v>
      </c>
      <c r="P31" s="473">
        <f>'הגבלה לסכום מבוקש (2)'!W31</f>
        <v>94999.999999999956</v>
      </c>
      <c r="Q31" s="474">
        <f>IFERROR(P31/O31-1,"")</f>
        <v>5.5555555555555136E-2</v>
      </c>
      <c r="R31" s="310"/>
      <c r="S31" s="451" t="s">
        <v>166</v>
      </c>
      <c r="T31" s="33">
        <f>'קיזוזים בגין איחורים'!F31</f>
        <v>0</v>
      </c>
      <c r="U31" s="34">
        <f>IF(B31="","",'קיזוזים- החלטות ועדה'!E31)</f>
        <v>0</v>
      </c>
    </row>
    <row r="32" spans="2:21" ht="46.5" hidden="1" customHeight="1" x14ac:dyDescent="0.25">
      <c r="B32" s="31" t="str">
        <f t="shared" ref="B32:B95" si="0">IF(C32="","",ROW()-30)</f>
        <v/>
      </c>
      <c r="C32" s="32" t="str">
        <f>IF('תנאי סף'!F32="","",'תנאי סף'!F32)</f>
        <v/>
      </c>
      <c r="D32" s="453"/>
      <c r="E32" s="453"/>
      <c r="F32" s="453"/>
      <c r="G32" s="32" t="str">
        <f t="shared" ref="G32:G95" si="1">IF(C32="","",IF($C$1&gt;(F32+3),1,0))</f>
        <v/>
      </c>
      <c r="H32" s="32" t="str">
        <f>IF(IFERROR(VLOOKUP(E32,מרכבה!A:K,4,0),"")=K32,"","no")</f>
        <v/>
      </c>
      <c r="I32" s="32" t="str">
        <f>IFERROR(VLOOKUP(D32,מרכבה!A:K,7,0),"")</f>
        <v/>
      </c>
      <c r="J32" s="32" t="str">
        <f>IFERROR(VLOOKUP(D32,מרכבה!A:K,5,0),"")</f>
        <v/>
      </c>
      <c r="K32" s="32" t="str">
        <f>IFERROR(VLOOKUP(D32,מרכבה!A:K,4,0),"")</f>
        <v/>
      </c>
      <c r="L32" s="32" t="str">
        <f>IFERROR(VLOOKUP(D32,מרכבה!A:K,6,0),"")</f>
        <v/>
      </c>
      <c r="M32" s="32" t="str">
        <f>IFERROR(VLOOKUP(D32,מרכבה!A:K,2,0),"")</f>
        <v/>
      </c>
      <c r="N32" s="473" t="str">
        <f>IFERROR(VLOOKUP(D32,מרכבה!A:K,8,0),"")</f>
        <v/>
      </c>
      <c r="O32" s="473">
        <f>IFERROR(VLOOKUP(E32,מרכבה!A:K,9,0),0)</f>
        <v>0</v>
      </c>
      <c r="P32" s="473" t="str">
        <f>'הגבלה לסכום מבוקש (2)'!W32</f>
        <v/>
      </c>
      <c r="Q32" s="474" t="str">
        <f t="shared" ref="Q32:Q95" si="2">IFERROR(P32/O32-1,"")</f>
        <v/>
      </c>
      <c r="R32" s="310"/>
      <c r="S32" s="451"/>
      <c r="T32" s="33" t="str">
        <f>'קיזוזים בגין איחורים'!F32</f>
        <v/>
      </c>
      <c r="U32" s="34" t="str">
        <f>IF(B32="","",'קיזוזים- החלטות ועדה'!E32)</f>
        <v/>
      </c>
    </row>
    <row r="33" spans="2:21" ht="56.25" customHeight="1" x14ac:dyDescent="0.25">
      <c r="B33" s="31">
        <f t="shared" si="0"/>
        <v>3</v>
      </c>
      <c r="C33" s="32" t="str">
        <f>IF('תנאי סף'!F33="","",'תנאי סף'!F33)</f>
        <v>הפתיליה</v>
      </c>
      <c r="D33" s="453">
        <v>1001908690</v>
      </c>
      <c r="E33" s="453">
        <v>1001735308</v>
      </c>
      <c r="F33" s="453">
        <v>2020</v>
      </c>
      <c r="G33" s="32">
        <f t="shared" si="1"/>
        <v>1</v>
      </c>
      <c r="H33" s="32" t="str">
        <f>IF(IFERROR(VLOOKUP(E33,מרכבה!A:K,4,0),"")=K33,"","no")</f>
        <v/>
      </c>
      <c r="I33" s="32">
        <f>IFERROR(VLOOKUP(D33,מרכבה!A:K,7,0),"")</f>
        <v>2025</v>
      </c>
      <c r="J33" s="32">
        <f>IFERROR(VLOOKUP(D33,מרכבה!A:K,5,0),"")</f>
        <v>40221541</v>
      </c>
      <c r="K33" s="32">
        <f>IFERROR(VLOOKUP(D33,מרכבה!A:K,4,0),"")</f>
        <v>580327740</v>
      </c>
      <c r="L33" s="32" t="str">
        <f>IFERROR(VLOOKUP(D33,מרכבה!A:K,6,0),"")</f>
        <v>המרכז למוסיקה ע"ש פיליציה בלומנטל (</v>
      </c>
      <c r="M33" s="32" t="str">
        <f>IFERROR(VLOOKUP(D33,מרכבה!A:K,2,0),"")</f>
        <v>הפתיליה</v>
      </c>
      <c r="N33" s="473">
        <f>IFERROR(VLOOKUP(D33,מרכבה!A:K,8,0),"")</f>
        <v>60000</v>
      </c>
      <c r="O33" s="473">
        <f>IFERROR(VLOOKUP(E33,מרכבה!A:K,9,0),0)</f>
        <v>55000</v>
      </c>
      <c r="P33" s="473" t="str">
        <f>'הגבלה לסכום מבוקש (2)'!W33</f>
        <v/>
      </c>
      <c r="Q33" s="474" t="str">
        <f t="shared" si="2"/>
        <v/>
      </c>
      <c r="R33" s="310"/>
      <c r="S33" s="502" t="s">
        <v>1086</v>
      </c>
      <c r="T33" s="33" t="str">
        <f>'קיזוזים בגין איחורים'!F33</f>
        <v/>
      </c>
      <c r="U33" s="34">
        <f>IF(B33="","",'קיזוזים- החלטות ועדה'!E33)</f>
        <v>0</v>
      </c>
    </row>
    <row r="34" spans="2:21" ht="38.25" customHeight="1" x14ac:dyDescent="0.25">
      <c r="B34" s="31">
        <f t="shared" si="0"/>
        <v>4</v>
      </c>
      <c r="C34" s="32" t="str">
        <f>IF('תנאי סף'!F34="","",'תנאי סף'!F34)</f>
        <v>יניב ד'אור - אנסמבל נאיה</v>
      </c>
      <c r="D34" s="453">
        <v>1001908666</v>
      </c>
      <c r="E34" s="453">
        <v>1001735298</v>
      </c>
      <c r="F34" s="453">
        <v>2020</v>
      </c>
      <c r="G34" s="32">
        <f t="shared" si="1"/>
        <v>1</v>
      </c>
      <c r="H34" s="32" t="str">
        <f>IF(IFERROR(VLOOKUP(E34,מרכבה!A:K,4,0),"")=K34,"","no")</f>
        <v/>
      </c>
      <c r="I34" s="32">
        <f>IFERROR(VLOOKUP(D34,מרכבה!A:K,7,0),"")</f>
        <v>2025</v>
      </c>
      <c r="J34" s="32">
        <f>IFERROR(VLOOKUP(D34,מרכבה!A:K,5,0),"")</f>
        <v>40221541</v>
      </c>
      <c r="K34" s="32">
        <f>IFERROR(VLOOKUP(D34,מרכבה!A:K,4,0),"")</f>
        <v>580327740</v>
      </c>
      <c r="L34" s="32" t="str">
        <f>IFERROR(VLOOKUP(D34,מרכבה!A:K,6,0),"")</f>
        <v>המרכז למוסיקה ע"ש פיליציה בלומנטל (</v>
      </c>
      <c r="M34" s="32" t="str">
        <f>IFERROR(VLOOKUP(D34,מרכבה!A:K,2,0),"")</f>
        <v>יניב ד'אור ואנסמבל נאיה</v>
      </c>
      <c r="N34" s="473">
        <f>IFERROR(VLOOKUP(D34,מרכבה!A:K,8,0),"")</f>
        <v>65000</v>
      </c>
      <c r="O34" s="473">
        <f>IFERROR(VLOOKUP(E34,מרכבה!A:K,9,0),0)</f>
        <v>65368</v>
      </c>
      <c r="P34" s="473">
        <f>'הגבלה לסכום מבוקש (2)'!W34</f>
        <v>64999.999999999971</v>
      </c>
      <c r="Q34" s="474">
        <f t="shared" si="2"/>
        <v>-5.6296658915682141E-3</v>
      </c>
      <c r="R34" s="310"/>
      <c r="S34" s="451" t="s">
        <v>166</v>
      </c>
      <c r="T34" s="33">
        <f>'קיזוזים בגין איחורים'!F34</f>
        <v>0</v>
      </c>
      <c r="U34" s="34">
        <f>IF(B34="","",'קיזוזים- החלטות ועדה'!E34)</f>
        <v>0</v>
      </c>
    </row>
    <row r="35" spans="2:21" hidden="1" x14ac:dyDescent="0.25">
      <c r="B35" s="31" t="str">
        <f t="shared" si="0"/>
        <v/>
      </c>
      <c r="C35" s="32" t="str">
        <f>IF('תנאי סף'!F35="","",'תנאי סף'!F35)</f>
        <v/>
      </c>
      <c r="D35" s="453"/>
      <c r="E35" s="453"/>
      <c r="F35" s="453"/>
      <c r="G35" s="32" t="str">
        <f t="shared" si="1"/>
        <v/>
      </c>
      <c r="H35" s="32" t="str">
        <f>IF(IFERROR(VLOOKUP(E35,מרכבה!A:K,4,0),"")=K35,"","no")</f>
        <v/>
      </c>
      <c r="I35" s="32" t="str">
        <f>IFERROR(VLOOKUP(D35,מרכבה!A:K,7,0),"")</f>
        <v/>
      </c>
      <c r="J35" s="32" t="str">
        <f>IFERROR(VLOOKUP(D35,מרכבה!A:K,5,0),"")</f>
        <v/>
      </c>
      <c r="K35" s="32" t="str">
        <f>IFERROR(VLOOKUP(D35,מרכבה!A:K,4,0),"")</f>
        <v/>
      </c>
      <c r="L35" s="32" t="str">
        <f>IFERROR(VLOOKUP(D35,מרכבה!A:K,6,0),"")</f>
        <v/>
      </c>
      <c r="M35" s="32" t="str">
        <f>IFERROR(VLOOKUP(D35,מרכבה!A:K,2,0),"")</f>
        <v/>
      </c>
      <c r="N35" s="473" t="str">
        <f>IFERROR(VLOOKUP(D35,מרכבה!A:K,8,0),"")</f>
        <v/>
      </c>
      <c r="O35" s="473">
        <f>IFERROR(VLOOKUP(E35,מרכבה!A:K,9,0),0)</f>
        <v>0</v>
      </c>
      <c r="P35" s="473" t="str">
        <f>'הגבלה לסכום מבוקש (2)'!W35</f>
        <v/>
      </c>
      <c r="Q35" s="474" t="str">
        <f t="shared" si="2"/>
        <v/>
      </c>
      <c r="R35" s="310"/>
      <c r="S35" s="451"/>
      <c r="T35" s="33" t="str">
        <f>'קיזוזים בגין איחורים'!F35</f>
        <v/>
      </c>
      <c r="U35" s="34" t="str">
        <f>IF(B35="","",'קיזוזים- החלטות ועדה'!E35)</f>
        <v/>
      </c>
    </row>
    <row r="36" spans="2:21" ht="54" customHeight="1" x14ac:dyDescent="0.25">
      <c r="B36" s="31">
        <f t="shared" si="0"/>
        <v>6</v>
      </c>
      <c r="C36" s="32" t="str">
        <f>IF('תנאי סף'!F36="","",'תנאי סף'!F36)</f>
        <v>הפרויקט הקאמרי הישראלי</v>
      </c>
      <c r="D36" s="453">
        <v>1001908682</v>
      </c>
      <c r="E36" s="453">
        <v>1001735302</v>
      </c>
      <c r="F36" s="453">
        <v>2020</v>
      </c>
      <c r="G36" s="32">
        <f t="shared" si="1"/>
        <v>1</v>
      </c>
      <c r="H36" s="32" t="str">
        <f>IF(IFERROR(VLOOKUP(E36,מרכבה!A:K,4,0),"")=K36,"","no")</f>
        <v/>
      </c>
      <c r="I36" s="32">
        <f>IFERROR(VLOOKUP(D36,מרכבה!A:K,7,0),"")</f>
        <v>2025</v>
      </c>
      <c r="J36" s="32">
        <f>IFERROR(VLOOKUP(D36,מרכבה!A:K,5,0),"")</f>
        <v>40221541</v>
      </c>
      <c r="K36" s="32">
        <f>IFERROR(VLOOKUP(D36,מרכבה!A:K,4,0),"")</f>
        <v>580327740</v>
      </c>
      <c r="L36" s="32" t="str">
        <f>IFERROR(VLOOKUP(D36,מרכבה!A:K,6,0),"")</f>
        <v>המרכז למוסיקה ע"ש פיליציה בלומנטל (</v>
      </c>
      <c r="M36" s="32" t="str">
        <f>IFERROR(VLOOKUP(D36,מרכבה!A:K,2,0),"")</f>
        <v>הפרויקט הקאמרי הישראלי</v>
      </c>
      <c r="N36" s="473">
        <f>IFERROR(VLOOKUP(D36,מרכבה!A:K,8,0),"")</f>
        <v>95000</v>
      </c>
      <c r="O36" s="473">
        <f>IFERROR(VLOOKUP(E36,מרכבה!A:K,9,0),0)</f>
        <v>87848</v>
      </c>
      <c r="P36" s="473">
        <f>'הגבלה לסכום מבוקש (2)'!W36</f>
        <v>85314.896794804052</v>
      </c>
      <c r="Q36" s="474">
        <f t="shared" si="2"/>
        <v>-2.8835069724933438E-2</v>
      </c>
      <c r="R36" s="310"/>
      <c r="S36" s="451" t="s">
        <v>166</v>
      </c>
      <c r="T36" s="33">
        <f>'קיזוזים בגין איחורים'!F36</f>
        <v>0</v>
      </c>
      <c r="U36" s="34">
        <f>IF(B36="","",'קיזוזים- החלטות ועדה'!E36)</f>
        <v>0</v>
      </c>
    </row>
    <row r="37" spans="2:21" ht="41.25" customHeight="1" x14ac:dyDescent="0.25">
      <c r="B37" s="31">
        <f t="shared" si="0"/>
        <v>7</v>
      </c>
      <c r="C37" s="32" t="str">
        <f>IF('תנאי סף'!F37="","",'תנאי סף'!F37)</f>
        <v>מארש דונדורמה</v>
      </c>
      <c r="D37" s="453">
        <v>1001908665</v>
      </c>
      <c r="E37" s="453">
        <v>1001735296</v>
      </c>
      <c r="F37" s="453">
        <v>2020</v>
      </c>
      <c r="G37" s="32">
        <f t="shared" si="1"/>
        <v>1</v>
      </c>
      <c r="H37" s="32" t="str">
        <f>IF(IFERROR(VLOOKUP(E37,מרכבה!A:K,4,0),"")=K37,"","no")</f>
        <v/>
      </c>
      <c r="I37" s="32">
        <f>IFERROR(VLOOKUP(D37,מרכבה!A:K,7,0),"")</f>
        <v>2025</v>
      </c>
      <c r="J37" s="32">
        <f>IFERROR(VLOOKUP(D37,מרכבה!A:K,5,0),"")</f>
        <v>40221541</v>
      </c>
      <c r="K37" s="32">
        <f>IFERROR(VLOOKUP(D37,מרכבה!A:K,4,0),"")</f>
        <v>580327740</v>
      </c>
      <c r="L37" s="32" t="str">
        <f>IFERROR(VLOOKUP(D37,מרכבה!A:K,6,0),"")</f>
        <v>המרכז למוסיקה ע"ש פיליציה בלומנטל (</v>
      </c>
      <c r="M37" s="32" t="str">
        <f>IFERROR(VLOOKUP(D37,מרכבה!A:K,2,0),"")</f>
        <v>מארש דונדורמה</v>
      </c>
      <c r="N37" s="473">
        <f>IFERROR(VLOOKUP(D37,מרכבה!A:K,8,0),"")</f>
        <v>130000</v>
      </c>
      <c r="O37" s="473">
        <f>IFERROR(VLOOKUP(E37,מרכבה!A:K,9,0),0)</f>
        <v>130000</v>
      </c>
      <c r="P37" s="473">
        <f>'הגבלה לסכום מבוקש (2)'!W37</f>
        <v>129999.99999999994</v>
      </c>
      <c r="Q37" s="474">
        <f t="shared" si="2"/>
        <v>-4.4408920985006262E-16</v>
      </c>
      <c r="R37" s="310"/>
      <c r="S37" s="451" t="s">
        <v>166</v>
      </c>
      <c r="T37" s="33">
        <f>'קיזוזים בגין איחורים'!F37</f>
        <v>0</v>
      </c>
      <c r="U37" s="34">
        <f>IF(B37="","",'קיזוזים- החלטות ועדה'!E37)</f>
        <v>0</v>
      </c>
    </row>
    <row r="38" spans="2:21" ht="67.5" customHeight="1" x14ac:dyDescent="0.25">
      <c r="B38" s="31">
        <f t="shared" si="0"/>
        <v>8</v>
      </c>
      <c r="C38" s="32" t="str">
        <f>IF('תנאי סף'!F38="","",'תנאי סף'!F38)</f>
        <v>להקת מורין נהדר</v>
      </c>
      <c r="D38" s="453">
        <v>1001908626</v>
      </c>
      <c r="E38" s="453">
        <v>1001735297</v>
      </c>
      <c r="F38" s="453">
        <v>2020</v>
      </c>
      <c r="G38" s="32">
        <f t="shared" si="1"/>
        <v>1</v>
      </c>
      <c r="H38" s="32" t="str">
        <f>IF(IFERROR(VLOOKUP(E38,מרכבה!A:K,4,0),"")=K38,"","no")</f>
        <v/>
      </c>
      <c r="I38" s="32">
        <f>IFERROR(VLOOKUP(D38,מרכבה!A:K,7,0),"")</f>
        <v>2025</v>
      </c>
      <c r="J38" s="32">
        <f>IFERROR(VLOOKUP(D38,מרכבה!A:K,5,0),"")</f>
        <v>40221541</v>
      </c>
      <c r="K38" s="32">
        <f>IFERROR(VLOOKUP(D38,מרכבה!A:K,4,0),"")</f>
        <v>580327740</v>
      </c>
      <c r="L38" s="32" t="str">
        <f>IFERROR(VLOOKUP(D38,מרכבה!A:K,6,0),"")</f>
        <v>המרכז למוסיקה ע"ש פיליציה בלומנטל (</v>
      </c>
      <c r="M38" s="32" t="str">
        <f>IFERROR(VLOOKUP(D38,מרכבה!A:K,2,0),"")</f>
        <v>להקת מורין נהדר</v>
      </c>
      <c r="N38" s="473">
        <f>IFERROR(VLOOKUP(D38,מרכבה!A:K,8,0),"")</f>
        <v>50000</v>
      </c>
      <c r="O38" s="473">
        <f>IFERROR(VLOOKUP(E38,מרכבה!A:K,9,0),0)</f>
        <v>38495</v>
      </c>
      <c r="P38" s="473">
        <f>'הגבלה לסכום מבוקש (2)'!W38</f>
        <v>32830.438409345188</v>
      </c>
      <c r="Q38" s="474">
        <f t="shared" si="2"/>
        <v>-0.14715058035211881</v>
      </c>
      <c r="R38" s="310"/>
      <c r="S38" s="357" t="s">
        <v>1080</v>
      </c>
      <c r="T38" s="33">
        <f>'קיזוזים בגין איחורים'!F38</f>
        <v>0</v>
      </c>
      <c r="U38" s="34">
        <f>IF(B38="","",'קיזוזים- החלטות ועדה'!E38)</f>
        <v>0</v>
      </c>
    </row>
    <row r="39" spans="2:21" ht="15.75" hidden="1" customHeight="1" x14ac:dyDescent="0.25">
      <c r="B39" s="31" t="str">
        <f t="shared" si="0"/>
        <v/>
      </c>
      <c r="C39" s="32" t="str">
        <f>IF('תנאי סף'!F39="","",'תנאי סף'!F39)</f>
        <v/>
      </c>
      <c r="D39" s="453"/>
      <c r="E39" s="453"/>
      <c r="F39" s="453"/>
      <c r="G39" s="32" t="str">
        <f t="shared" si="1"/>
        <v/>
      </c>
      <c r="H39" s="32" t="str">
        <f>IF(IFERROR(VLOOKUP(E39,מרכבה!A:K,4,0),"")=K39,"","no")</f>
        <v/>
      </c>
      <c r="I39" s="32" t="str">
        <f>IFERROR(VLOOKUP(D39,מרכבה!A:K,7,0),"")</f>
        <v/>
      </c>
      <c r="J39" s="32" t="str">
        <f>IFERROR(VLOOKUP(D39,מרכבה!A:K,5,0),"")</f>
        <v/>
      </c>
      <c r="K39" s="32" t="str">
        <f>IFERROR(VLOOKUP(D39,מרכבה!A:K,4,0),"")</f>
        <v/>
      </c>
      <c r="L39" s="32" t="str">
        <f>IFERROR(VLOOKUP(D39,מרכבה!A:K,6,0),"")</f>
        <v/>
      </c>
      <c r="M39" s="32" t="str">
        <f>IFERROR(VLOOKUP(D39,מרכבה!A:K,2,0),"")</f>
        <v/>
      </c>
      <c r="N39" s="473" t="str">
        <f>IFERROR(VLOOKUP(D39,מרכבה!A:K,8,0),"")</f>
        <v/>
      </c>
      <c r="O39" s="473">
        <f>IFERROR(VLOOKUP(E39,מרכבה!A:K,9,0),0)</f>
        <v>0</v>
      </c>
      <c r="P39" s="473" t="str">
        <f>'הגבלה לסכום מבוקש (2)'!W39</f>
        <v/>
      </c>
      <c r="Q39" s="474" t="str">
        <f t="shared" si="2"/>
        <v/>
      </c>
      <c r="R39" s="310"/>
      <c r="S39" s="451"/>
      <c r="T39" s="33" t="str">
        <f>'קיזוזים בגין איחורים'!F39</f>
        <v/>
      </c>
      <c r="U39" s="34" t="str">
        <f>IF(B39="","",'קיזוזים- החלטות ועדה'!E39)</f>
        <v/>
      </c>
    </row>
    <row r="40" spans="2:21" ht="53.25" customHeight="1" x14ac:dyDescent="0.25">
      <c r="B40" s="31">
        <f t="shared" si="0"/>
        <v>10</v>
      </c>
      <c r="C40" s="32" t="str">
        <f>IF('תנאי סף'!F40="","",'תנאי סף'!F40)</f>
        <v>אנסמבל גלעד אפרת</v>
      </c>
      <c r="D40" s="453">
        <v>1001908692</v>
      </c>
      <c r="E40" s="453">
        <v>1001735307</v>
      </c>
      <c r="F40" s="453">
        <v>2020</v>
      </c>
      <c r="G40" s="32">
        <f t="shared" si="1"/>
        <v>1</v>
      </c>
      <c r="H40" s="32" t="str">
        <f>IF(IFERROR(VLOOKUP(E40,מרכבה!A:K,4,0),"")=K40,"","no")</f>
        <v/>
      </c>
      <c r="I40" s="32">
        <f>IFERROR(VLOOKUP(D40,מרכבה!A:K,7,0),"")</f>
        <v>2025</v>
      </c>
      <c r="J40" s="32">
        <f>IFERROR(VLOOKUP(D40,מרכבה!A:K,5,0),"")</f>
        <v>40221541</v>
      </c>
      <c r="K40" s="32">
        <f>IFERROR(VLOOKUP(D40,מרכבה!A:K,4,0),"")</f>
        <v>580327740</v>
      </c>
      <c r="L40" s="32" t="str">
        <f>IFERROR(VLOOKUP(D40,מרכבה!A:K,6,0),"")</f>
        <v>המרכז למוסיקה ע"ש פיליציה בלומנטל (</v>
      </c>
      <c r="M40" s="32" t="str">
        <f>IFERROR(VLOOKUP(D40,מרכבה!A:K,2,0),"")</f>
        <v>אנסמבל גלעד אפרת</v>
      </c>
      <c r="N40" s="473">
        <f>IFERROR(VLOOKUP(D40,מרכבה!A:K,8,0),"")</f>
        <v>65000</v>
      </c>
      <c r="O40" s="473">
        <f>IFERROR(VLOOKUP(E40,מרכבה!A:K,9,0),0)</f>
        <v>53364</v>
      </c>
      <c r="P40" s="473">
        <f>'הגבלה לסכום מבוקש (2)'!W40</f>
        <v>64999.999999999971</v>
      </c>
      <c r="Q40" s="474">
        <f t="shared" si="2"/>
        <v>0.2180496214676555</v>
      </c>
      <c r="R40" s="310" t="s">
        <v>1088</v>
      </c>
      <c r="S40" s="357" t="s">
        <v>1085</v>
      </c>
      <c r="T40" s="33">
        <f>'קיזוזים בגין איחורים'!F40</f>
        <v>0</v>
      </c>
      <c r="U40" s="34">
        <f>IF(B40="","",'קיזוזים- החלטות ועדה'!E40)</f>
        <v>0</v>
      </c>
    </row>
    <row r="41" spans="2:21" ht="38.25" customHeight="1" x14ac:dyDescent="0.25">
      <c r="B41" s="31">
        <f t="shared" si="0"/>
        <v>11</v>
      </c>
      <c r="C41" s="32" t="str">
        <f>IF('תנאי סף'!F41="","",'תנאי סף'!F41)</f>
        <v>רביעיית כרמל</v>
      </c>
      <c r="D41" s="453">
        <v>1001908629</v>
      </c>
      <c r="E41" s="453">
        <v>1001735295</v>
      </c>
      <c r="F41" s="453">
        <v>2020</v>
      </c>
      <c r="G41" s="32">
        <f t="shared" si="1"/>
        <v>1</v>
      </c>
      <c r="H41" s="32" t="str">
        <f>IF(IFERROR(VLOOKUP(E41,מרכבה!A:K,4,0),"")=K41,"","no")</f>
        <v/>
      </c>
      <c r="I41" s="32">
        <f>IFERROR(VLOOKUP(D41,מרכבה!A:K,7,0),"")</f>
        <v>2025</v>
      </c>
      <c r="J41" s="32">
        <f>IFERROR(VLOOKUP(D41,מרכבה!A:K,5,0),"")</f>
        <v>40221541</v>
      </c>
      <c r="K41" s="32">
        <f>IFERROR(VLOOKUP(D41,מרכבה!A:K,4,0),"")</f>
        <v>580327740</v>
      </c>
      <c r="L41" s="32" t="str">
        <f>IFERROR(VLOOKUP(D41,מרכבה!A:K,6,0),"")</f>
        <v>המרכז למוסיקה ע"ש פיליציה בלומנטל (</v>
      </c>
      <c r="M41" s="32" t="str">
        <f>IFERROR(VLOOKUP(D41,מרכבה!A:K,2,0),"")</f>
        <v>רביעיית כרמל</v>
      </c>
      <c r="N41" s="473">
        <f>IFERROR(VLOOKUP(D41,מרכבה!A:K,8,0),"")</f>
        <v>128000</v>
      </c>
      <c r="O41" s="473">
        <f>IFERROR(VLOOKUP(E41,מרכבה!A:K,9,0),0)</f>
        <v>119821</v>
      </c>
      <c r="P41" s="473">
        <f>'הגבלה לסכום מבוקש (2)'!W41</f>
        <v>127999.99999999994</v>
      </c>
      <c r="Q41" s="474">
        <f t="shared" si="2"/>
        <v>6.8260154730806377E-2</v>
      </c>
      <c r="R41" s="310"/>
      <c r="S41" s="451" t="s">
        <v>166</v>
      </c>
      <c r="T41" s="33">
        <f>'קיזוזים בגין איחורים'!F41</f>
        <v>0</v>
      </c>
      <c r="U41" s="34">
        <f>IF(B41="","",'קיזוזים- החלטות ועדה'!E41)</f>
        <v>0</v>
      </c>
    </row>
    <row r="42" spans="2:21" ht="51.75" customHeight="1" x14ac:dyDescent="0.25">
      <c r="B42" s="31">
        <f t="shared" si="0"/>
        <v>12</v>
      </c>
      <c r="C42" s="32" t="str">
        <f>IF('תנאי סף'!F42="","",'תנאי סף'!F42)</f>
        <v>שורולה</v>
      </c>
      <c r="D42" s="453">
        <v>1001908664</v>
      </c>
      <c r="E42" s="453">
        <v>1001735293</v>
      </c>
      <c r="F42" s="453">
        <v>2020</v>
      </c>
      <c r="G42" s="32">
        <f t="shared" si="1"/>
        <v>1</v>
      </c>
      <c r="H42" s="32" t="str">
        <f>IF(IFERROR(VLOOKUP(E42,מרכבה!A:K,4,0),"")=K42,"","no")</f>
        <v/>
      </c>
      <c r="I42" s="32">
        <f>IFERROR(VLOOKUP(D42,מרכבה!A:K,7,0),"")</f>
        <v>2025</v>
      </c>
      <c r="J42" s="32">
        <f>IFERROR(VLOOKUP(D42,מרכבה!A:K,5,0),"")</f>
        <v>40221541</v>
      </c>
      <c r="K42" s="32">
        <f>IFERROR(VLOOKUP(D42,מרכבה!A:K,4,0),"")</f>
        <v>580327740</v>
      </c>
      <c r="L42" s="32" t="str">
        <f>IFERROR(VLOOKUP(D42,מרכבה!A:K,6,0),"")</f>
        <v>המרכז למוסיקה ע"ש פיליציה בלומנטל (</v>
      </c>
      <c r="M42" s="32" t="str">
        <f>IFERROR(VLOOKUP(D42,מרכבה!A:K,2,0),"")</f>
        <v>שורולה</v>
      </c>
      <c r="N42" s="473">
        <f>IFERROR(VLOOKUP(D42,מרכבה!A:K,8,0),"")</f>
        <v>55000</v>
      </c>
      <c r="O42" s="473">
        <f>IFERROR(VLOOKUP(E42,מרכבה!A:K,9,0),0)</f>
        <v>35739</v>
      </c>
      <c r="P42" s="473">
        <f>'הגבלה לסכום מבוקש (2)'!W42</f>
        <v>39804.281679595129</v>
      </c>
      <c r="Q42" s="474">
        <f t="shared" si="2"/>
        <v>0.11374917260122364</v>
      </c>
      <c r="R42" s="310"/>
      <c r="S42" s="451" t="s">
        <v>166</v>
      </c>
      <c r="T42" s="33">
        <f>'קיזוזים בגין איחורים'!F42</f>
        <v>0</v>
      </c>
      <c r="U42" s="34">
        <f>IF(B42="","",'קיזוזים- החלטות ועדה'!E42)</f>
        <v>0</v>
      </c>
    </row>
    <row r="43" spans="2:21" hidden="1" x14ac:dyDescent="0.25">
      <c r="B43" s="31" t="str">
        <f t="shared" si="0"/>
        <v/>
      </c>
      <c r="C43" s="32" t="str">
        <f>IF('תנאי סף'!F43="","",'תנאי סף'!F43)</f>
        <v/>
      </c>
      <c r="D43" s="453"/>
      <c r="E43" s="453"/>
      <c r="F43" s="453"/>
      <c r="G43" s="32" t="str">
        <f t="shared" si="1"/>
        <v/>
      </c>
      <c r="H43" s="32" t="str">
        <f>IF(IFERROR(VLOOKUP(E43,מרכבה!A:K,4,0),"")=K43,"","no")</f>
        <v/>
      </c>
      <c r="I43" s="32" t="str">
        <f>IFERROR(VLOOKUP(D43,מרכבה!A:K,7,0),"")</f>
        <v/>
      </c>
      <c r="J43" s="32" t="str">
        <f>IFERROR(VLOOKUP(D43,מרכבה!A:K,5,0),"")</f>
        <v/>
      </c>
      <c r="K43" s="32" t="str">
        <f>IFERROR(VLOOKUP(D43,מרכבה!A:K,4,0),"")</f>
        <v/>
      </c>
      <c r="L43" s="32" t="str">
        <f>IFERROR(VLOOKUP(D43,מרכבה!A:K,6,0),"")</f>
        <v/>
      </c>
      <c r="M43" s="32" t="str">
        <f>IFERROR(VLOOKUP(D43,מרכבה!A:K,2,0),"")</f>
        <v/>
      </c>
      <c r="N43" s="473" t="str">
        <f>IFERROR(VLOOKUP(D43,מרכבה!A:K,8,0),"")</f>
        <v/>
      </c>
      <c r="O43" s="473">
        <f>IFERROR(VLOOKUP(E43,מרכבה!A:K,9,0),0)</f>
        <v>0</v>
      </c>
      <c r="P43" s="473" t="str">
        <f>'הגבלה לסכום מבוקש (2)'!W43</f>
        <v/>
      </c>
      <c r="Q43" s="474" t="str">
        <f t="shared" si="2"/>
        <v/>
      </c>
      <c r="R43" s="310"/>
      <c r="S43" s="451"/>
      <c r="T43" s="33" t="str">
        <f>'קיזוזים בגין איחורים'!F43</f>
        <v/>
      </c>
      <c r="U43" s="34" t="str">
        <f>IF(B43="","",'קיזוזים- החלטות ועדה'!E43)</f>
        <v/>
      </c>
    </row>
    <row r="44" spans="2:21" hidden="1" x14ac:dyDescent="0.25">
      <c r="B44" s="31" t="str">
        <f t="shared" si="0"/>
        <v/>
      </c>
      <c r="C44" s="32" t="str">
        <f>IF('תנאי סף'!F44="","",'תנאי סף'!F44)</f>
        <v/>
      </c>
      <c r="D44" s="453"/>
      <c r="E44" s="453"/>
      <c r="F44" s="453"/>
      <c r="G44" s="32" t="str">
        <f t="shared" si="1"/>
        <v/>
      </c>
      <c r="H44" s="32" t="str">
        <f>IF(IFERROR(VLOOKUP(E44,מרכבה!A:K,4,0),"")=K44,"","no")</f>
        <v/>
      </c>
      <c r="I44" s="32" t="str">
        <f>IFERROR(VLOOKUP(D44,מרכבה!A:K,7,0),"")</f>
        <v/>
      </c>
      <c r="J44" s="32" t="str">
        <f>IFERROR(VLOOKUP(D44,מרכבה!A:K,5,0),"")</f>
        <v/>
      </c>
      <c r="K44" s="32" t="str">
        <f>IFERROR(VLOOKUP(D44,מרכבה!A:K,4,0),"")</f>
        <v/>
      </c>
      <c r="L44" s="32" t="str">
        <f>IFERROR(VLOOKUP(D44,מרכבה!A:K,6,0),"")</f>
        <v/>
      </c>
      <c r="M44" s="32" t="str">
        <f>IFERROR(VLOOKUP(D44,מרכבה!A:K,2,0),"")</f>
        <v/>
      </c>
      <c r="N44" s="473" t="str">
        <f>IFERROR(VLOOKUP(D44,מרכבה!A:K,8,0),"")</f>
        <v/>
      </c>
      <c r="O44" s="473">
        <f>IFERROR(VLOOKUP(E44,מרכבה!A:K,9,0),0)</f>
        <v>0</v>
      </c>
      <c r="P44" s="473" t="str">
        <f>'הגבלה לסכום מבוקש (2)'!W44</f>
        <v/>
      </c>
      <c r="Q44" s="474" t="str">
        <f t="shared" si="2"/>
        <v/>
      </c>
      <c r="R44" s="310"/>
      <c r="S44" s="451"/>
      <c r="T44" s="33" t="str">
        <f>'קיזוזים בגין איחורים'!F44</f>
        <v/>
      </c>
      <c r="U44" s="34" t="str">
        <f>IF(B44="","",'קיזוזים- החלטות ועדה'!E44)</f>
        <v/>
      </c>
    </row>
    <row r="45" spans="2:21" ht="41.25" hidden="1" customHeight="1" x14ac:dyDescent="0.25">
      <c r="B45" s="31" t="str">
        <f t="shared" si="0"/>
        <v/>
      </c>
      <c r="C45" s="32" t="str">
        <f>IF('תנאי סף'!F45="","",'תנאי סף'!F45)</f>
        <v/>
      </c>
      <c r="D45" s="453"/>
      <c r="E45" s="453"/>
      <c r="F45" s="453"/>
      <c r="G45" s="32" t="str">
        <f t="shared" si="1"/>
        <v/>
      </c>
      <c r="H45" s="32" t="str">
        <f>IF(IFERROR(VLOOKUP(E45,מרכבה!A:K,4,0),"")=K45,"","no")</f>
        <v/>
      </c>
      <c r="I45" s="32" t="str">
        <f>IFERROR(VLOOKUP(D45,מרכבה!A:K,7,0),"")</f>
        <v/>
      </c>
      <c r="J45" s="32" t="str">
        <f>IFERROR(VLOOKUP(D45,מרכבה!A:K,5,0),"")</f>
        <v/>
      </c>
      <c r="K45" s="32" t="str">
        <f>IFERROR(VLOOKUP(D45,מרכבה!A:K,4,0),"")</f>
        <v/>
      </c>
      <c r="L45" s="32" t="str">
        <f>IFERROR(VLOOKUP(D45,מרכבה!A:K,6,0),"")</f>
        <v/>
      </c>
      <c r="M45" s="32" t="str">
        <f>IFERROR(VLOOKUP(D45,מרכבה!A:K,2,0),"")</f>
        <v/>
      </c>
      <c r="N45" s="473" t="str">
        <f>IFERROR(VLOOKUP(D45,מרכבה!A:K,8,0),"")</f>
        <v/>
      </c>
      <c r="O45" s="473">
        <f>IFERROR(VLOOKUP(E45,מרכבה!A:K,9,0),0)</f>
        <v>0</v>
      </c>
      <c r="P45" s="473" t="str">
        <f>'הגבלה לסכום מבוקש (2)'!W45</f>
        <v/>
      </c>
      <c r="Q45" s="474" t="str">
        <f t="shared" si="2"/>
        <v/>
      </c>
      <c r="R45" s="310"/>
      <c r="S45" s="451"/>
      <c r="T45" s="33" t="str">
        <f>'קיזוזים בגין איחורים'!F45</f>
        <v/>
      </c>
      <c r="U45" s="34" t="str">
        <f>IF(B45="","",'קיזוזים- החלטות ועדה'!E45)</f>
        <v/>
      </c>
    </row>
    <row r="46" spans="2:21" ht="51.75" hidden="1" customHeight="1" x14ac:dyDescent="0.25">
      <c r="B46" s="31" t="str">
        <f t="shared" si="0"/>
        <v/>
      </c>
      <c r="C46" s="32" t="str">
        <f>IF('תנאי סף'!F46="","",'תנאי סף'!F46)</f>
        <v/>
      </c>
      <c r="D46" s="453"/>
      <c r="E46" s="453"/>
      <c r="F46" s="453"/>
      <c r="G46" s="32" t="str">
        <f t="shared" si="1"/>
        <v/>
      </c>
      <c r="H46" s="32" t="str">
        <f>IF(IFERROR(VLOOKUP(E46,מרכבה!A:K,4,0),"")=K46,"","no")</f>
        <v/>
      </c>
      <c r="I46" s="32" t="str">
        <f>IFERROR(VLOOKUP(D46,מרכבה!A:K,7,0),"")</f>
        <v/>
      </c>
      <c r="J46" s="32" t="str">
        <f>IFERROR(VLOOKUP(D46,מרכבה!A:K,5,0),"")</f>
        <v/>
      </c>
      <c r="K46" s="32" t="str">
        <f>IFERROR(VLOOKUP(D46,מרכבה!A:K,4,0),"")</f>
        <v/>
      </c>
      <c r="L46" s="32" t="str">
        <f>IFERROR(VLOOKUP(D46,מרכבה!A:K,6,0),"")</f>
        <v/>
      </c>
      <c r="M46" s="32" t="str">
        <f>IFERROR(VLOOKUP(D46,מרכבה!A:K,2,0),"")</f>
        <v/>
      </c>
      <c r="N46" s="473" t="str">
        <f>IFERROR(VLOOKUP(D46,מרכבה!A:K,8,0),"")</f>
        <v/>
      </c>
      <c r="O46" s="473">
        <f>IFERROR(VLOOKUP(E46,מרכבה!A:K,9,0),0)</f>
        <v>0</v>
      </c>
      <c r="P46" s="473" t="str">
        <f>'הגבלה לסכום מבוקש (2)'!W46</f>
        <v/>
      </c>
      <c r="Q46" s="474" t="str">
        <f t="shared" si="2"/>
        <v/>
      </c>
      <c r="R46" s="310"/>
      <c r="S46" s="451"/>
      <c r="T46" s="33" t="str">
        <f>'קיזוזים בגין איחורים'!F46</f>
        <v/>
      </c>
      <c r="U46" s="34" t="str">
        <f>IF(B46="","",'קיזוזים- החלטות ועדה'!E46)</f>
        <v/>
      </c>
    </row>
    <row r="47" spans="2:21" ht="40.5" customHeight="1" x14ac:dyDescent="0.25">
      <c r="B47" s="31">
        <f t="shared" si="0"/>
        <v>17</v>
      </c>
      <c r="C47" s="32" t="str">
        <f>IF('תנאי סף'!F47="","",'תנאי סף'!F47)</f>
        <v>הרכב עמית פרידמן</v>
      </c>
      <c r="D47" s="453">
        <v>1001908668</v>
      </c>
      <c r="E47" s="453">
        <v>1001735301</v>
      </c>
      <c r="F47" s="453">
        <v>2020</v>
      </c>
      <c r="G47" s="32">
        <f t="shared" si="1"/>
        <v>1</v>
      </c>
      <c r="H47" s="32" t="str">
        <f>IF(IFERROR(VLOOKUP(E47,מרכבה!A:K,4,0),"")=K47,"","no")</f>
        <v/>
      </c>
      <c r="I47" s="32">
        <f>IFERROR(VLOOKUP(D47,מרכבה!A:K,7,0),"")</f>
        <v>2025</v>
      </c>
      <c r="J47" s="32">
        <f>IFERROR(VLOOKUP(D47,מרכבה!A:K,5,0),"")</f>
        <v>40221541</v>
      </c>
      <c r="K47" s="32">
        <f>IFERROR(VLOOKUP(D47,מרכבה!A:K,4,0),"")</f>
        <v>580327740</v>
      </c>
      <c r="L47" s="32" t="str">
        <f>IFERROR(VLOOKUP(D47,מרכבה!A:K,6,0),"")</f>
        <v>המרכז למוסיקה ע"ש פיליציה בלומנטל (</v>
      </c>
      <c r="M47" s="32" t="str">
        <f>IFERROR(VLOOKUP(D47,מרכבה!A:K,2,0),"")</f>
        <v>הרכב עמית פרידמן</v>
      </c>
      <c r="N47" s="473">
        <f>IFERROR(VLOOKUP(D47,מרכבה!A:K,8,0),"")</f>
        <v>70000</v>
      </c>
      <c r="O47" s="473">
        <f>IFERROR(VLOOKUP(E47,מרכבה!A:K,9,0),0)</f>
        <v>65000</v>
      </c>
      <c r="P47" s="473">
        <f>'הגבלה לסכום מבוקש (2)'!W47</f>
        <v>69999.999999999956</v>
      </c>
      <c r="Q47" s="474">
        <f t="shared" si="2"/>
        <v>7.6923076923076206E-2</v>
      </c>
      <c r="R47" s="310"/>
      <c r="S47" s="451" t="s">
        <v>166</v>
      </c>
      <c r="T47" s="33">
        <f>'קיזוזים בגין איחורים'!F47</f>
        <v>0</v>
      </c>
      <c r="U47" s="34">
        <f>IF(B47="","",'קיזוזים- החלטות ועדה'!E47)</f>
        <v>0</v>
      </c>
    </row>
    <row r="48" spans="2:21" hidden="1" x14ac:dyDescent="0.25">
      <c r="B48" s="31" t="str">
        <f t="shared" si="0"/>
        <v/>
      </c>
      <c r="C48" s="32" t="str">
        <f>IF('תנאי סף'!F48="","",'תנאי סף'!F48)</f>
        <v/>
      </c>
      <c r="D48" s="453"/>
      <c r="E48" s="453"/>
      <c r="F48" s="453"/>
      <c r="G48" s="32" t="str">
        <f t="shared" si="1"/>
        <v/>
      </c>
      <c r="H48" s="32" t="str">
        <f>IF(IFERROR(VLOOKUP(E48,מרכבה!A:K,4,0),"")=K48,"","no")</f>
        <v/>
      </c>
      <c r="I48" s="32" t="str">
        <f>IFERROR(VLOOKUP(D48,מרכבה!A:K,7,0),"")</f>
        <v/>
      </c>
      <c r="J48" s="32" t="str">
        <f>IFERROR(VLOOKUP(D48,מרכבה!A:K,5,0),"")</f>
        <v/>
      </c>
      <c r="K48" s="32" t="str">
        <f>IFERROR(VLOOKUP(D48,מרכבה!A:K,4,0),"")</f>
        <v/>
      </c>
      <c r="L48" s="32" t="str">
        <f>IFERROR(VLOOKUP(D48,מרכבה!A:K,6,0),"")</f>
        <v/>
      </c>
      <c r="M48" s="32" t="str">
        <f>IFERROR(VLOOKUP(D48,מרכבה!A:K,2,0),"")</f>
        <v/>
      </c>
      <c r="N48" s="473" t="str">
        <f>IFERROR(VLOOKUP(D48,מרכבה!A:K,8,0),"")</f>
        <v/>
      </c>
      <c r="O48" s="473">
        <f>IFERROR(VLOOKUP(E48,מרכבה!A:K,9,0),0)</f>
        <v>0</v>
      </c>
      <c r="P48" s="473" t="str">
        <f>'הגבלה לסכום מבוקש (2)'!W48</f>
        <v/>
      </c>
      <c r="Q48" s="474" t="str">
        <f t="shared" si="2"/>
        <v/>
      </c>
      <c r="R48" s="310"/>
      <c r="S48" s="451"/>
      <c r="T48" s="33" t="str">
        <f>'קיזוזים בגין איחורים'!F48</f>
        <v/>
      </c>
      <c r="U48" s="34" t="str">
        <f>IF(B48="","",'קיזוזים- החלטות ועדה'!E48)</f>
        <v/>
      </c>
    </row>
    <row r="49" spans="2:21" hidden="1" x14ac:dyDescent="0.25">
      <c r="B49" s="31" t="str">
        <f t="shared" si="0"/>
        <v/>
      </c>
      <c r="C49" s="32" t="str">
        <f>IF('תנאי סף'!F49="","",'תנאי סף'!F49)</f>
        <v/>
      </c>
      <c r="D49" s="453"/>
      <c r="E49" s="453"/>
      <c r="F49" s="453"/>
      <c r="G49" s="32" t="str">
        <f t="shared" si="1"/>
        <v/>
      </c>
      <c r="H49" s="32" t="str">
        <f>IF(IFERROR(VLOOKUP(E49,מרכבה!A:K,4,0),"")=K49,"","no")</f>
        <v/>
      </c>
      <c r="I49" s="32" t="str">
        <f>IFERROR(VLOOKUP(D49,מרכבה!A:K,7,0),"")</f>
        <v/>
      </c>
      <c r="J49" s="32" t="str">
        <f>IFERROR(VLOOKUP(D49,מרכבה!A:K,5,0),"")</f>
        <v/>
      </c>
      <c r="K49" s="32" t="str">
        <f>IFERROR(VLOOKUP(D49,מרכבה!A:K,4,0),"")</f>
        <v/>
      </c>
      <c r="L49" s="32" t="str">
        <f>IFERROR(VLOOKUP(D49,מרכבה!A:K,6,0),"")</f>
        <v/>
      </c>
      <c r="M49" s="32" t="str">
        <f>IFERROR(VLOOKUP(D49,מרכבה!A:K,2,0),"")</f>
        <v/>
      </c>
      <c r="N49" s="473" t="str">
        <f>IFERROR(VLOOKUP(D49,מרכבה!A:K,8,0),"")</f>
        <v/>
      </c>
      <c r="O49" s="473">
        <f>IFERROR(VLOOKUP(E49,מרכבה!A:K,9,0),0)</f>
        <v>0</v>
      </c>
      <c r="P49" s="473" t="str">
        <f>'הגבלה לסכום מבוקש (2)'!W49</f>
        <v/>
      </c>
      <c r="Q49" s="474" t="str">
        <f t="shared" si="2"/>
        <v/>
      </c>
      <c r="R49" s="310"/>
      <c r="S49" s="451"/>
      <c r="T49" s="33" t="str">
        <f>'קיזוזים בגין איחורים'!F49</f>
        <v/>
      </c>
      <c r="U49" s="34" t="str">
        <f>IF(B49="","",'קיזוזים- החלטות ועדה'!E49)</f>
        <v/>
      </c>
    </row>
    <row r="50" spans="2:21" hidden="1" x14ac:dyDescent="0.25">
      <c r="B50" s="31" t="str">
        <f t="shared" si="0"/>
        <v/>
      </c>
      <c r="C50" s="32" t="str">
        <f>IF('תנאי סף'!F50="","",'תנאי סף'!F50)</f>
        <v/>
      </c>
      <c r="D50" s="453"/>
      <c r="E50" s="453"/>
      <c r="F50" s="453"/>
      <c r="G50" s="32" t="str">
        <f t="shared" si="1"/>
        <v/>
      </c>
      <c r="H50" s="32" t="str">
        <f>IF(IFERROR(VLOOKUP(E50,מרכבה!A:K,4,0),"")=K50,"","no")</f>
        <v/>
      </c>
      <c r="I50" s="32" t="str">
        <f>IFERROR(VLOOKUP(D50,מרכבה!A:K,7,0),"")</f>
        <v/>
      </c>
      <c r="J50" s="32" t="str">
        <f>IFERROR(VLOOKUP(D50,מרכבה!A:K,5,0),"")</f>
        <v/>
      </c>
      <c r="K50" s="32" t="str">
        <f>IFERROR(VLOOKUP(D50,מרכבה!A:K,4,0),"")</f>
        <v/>
      </c>
      <c r="L50" s="32" t="str">
        <f>IFERROR(VLOOKUP(D50,מרכבה!A:K,6,0),"")</f>
        <v/>
      </c>
      <c r="M50" s="32" t="str">
        <f>IFERROR(VLOOKUP(D50,מרכבה!A:K,2,0),"")</f>
        <v/>
      </c>
      <c r="N50" s="473" t="str">
        <f>IFERROR(VLOOKUP(D50,מרכבה!A:K,8,0),"")</f>
        <v/>
      </c>
      <c r="O50" s="473">
        <f>IFERROR(VLOOKUP(E50,מרכבה!A:K,9,0),0)</f>
        <v>0</v>
      </c>
      <c r="P50" s="473" t="str">
        <f>'הגבלה לסכום מבוקש (2)'!W50</f>
        <v/>
      </c>
      <c r="Q50" s="474" t="str">
        <f t="shared" si="2"/>
        <v/>
      </c>
      <c r="R50" s="310"/>
      <c r="S50" s="451"/>
      <c r="T50" s="33" t="str">
        <f>'קיזוזים בגין איחורים'!F50</f>
        <v/>
      </c>
      <c r="U50" s="34" t="str">
        <f>IF(B50="","",'קיזוזים- החלטות ועדה'!E50)</f>
        <v/>
      </c>
    </row>
    <row r="51" spans="2:21" ht="51" customHeight="1" x14ac:dyDescent="0.25">
      <c r="B51" s="31">
        <f t="shared" si="0"/>
        <v>21</v>
      </c>
      <c r="C51" s="32" t="str">
        <f>IF('תנאי סף'!F51="","",'תנאי סף'!F51)</f>
        <v>חמישיית תל אביב לכלי נשיפה</v>
      </c>
      <c r="D51" s="453">
        <v>1001908681</v>
      </c>
      <c r="E51" s="453">
        <v>1001735300</v>
      </c>
      <c r="F51" s="453">
        <v>2020</v>
      </c>
      <c r="G51" s="32">
        <f t="shared" si="1"/>
        <v>1</v>
      </c>
      <c r="H51" s="32" t="str">
        <f>IF(IFERROR(VLOOKUP(E51,מרכבה!A:K,4,0),"")=K51,"","no")</f>
        <v/>
      </c>
      <c r="I51" s="32">
        <f>IFERROR(VLOOKUP(D51,מרכבה!A:K,7,0),"")</f>
        <v>2025</v>
      </c>
      <c r="J51" s="32">
        <f>IFERROR(VLOOKUP(D51,מרכבה!A:K,5,0),"")</f>
        <v>40221541</v>
      </c>
      <c r="K51" s="32">
        <f>IFERROR(VLOOKUP(D51,מרכבה!A:K,4,0),"")</f>
        <v>580327740</v>
      </c>
      <c r="L51" s="32" t="str">
        <f>IFERROR(VLOOKUP(D51,מרכבה!A:K,6,0),"")</f>
        <v>המרכז למוסיקה ע"ש פיליציה בלומנטל (</v>
      </c>
      <c r="M51" s="32" t="str">
        <f>IFERROR(VLOOKUP(D51,מרכבה!A:K,2,0),"")</f>
        <v>חמישיית תל אביב</v>
      </c>
      <c r="N51" s="473">
        <f>IFERROR(VLOOKUP(D51,מרכבה!A:K,8,0),"")</f>
        <v>90000</v>
      </c>
      <c r="O51" s="473">
        <f>IFERROR(VLOOKUP(E51,מרכבה!A:K,9,0),0)</f>
        <v>80000</v>
      </c>
      <c r="P51" s="473">
        <f>'הגבלה לסכום מבוקש (2)'!W51</f>
        <v>89999.999999999956</v>
      </c>
      <c r="Q51" s="474">
        <f t="shared" si="2"/>
        <v>0.12499999999999956</v>
      </c>
      <c r="R51" s="310"/>
      <c r="S51" s="451" t="s">
        <v>166</v>
      </c>
      <c r="T51" s="33">
        <f>'קיזוזים בגין איחורים'!F51</f>
        <v>0</v>
      </c>
      <c r="U51" s="34">
        <f>IF(B51="","",'קיזוזים- החלטות ועדה'!E51)</f>
        <v>0</v>
      </c>
    </row>
    <row r="52" spans="2:21" ht="41.25" customHeight="1" x14ac:dyDescent="0.25">
      <c r="B52" s="31">
        <f t="shared" si="0"/>
        <v>22</v>
      </c>
      <c r="C52" s="32" t="str">
        <f>IF('תנאי סף'!F52="","",'תנאי סף'!F52)</f>
        <v>הרכב אקוט</v>
      </c>
      <c r="D52" s="453">
        <v>1001908660</v>
      </c>
      <c r="E52" s="453">
        <v>1001735290</v>
      </c>
      <c r="F52" s="453">
        <v>2020</v>
      </c>
      <c r="G52" s="32">
        <f t="shared" si="1"/>
        <v>1</v>
      </c>
      <c r="H52" s="32" t="str">
        <f>IF(IFERROR(VLOOKUP(E52,מרכבה!A:K,4,0),"")=K52,"","no")</f>
        <v/>
      </c>
      <c r="I52" s="32">
        <f>IFERROR(VLOOKUP(D52,מרכבה!A:K,7,0),"")</f>
        <v>2025</v>
      </c>
      <c r="J52" s="32">
        <f>IFERROR(VLOOKUP(D52,מרכבה!A:K,5,0),"")</f>
        <v>40221541</v>
      </c>
      <c r="K52" s="32">
        <f>IFERROR(VLOOKUP(D52,מרכבה!A:K,4,0),"")</f>
        <v>580327740</v>
      </c>
      <c r="L52" s="32" t="str">
        <f>IFERROR(VLOOKUP(D52,מרכבה!A:K,6,0),"")</f>
        <v>המרכז למוסיקה ע"ש פיליציה בלומנטל (</v>
      </c>
      <c r="M52" s="32" t="str">
        <f>IFERROR(VLOOKUP(D52,מרכבה!A:K,2,0),"")</f>
        <v>הרכב אקוט</v>
      </c>
      <c r="N52" s="473">
        <f>IFERROR(VLOOKUP(D52,מרכבה!A:K,8,0),"")</f>
        <v>120000</v>
      </c>
      <c r="O52" s="473">
        <f>IFERROR(VLOOKUP(E52,מרכבה!A:K,9,0),0)</f>
        <v>110000</v>
      </c>
      <c r="P52" s="473">
        <f>'הגבלה לסכום מבוקש (2)'!W52</f>
        <v>119999.99999999996</v>
      </c>
      <c r="Q52" s="474">
        <f t="shared" si="2"/>
        <v>9.0909090909090606E-2</v>
      </c>
      <c r="R52" s="310"/>
      <c r="S52" s="451" t="s">
        <v>166</v>
      </c>
      <c r="T52" s="33">
        <f>'קיזוזים בגין איחורים'!F52</f>
        <v>0</v>
      </c>
      <c r="U52" s="34">
        <f>IF(B52="","",'קיזוזים- החלטות ועדה'!E52)</f>
        <v>0</v>
      </c>
    </row>
    <row r="53" spans="2:21" ht="41.25" customHeight="1" x14ac:dyDescent="0.25">
      <c r="B53" s="31">
        <f t="shared" si="0"/>
        <v>23</v>
      </c>
      <c r="C53" s="32" t="str">
        <f>IF('תנאי סף'!F53="","",'תנאי סף'!F53)</f>
        <v>שלישיית עתר</v>
      </c>
      <c r="D53" s="453">
        <v>1001908625</v>
      </c>
      <c r="E53" s="453">
        <v>1001735289</v>
      </c>
      <c r="F53" s="453">
        <v>2020</v>
      </c>
      <c r="G53" s="32">
        <f t="shared" si="1"/>
        <v>1</v>
      </c>
      <c r="H53" s="32" t="str">
        <f>IF(IFERROR(VLOOKUP(E53,מרכבה!A:K,4,0),"")=K53,"","no")</f>
        <v/>
      </c>
      <c r="I53" s="32">
        <f>IFERROR(VLOOKUP(D53,מרכבה!A:K,7,0),"")</f>
        <v>2025</v>
      </c>
      <c r="J53" s="32">
        <f>IFERROR(VLOOKUP(D53,מרכבה!A:K,5,0),"")</f>
        <v>40221541</v>
      </c>
      <c r="K53" s="32">
        <f>IFERROR(VLOOKUP(D53,מרכבה!A:K,4,0),"")</f>
        <v>580327740</v>
      </c>
      <c r="L53" s="32" t="str">
        <f>IFERROR(VLOOKUP(D53,מרכבה!A:K,6,0),"")</f>
        <v>המרכז למוסיקה ע"ש פיליציה בלומנטל (</v>
      </c>
      <c r="M53" s="32" t="str">
        <f>IFERROR(VLOOKUP(D53,מרכבה!A:K,2,0),"")</f>
        <v>שלישיית עתר</v>
      </c>
      <c r="N53" s="473">
        <f>IFERROR(VLOOKUP(D53,מרכבה!A:K,8,0),"")</f>
        <v>75000</v>
      </c>
      <c r="O53" s="473">
        <f>IFERROR(VLOOKUP(E53,מרכבה!A:K,9,0),0)</f>
        <v>70000</v>
      </c>
      <c r="P53" s="473">
        <f>'הגבלה לסכום מבוקש (2)'!W53</f>
        <v>74999.999999999956</v>
      </c>
      <c r="Q53" s="474">
        <f t="shared" si="2"/>
        <v>7.1428571428570731E-2</v>
      </c>
      <c r="R53" s="310"/>
      <c r="S53" s="451" t="s">
        <v>166</v>
      </c>
      <c r="T53" s="33">
        <f>'קיזוזים בגין איחורים'!F53</f>
        <v>0</v>
      </c>
      <c r="U53" s="34">
        <f>IF(B53="","",'קיזוזים- החלטות ועדה'!E53)</f>
        <v>0</v>
      </c>
    </row>
    <row r="54" spans="2:21" ht="41.25" hidden="1" customHeight="1" x14ac:dyDescent="0.25">
      <c r="B54" s="31" t="str">
        <f t="shared" si="0"/>
        <v/>
      </c>
      <c r="C54" s="32" t="str">
        <f>IF('תנאי סף'!F54="","",'תנאי סף'!F54)</f>
        <v/>
      </c>
      <c r="D54" s="453"/>
      <c r="E54" s="453"/>
      <c r="F54" s="453"/>
      <c r="G54" s="32" t="str">
        <f t="shared" si="1"/>
        <v/>
      </c>
      <c r="H54" s="32" t="str">
        <f>IF(IFERROR(VLOOKUP(E54,מרכבה!A:K,4,0),"")=K54,"","no")</f>
        <v/>
      </c>
      <c r="I54" s="32" t="str">
        <f>IFERROR(VLOOKUP(D54,מרכבה!A:K,7,0),"")</f>
        <v/>
      </c>
      <c r="J54" s="32" t="str">
        <f>IFERROR(VLOOKUP(D54,מרכבה!A:K,5,0),"")</f>
        <v/>
      </c>
      <c r="K54" s="32" t="str">
        <f>IFERROR(VLOOKUP(D54,מרכבה!A:K,4,0),"")</f>
        <v/>
      </c>
      <c r="L54" s="32" t="str">
        <f>IFERROR(VLOOKUP(D54,מרכבה!A:K,6,0),"")</f>
        <v/>
      </c>
      <c r="M54" s="32" t="str">
        <f>IFERROR(VLOOKUP(D54,מרכבה!A:K,2,0),"")</f>
        <v/>
      </c>
      <c r="N54" s="473" t="str">
        <f>IFERROR(VLOOKUP(D54,מרכבה!A:K,8,0),"")</f>
        <v/>
      </c>
      <c r="O54" s="473">
        <f>IFERROR(VLOOKUP(E54,מרכבה!A:K,9,0),0)</f>
        <v>0</v>
      </c>
      <c r="P54" s="473" t="str">
        <f>'הגבלה לסכום מבוקש (2)'!W54</f>
        <v/>
      </c>
      <c r="Q54" s="474" t="str">
        <f t="shared" si="2"/>
        <v/>
      </c>
      <c r="R54" s="310"/>
      <c r="S54" s="451"/>
      <c r="T54" s="33" t="str">
        <f>'קיזוזים בגין איחורים'!F54</f>
        <v/>
      </c>
      <c r="U54" s="34" t="str">
        <f>IF(B54="","",'קיזוזים- החלטות ועדה'!E54)</f>
        <v/>
      </c>
    </row>
    <row r="55" spans="2:21" hidden="1" x14ac:dyDescent="0.25">
      <c r="B55" s="31" t="str">
        <f t="shared" si="0"/>
        <v/>
      </c>
      <c r="C55" s="32" t="str">
        <f>IF('תנאי סף'!F55="","",'תנאי סף'!F55)</f>
        <v/>
      </c>
      <c r="D55" s="453"/>
      <c r="E55" s="453"/>
      <c r="F55" s="453"/>
      <c r="G55" s="32" t="str">
        <f t="shared" si="1"/>
        <v/>
      </c>
      <c r="H55" s="32" t="str">
        <f>IF(IFERROR(VLOOKUP(E55,מרכבה!A:K,4,0),"")=K55,"","no")</f>
        <v/>
      </c>
      <c r="I55" s="32" t="str">
        <f>IFERROR(VLOOKUP(D55,מרכבה!A:K,7,0),"")</f>
        <v/>
      </c>
      <c r="J55" s="32" t="str">
        <f>IFERROR(VLOOKUP(D55,מרכבה!A:K,5,0),"")</f>
        <v/>
      </c>
      <c r="K55" s="32" t="str">
        <f>IFERROR(VLOOKUP(D55,מרכבה!A:K,4,0),"")</f>
        <v/>
      </c>
      <c r="L55" s="32" t="str">
        <f>IFERROR(VLOOKUP(D55,מרכבה!A:K,6,0),"")</f>
        <v/>
      </c>
      <c r="M55" s="32" t="str">
        <f>IFERROR(VLOOKUP(D55,מרכבה!A:K,2,0),"")</f>
        <v/>
      </c>
      <c r="N55" s="473" t="str">
        <f>IFERROR(VLOOKUP(D55,מרכבה!A:K,8,0),"")</f>
        <v/>
      </c>
      <c r="O55" s="473">
        <f>IFERROR(VLOOKUP(E55,מרכבה!A:K,9,0),0)</f>
        <v>0</v>
      </c>
      <c r="P55" s="473" t="str">
        <f>'הגבלה לסכום מבוקש (2)'!W55</f>
        <v/>
      </c>
      <c r="Q55" s="474" t="str">
        <f t="shared" si="2"/>
        <v/>
      </c>
      <c r="R55" s="310"/>
      <c r="S55" s="451"/>
      <c r="T55" s="33" t="str">
        <f>'קיזוזים בגין איחורים'!F55</f>
        <v/>
      </c>
      <c r="U55" s="34" t="str">
        <f>IF(B55="","",'קיזוזים- החלטות ועדה'!E55)</f>
        <v/>
      </c>
    </row>
    <row r="56" spans="2:21" ht="45.75" customHeight="1" x14ac:dyDescent="0.25">
      <c r="B56" s="31">
        <f t="shared" si="0"/>
        <v>26</v>
      </c>
      <c r="C56" s="32" t="str">
        <f>IF('תנאי סף'!F56="","",'תנאי סף'!F56)</f>
        <v>אנסמבל מצו</v>
      </c>
      <c r="D56" s="453">
        <v>1001908661</v>
      </c>
      <c r="E56" s="453">
        <v>1001735292</v>
      </c>
      <c r="F56" s="453">
        <v>2020</v>
      </c>
      <c r="G56" s="32">
        <f t="shared" si="1"/>
        <v>1</v>
      </c>
      <c r="H56" s="32" t="str">
        <f>IF(IFERROR(VLOOKUP(E56,מרכבה!A:K,4,0),"")=K56,"","no")</f>
        <v/>
      </c>
      <c r="I56" s="32">
        <f>IFERROR(VLOOKUP(D56,מרכבה!A:K,7,0),"")</f>
        <v>2025</v>
      </c>
      <c r="J56" s="32">
        <f>IFERROR(VLOOKUP(D56,מרכבה!A:K,5,0),"")</f>
        <v>40221541</v>
      </c>
      <c r="K56" s="32">
        <f>IFERROR(VLOOKUP(D56,מרכבה!A:K,4,0),"")</f>
        <v>580327740</v>
      </c>
      <c r="L56" s="32" t="str">
        <f>IFERROR(VLOOKUP(D56,מרכבה!A:K,6,0),"")</f>
        <v>המרכז למוסיקה ע"ש פיליציה בלומנטל (</v>
      </c>
      <c r="M56" s="32" t="str">
        <f>IFERROR(VLOOKUP(D56,מרכבה!A:K,2,0),"")</f>
        <v>אנסמבל מצו</v>
      </c>
      <c r="N56" s="473">
        <f>IFERROR(VLOOKUP(D56,מרכבה!A:K,8,0),"")</f>
        <v>130000</v>
      </c>
      <c r="O56" s="473">
        <f>IFERROR(VLOOKUP(E56,מרכבה!A:K,9,0),0)</f>
        <v>75000</v>
      </c>
      <c r="P56" s="473">
        <f>'הגבלה לסכום מבוקש (2)'!W56</f>
        <v>94996.732183776621</v>
      </c>
      <c r="Q56" s="474">
        <f t="shared" si="2"/>
        <v>0.26662309578368837</v>
      </c>
      <c r="R56" s="310" t="s">
        <v>1089</v>
      </c>
      <c r="S56" s="451" t="s">
        <v>166</v>
      </c>
      <c r="T56" s="33">
        <f>'קיזוזים בגין איחורים'!F56</f>
        <v>0</v>
      </c>
      <c r="U56" s="34">
        <f>IF(B56="","",'קיזוזים- החלטות ועדה'!E56)</f>
        <v>0</v>
      </c>
    </row>
    <row r="57" spans="2:21" ht="48" customHeight="1" x14ac:dyDescent="0.25">
      <c r="B57" s="31">
        <f t="shared" si="0"/>
        <v>27</v>
      </c>
      <c r="C57" s="32" t="str">
        <f>IF('תנאי סף'!F57="","",'תנאי סף'!F57)</f>
        <v>תזמורת ארמון בזמן</v>
      </c>
      <c r="D57" s="453">
        <v>1001908687</v>
      </c>
      <c r="E57" s="453">
        <v>1001735322</v>
      </c>
      <c r="F57" s="453">
        <v>2020</v>
      </c>
      <c r="G57" s="32">
        <f t="shared" si="1"/>
        <v>1</v>
      </c>
      <c r="H57" s="32" t="str">
        <f>IF(IFERROR(VLOOKUP(E57,מרכבה!A:K,4,0),"")=K57,"","no")</f>
        <v/>
      </c>
      <c r="I57" s="32">
        <f>IFERROR(VLOOKUP(D57,מרכבה!A:K,7,0),"")</f>
        <v>2025</v>
      </c>
      <c r="J57" s="32">
        <f>IFERROR(VLOOKUP(D57,מרכבה!A:K,5,0),"")</f>
        <v>40221541</v>
      </c>
      <c r="K57" s="32">
        <f>IFERROR(VLOOKUP(D57,מרכבה!A:K,4,0),"")</f>
        <v>580327740</v>
      </c>
      <c r="L57" s="32" t="str">
        <f>IFERROR(VLOOKUP(D57,מרכבה!A:K,6,0),"")</f>
        <v>המרכז למוסיקה ע"ש פיליציה בלומנטל (</v>
      </c>
      <c r="M57" s="32" t="str">
        <f>IFERROR(VLOOKUP(D57,מרכבה!A:K,2,0),"")</f>
        <v>תזמורת ארמון בזמן</v>
      </c>
      <c r="N57" s="473">
        <f>IFERROR(VLOOKUP(D57,מרכבה!A:K,8,0),"")</f>
        <v>250000</v>
      </c>
      <c r="O57" s="473">
        <f>IFERROR(VLOOKUP(E57,מרכבה!A:K,9,0),0)</f>
        <v>65924</v>
      </c>
      <c r="P57" s="473" t="str">
        <f>'הגבלה לסכום מבוקש (2)'!W57</f>
        <v/>
      </c>
      <c r="Q57" s="474" t="str">
        <f t="shared" si="2"/>
        <v/>
      </c>
      <c r="R57" s="310"/>
      <c r="S57" s="357" t="s">
        <v>1097</v>
      </c>
      <c r="T57" s="33" t="str">
        <f>'קיזוזים בגין איחורים'!F57</f>
        <v/>
      </c>
      <c r="U57" s="34">
        <f>IF(B57="","",'קיזוזים- החלטות ועדה'!E57)</f>
        <v>0</v>
      </c>
    </row>
    <row r="58" spans="2:21" ht="48.75" customHeight="1" x14ac:dyDescent="0.25">
      <c r="B58" s="31">
        <f t="shared" si="0"/>
        <v>28</v>
      </c>
      <c r="C58" s="32" t="str">
        <f>IF('תנאי סף'!F58="","",'תנאי סף'!F58)</f>
        <v>תמיכה שותפת- קבוצת מוסיקה נובה</v>
      </c>
      <c r="D58" s="453">
        <v>1001907787</v>
      </c>
      <c r="E58" s="453">
        <v>1001748074</v>
      </c>
      <c r="F58" s="453">
        <v>2020</v>
      </c>
      <c r="G58" s="32">
        <f t="shared" si="1"/>
        <v>1</v>
      </c>
      <c r="H58" s="32" t="str">
        <f>IF(IFERROR(VLOOKUP(E58,מרכבה!A:K,4,0),"")=K58,"","no")</f>
        <v/>
      </c>
      <c r="I58" s="32">
        <f>IFERROR(VLOOKUP(D58,מרכבה!A:K,7,0),"")</f>
        <v>2025</v>
      </c>
      <c r="J58" s="32">
        <f>IFERROR(VLOOKUP(D58,מרכבה!A:K,5,0),"")</f>
        <v>40000161</v>
      </c>
      <c r="K58" s="32">
        <f>IFERROR(VLOOKUP(D58,מרכבה!A:K,4,0),"")</f>
        <v>580164325</v>
      </c>
      <c r="L58" s="32" t="str">
        <f>IFERROR(VLOOKUP(D58,מרכבה!A:K,6,0),"")</f>
        <v>קבוצת מוסיקה נובה (ע"ר)</v>
      </c>
      <c r="M58" s="32" t="str">
        <f>IFERROR(VLOOKUP(D58,מרכבה!A:K,2,0),"")</f>
        <v>תמיכה שוטפת</v>
      </c>
      <c r="N58" s="473">
        <f>IFERROR(VLOOKUP(D58,מרכבה!A:K,8,0),"")</f>
        <v>150000</v>
      </c>
      <c r="O58" s="473">
        <f>IFERROR(VLOOKUP(E58,מרכבה!A:K,9,0),0)</f>
        <v>93743</v>
      </c>
      <c r="P58" s="473">
        <f>'הגבלה לסכום מבוקש (2)'!W58</f>
        <v>90285.497612872947</v>
      </c>
      <c r="Q58" s="474">
        <f t="shared" si="2"/>
        <v>-3.6882779376882002E-2</v>
      </c>
      <c r="R58" s="310"/>
      <c r="S58" s="451" t="s">
        <v>166</v>
      </c>
      <c r="T58" s="33">
        <f>'קיזוזים בגין איחורים'!F58</f>
        <v>0</v>
      </c>
      <c r="U58" s="34">
        <f>IF(B58="","",'קיזוזים- החלטות ועדה'!E58)</f>
        <v>0</v>
      </c>
    </row>
    <row r="59" spans="2:21" hidden="1" x14ac:dyDescent="0.25">
      <c r="B59" s="31" t="str">
        <f t="shared" si="0"/>
        <v/>
      </c>
      <c r="C59" s="32" t="str">
        <f>IF('תנאי סף'!F59="","",'תנאי סף'!F59)</f>
        <v/>
      </c>
      <c r="D59" s="453"/>
      <c r="E59" s="453"/>
      <c r="F59" s="453"/>
      <c r="G59" s="32" t="str">
        <f t="shared" si="1"/>
        <v/>
      </c>
      <c r="H59" s="32" t="str">
        <f>IF(IFERROR(VLOOKUP(E59,מרכבה!A:K,4,0),"")=K59,"","no")</f>
        <v/>
      </c>
      <c r="I59" s="32" t="str">
        <f>IFERROR(VLOOKUP(D59,מרכבה!A:K,7,0),"")</f>
        <v/>
      </c>
      <c r="J59" s="32" t="str">
        <f>IFERROR(VLOOKUP(D59,מרכבה!A:K,5,0),"")</f>
        <v/>
      </c>
      <c r="K59" s="32" t="str">
        <f>IFERROR(VLOOKUP(D59,מרכבה!A:K,4,0),"")</f>
        <v/>
      </c>
      <c r="L59" s="32" t="str">
        <f>IFERROR(VLOOKUP(D59,מרכבה!A:K,6,0),"")</f>
        <v/>
      </c>
      <c r="M59" s="32" t="str">
        <f>IFERROR(VLOOKUP(D59,מרכבה!A:K,2,0),"")</f>
        <v/>
      </c>
      <c r="N59" s="473" t="str">
        <f>IFERROR(VLOOKUP(D59,מרכבה!A:K,8,0),"")</f>
        <v/>
      </c>
      <c r="O59" s="473">
        <f>IFERROR(VLOOKUP(E59,מרכבה!A:K,9,0),0)</f>
        <v>0</v>
      </c>
      <c r="P59" s="473" t="str">
        <f>'הגבלה לסכום מבוקש (2)'!W59</f>
        <v/>
      </c>
      <c r="Q59" s="474" t="str">
        <f t="shared" si="2"/>
        <v/>
      </c>
      <c r="R59" s="310"/>
      <c r="S59" s="451"/>
      <c r="T59" s="33" t="str">
        <f>'קיזוזים בגין איחורים'!F59</f>
        <v/>
      </c>
      <c r="U59" s="34" t="str">
        <f>IF(B59="","",'קיזוזים- החלטות ועדה'!E59)</f>
        <v/>
      </c>
    </row>
    <row r="60" spans="2:21" hidden="1" x14ac:dyDescent="0.25">
      <c r="B60" s="31" t="str">
        <f t="shared" si="0"/>
        <v/>
      </c>
      <c r="C60" s="32" t="str">
        <f>IF('תנאי סף'!F60="","",'תנאי סף'!F60)</f>
        <v/>
      </c>
      <c r="D60" s="453"/>
      <c r="E60" s="453"/>
      <c r="F60" s="453"/>
      <c r="G60" s="32" t="str">
        <f t="shared" si="1"/>
        <v/>
      </c>
      <c r="H60" s="32" t="str">
        <f>IF(IFERROR(VLOOKUP(E60,מרכבה!A:K,4,0),"")=K60,"","no")</f>
        <v/>
      </c>
      <c r="I60" s="32" t="str">
        <f>IFERROR(VLOOKUP(D60,מרכבה!A:K,7,0),"")</f>
        <v/>
      </c>
      <c r="J60" s="32" t="str">
        <f>IFERROR(VLOOKUP(D60,מרכבה!A:K,5,0),"")</f>
        <v/>
      </c>
      <c r="K60" s="32" t="str">
        <f>IFERROR(VLOOKUP(D60,מרכבה!A:K,4,0),"")</f>
        <v/>
      </c>
      <c r="L60" s="32" t="str">
        <f>IFERROR(VLOOKUP(D60,מרכבה!A:K,6,0),"")</f>
        <v/>
      </c>
      <c r="M60" s="32" t="str">
        <f>IFERROR(VLOOKUP(D60,מרכבה!A:K,2,0),"")</f>
        <v/>
      </c>
      <c r="N60" s="473" t="str">
        <f>IFERROR(VLOOKUP(D60,מרכבה!A:K,8,0),"")</f>
        <v/>
      </c>
      <c r="O60" s="473">
        <f>IFERROR(VLOOKUP(E60,מרכבה!A:K,9,0),0)</f>
        <v>0</v>
      </c>
      <c r="P60" s="473" t="str">
        <f>'הגבלה לסכום מבוקש (2)'!W60</f>
        <v/>
      </c>
      <c r="Q60" s="474" t="str">
        <f t="shared" si="2"/>
        <v/>
      </c>
      <c r="R60" s="310"/>
      <c r="S60" s="451"/>
      <c r="T60" s="33" t="str">
        <f>'קיזוזים בגין איחורים'!F60</f>
        <v/>
      </c>
      <c r="U60" s="34" t="str">
        <f>IF(B60="","",'קיזוזים- החלטות ועדה'!E60)</f>
        <v/>
      </c>
    </row>
    <row r="61" spans="2:21" hidden="1" x14ac:dyDescent="0.25">
      <c r="B61" s="31" t="str">
        <f t="shared" si="0"/>
        <v/>
      </c>
      <c r="C61" s="32" t="str">
        <f>IF('תנאי סף'!F61="","",'תנאי סף'!F61)</f>
        <v/>
      </c>
      <c r="D61" s="453"/>
      <c r="E61" s="453"/>
      <c r="F61" s="453"/>
      <c r="G61" s="32" t="str">
        <f t="shared" si="1"/>
        <v/>
      </c>
      <c r="H61" s="32" t="str">
        <f>IF(IFERROR(VLOOKUP(E61,מרכבה!A:K,4,0),"")=K61,"","no")</f>
        <v/>
      </c>
      <c r="I61" s="32" t="str">
        <f>IFERROR(VLOOKUP(D61,מרכבה!A:K,7,0),"")</f>
        <v/>
      </c>
      <c r="J61" s="32" t="str">
        <f>IFERROR(VLOOKUP(D61,מרכבה!A:K,5,0),"")</f>
        <v/>
      </c>
      <c r="K61" s="32" t="str">
        <f>IFERROR(VLOOKUP(D61,מרכבה!A:K,4,0),"")</f>
        <v/>
      </c>
      <c r="L61" s="32" t="str">
        <f>IFERROR(VLOOKUP(D61,מרכבה!A:K,6,0),"")</f>
        <v/>
      </c>
      <c r="M61" s="32" t="str">
        <f>IFERROR(VLOOKUP(D61,מרכבה!A:K,2,0),"")</f>
        <v/>
      </c>
      <c r="N61" s="473" t="str">
        <f>IFERROR(VLOOKUP(D61,מרכבה!A:K,8,0),"")</f>
        <v/>
      </c>
      <c r="O61" s="473">
        <f>IFERROR(VLOOKUP(E61,מרכבה!A:K,9,0),0)</f>
        <v>0</v>
      </c>
      <c r="P61" s="473" t="str">
        <f>'הגבלה לסכום מבוקש (2)'!W61</f>
        <v/>
      </c>
      <c r="Q61" s="474" t="str">
        <f t="shared" si="2"/>
        <v/>
      </c>
      <c r="R61" s="310"/>
      <c r="S61" s="451"/>
      <c r="T61" s="33" t="str">
        <f>'קיזוזים בגין איחורים'!F61</f>
        <v/>
      </c>
      <c r="U61" s="34" t="str">
        <f>IF(B61="","",'קיזוזים- החלטות ועדה'!E61)</f>
        <v/>
      </c>
    </row>
    <row r="62" spans="2:21" ht="35.25" hidden="1" customHeight="1" x14ac:dyDescent="0.25">
      <c r="B62" s="31" t="str">
        <f t="shared" si="0"/>
        <v/>
      </c>
      <c r="C62" s="32" t="str">
        <f>IF('תנאי סף'!F62="","",'תנאי סף'!F62)</f>
        <v/>
      </c>
      <c r="D62" s="453"/>
      <c r="E62" s="453"/>
      <c r="F62" s="453"/>
      <c r="G62" s="32" t="str">
        <f t="shared" si="1"/>
        <v/>
      </c>
      <c r="H62" s="32" t="str">
        <f>IF(IFERROR(VLOOKUP(E62,מרכבה!A:K,4,0),"")=K62,"","no")</f>
        <v/>
      </c>
      <c r="I62" s="32" t="str">
        <f>IFERROR(VLOOKUP(D62,מרכבה!A:K,7,0),"")</f>
        <v/>
      </c>
      <c r="J62" s="32" t="str">
        <f>IFERROR(VLOOKUP(D62,מרכבה!A:K,5,0),"")</f>
        <v/>
      </c>
      <c r="K62" s="32" t="str">
        <f>IFERROR(VLOOKUP(D62,מרכבה!A:K,4,0),"")</f>
        <v/>
      </c>
      <c r="L62" s="32" t="str">
        <f>IFERROR(VLOOKUP(D62,מרכבה!A:K,6,0),"")</f>
        <v/>
      </c>
      <c r="M62" s="32" t="str">
        <f>IFERROR(VLOOKUP(D62,מרכבה!A:K,2,0),"")</f>
        <v/>
      </c>
      <c r="N62" s="473" t="str">
        <f>IFERROR(VLOOKUP(D62,מרכבה!A:K,8,0),"")</f>
        <v/>
      </c>
      <c r="O62" s="473">
        <f>IFERROR(VLOOKUP(E62,מרכבה!A:K,9,0),0)</f>
        <v>0</v>
      </c>
      <c r="P62" s="473" t="str">
        <f>'הגבלה לסכום מבוקש (2)'!W62</f>
        <v/>
      </c>
      <c r="Q62" s="474" t="str">
        <f t="shared" si="2"/>
        <v/>
      </c>
      <c r="R62" s="310"/>
      <c r="S62" s="451"/>
      <c r="T62" s="33" t="str">
        <f>'קיזוזים בגין איחורים'!F62</f>
        <v/>
      </c>
      <c r="U62" s="34" t="str">
        <f>IF(B62="","",'קיזוזים- החלטות ועדה'!E62)</f>
        <v/>
      </c>
    </row>
    <row r="63" spans="2:21" hidden="1" x14ac:dyDescent="0.25">
      <c r="B63" s="31" t="str">
        <f t="shared" si="0"/>
        <v/>
      </c>
      <c r="C63" s="32" t="str">
        <f>IF('תנאי סף'!F63="","",'תנאי סף'!F63)</f>
        <v/>
      </c>
      <c r="D63" s="453"/>
      <c r="E63" s="453"/>
      <c r="F63" s="453"/>
      <c r="G63" s="32" t="str">
        <f t="shared" si="1"/>
        <v/>
      </c>
      <c r="H63" s="32" t="str">
        <f>IF(IFERROR(VLOOKUP(E63,מרכבה!A:K,4,0),"")=K63,"","no")</f>
        <v/>
      </c>
      <c r="I63" s="32" t="str">
        <f>IFERROR(VLOOKUP(D63,מרכבה!A:K,7,0),"")</f>
        <v/>
      </c>
      <c r="J63" s="32" t="str">
        <f>IFERROR(VLOOKUP(D63,מרכבה!A:K,5,0),"")</f>
        <v/>
      </c>
      <c r="K63" s="32" t="str">
        <f>IFERROR(VLOOKUP(D63,מרכבה!A:K,4,0),"")</f>
        <v/>
      </c>
      <c r="L63" s="32" t="str">
        <f>IFERROR(VLOOKUP(D63,מרכבה!A:K,6,0),"")</f>
        <v/>
      </c>
      <c r="M63" s="32" t="str">
        <f>IFERROR(VLOOKUP(D63,מרכבה!A:K,2,0),"")</f>
        <v/>
      </c>
      <c r="N63" s="473" t="str">
        <f>IFERROR(VLOOKUP(D63,מרכבה!A:K,8,0),"")</f>
        <v/>
      </c>
      <c r="O63" s="473">
        <f>IFERROR(VLOOKUP(E63,מרכבה!A:K,9,0),0)</f>
        <v>0</v>
      </c>
      <c r="P63" s="473" t="str">
        <f>'הגבלה לסכום מבוקש (2)'!W63</f>
        <v/>
      </c>
      <c r="Q63" s="474" t="str">
        <f t="shared" si="2"/>
        <v/>
      </c>
      <c r="R63" s="310"/>
      <c r="S63" s="451"/>
      <c r="T63" s="33" t="str">
        <f>'קיזוזים בגין איחורים'!F63</f>
        <v/>
      </c>
      <c r="U63" s="34" t="str">
        <f>IF(B63="","",'קיזוזים- החלטות ועדה'!E63)</f>
        <v/>
      </c>
    </row>
    <row r="64" spans="2:21" hidden="1" x14ac:dyDescent="0.25">
      <c r="B64" s="31" t="str">
        <f t="shared" si="0"/>
        <v/>
      </c>
      <c r="C64" s="32" t="str">
        <f>IF('תנאי סף'!F64="","",'תנאי סף'!F64)</f>
        <v/>
      </c>
      <c r="D64" s="453"/>
      <c r="E64" s="453"/>
      <c r="F64" s="453"/>
      <c r="G64" s="32" t="str">
        <f t="shared" si="1"/>
        <v/>
      </c>
      <c r="H64" s="32" t="str">
        <f>IF(IFERROR(VLOOKUP(E64,מרכבה!A:K,4,0),"")=K64,"","no")</f>
        <v/>
      </c>
      <c r="I64" s="32" t="str">
        <f>IFERROR(VLOOKUP(D64,מרכבה!A:K,7,0),"")</f>
        <v/>
      </c>
      <c r="J64" s="32" t="str">
        <f>IFERROR(VLOOKUP(D64,מרכבה!A:K,5,0),"")</f>
        <v/>
      </c>
      <c r="K64" s="32" t="str">
        <f>IFERROR(VLOOKUP(D64,מרכבה!A:K,4,0),"")</f>
        <v/>
      </c>
      <c r="L64" s="32" t="str">
        <f>IFERROR(VLOOKUP(D64,מרכבה!A:K,6,0),"")</f>
        <v/>
      </c>
      <c r="M64" s="32" t="str">
        <f>IFERROR(VLOOKUP(D64,מרכבה!A:K,2,0),"")</f>
        <v/>
      </c>
      <c r="N64" s="473" t="str">
        <f>IFERROR(VLOOKUP(D64,מרכבה!A:K,8,0),"")</f>
        <v/>
      </c>
      <c r="O64" s="473">
        <f>IFERROR(VLOOKUP(E64,מרכבה!A:K,9,0),0)</f>
        <v>0</v>
      </c>
      <c r="P64" s="473" t="str">
        <f>'הגבלה לסכום מבוקש (2)'!W64</f>
        <v/>
      </c>
      <c r="Q64" s="474" t="str">
        <f t="shared" si="2"/>
        <v/>
      </c>
      <c r="R64" s="310"/>
      <c r="S64" s="451"/>
      <c r="T64" s="33" t="str">
        <f>'קיזוזים בגין איחורים'!F64</f>
        <v/>
      </c>
      <c r="U64" s="34" t="str">
        <f>IF(B64="","",'קיזוזים- החלטות ועדה'!E64)</f>
        <v/>
      </c>
    </row>
    <row r="65" spans="2:21" ht="54.75" customHeight="1" x14ac:dyDescent="0.25">
      <c r="B65" s="31">
        <f t="shared" si="0"/>
        <v>35</v>
      </c>
      <c r="C65" s="32" t="str">
        <f>IF('תנאי סף'!F65="","",'תנאי סף'!F65)</f>
        <v>אנסמבל מיתר</v>
      </c>
      <c r="D65" s="453">
        <v>1001907429</v>
      </c>
      <c r="E65" s="453">
        <v>1001754448</v>
      </c>
      <c r="F65" s="453">
        <v>2020</v>
      </c>
      <c r="G65" s="32">
        <f t="shared" si="1"/>
        <v>1</v>
      </c>
      <c r="H65" s="32" t="str">
        <f>IF(IFERROR(VLOOKUP(E65,מרכבה!A:K,4,0),"")=K65,"","no")</f>
        <v>no</v>
      </c>
      <c r="I65" s="32">
        <f>IFERROR(VLOOKUP(D65,מרכבה!A:K,7,0),"")</f>
        <v>2025</v>
      </c>
      <c r="J65" s="32">
        <f>IFERROR(VLOOKUP(D65,מרכבה!A:K,5,0),"")</f>
        <v>42871405</v>
      </c>
      <c r="K65" s="32">
        <f>IFERROR(VLOOKUP(D65,מרכבה!A:K,4,0),"")</f>
        <v>580676252</v>
      </c>
      <c r="L65" s="32" t="str">
        <f>IFERROR(VLOOKUP(D65,מרכבה!A:K,6,0),"")</f>
        <v>מיתר עמותה לקידום מוסיקה ישראלית וע</v>
      </c>
      <c r="M65" s="32" t="str">
        <f>IFERROR(VLOOKUP(D65,מרכבה!A:K,2,0),"")</f>
        <v>בקשה לתקציב לתמיכה שנתית באנסמבל מיתר</v>
      </c>
      <c r="N65" s="473">
        <f>IFERROR(VLOOKUP(D65,מרכבה!A:K,8,0),"")</f>
        <v>298738</v>
      </c>
      <c r="O65" s="473">
        <f>IFERROR(VLOOKUP(E65,מרכבה!A:K,9,0),0)</f>
        <v>167540</v>
      </c>
      <c r="P65" s="473">
        <f>'הגבלה לסכום מבוקש (2)'!W65</f>
        <v>210804.2648913592</v>
      </c>
      <c r="Q65" s="474">
        <f t="shared" si="2"/>
        <v>0.25823245130332584</v>
      </c>
      <c r="R65" s="310" t="s">
        <v>1090</v>
      </c>
      <c r="S65" s="451" t="s">
        <v>166</v>
      </c>
      <c r="T65" s="33">
        <f>'קיזוזים בגין איחורים'!F65</f>
        <v>0</v>
      </c>
      <c r="U65" s="34">
        <f>IF(B65="","",'קיזוזים- החלטות ועדה'!E65)</f>
        <v>0</v>
      </c>
    </row>
    <row r="66" spans="2:21" hidden="1" x14ac:dyDescent="0.25">
      <c r="B66" s="31" t="str">
        <f t="shared" si="0"/>
        <v/>
      </c>
      <c r="C66" s="32" t="str">
        <f>IF('תנאי סף'!F66="","",'תנאי סף'!F66)</f>
        <v/>
      </c>
      <c r="D66" s="453"/>
      <c r="E66" s="453"/>
      <c r="F66" s="453"/>
      <c r="G66" s="32" t="str">
        <f t="shared" si="1"/>
        <v/>
      </c>
      <c r="H66" s="32" t="str">
        <f>IF(IFERROR(VLOOKUP(E66,מרכבה!A:K,4,0),"")=K66,"","no")</f>
        <v/>
      </c>
      <c r="I66" s="32" t="str">
        <f>IFERROR(VLOOKUP(D66,מרכבה!A:K,7,0),"")</f>
        <v/>
      </c>
      <c r="J66" s="32" t="str">
        <f>IFERROR(VLOOKUP(D66,מרכבה!A:K,5,0),"")</f>
        <v/>
      </c>
      <c r="K66" s="32" t="str">
        <f>IFERROR(VLOOKUP(D66,מרכבה!A:K,4,0),"")</f>
        <v/>
      </c>
      <c r="L66" s="32" t="str">
        <f>IFERROR(VLOOKUP(D66,מרכבה!A:K,6,0),"")</f>
        <v/>
      </c>
      <c r="M66" s="32" t="str">
        <f>IFERROR(VLOOKUP(D66,מרכבה!A:K,2,0),"")</f>
        <v/>
      </c>
      <c r="N66" s="473" t="str">
        <f>IFERROR(VLOOKUP(D66,מרכבה!A:K,8,0),"")</f>
        <v/>
      </c>
      <c r="O66" s="473">
        <f>IFERROR(VLOOKUP(E66,מרכבה!A:K,9,0),0)</f>
        <v>0</v>
      </c>
      <c r="P66" s="473" t="str">
        <f>'הגבלה לסכום מבוקש (2)'!W66</f>
        <v/>
      </c>
      <c r="Q66" s="474" t="str">
        <f t="shared" si="2"/>
        <v/>
      </c>
      <c r="R66" s="310"/>
      <c r="S66" s="451"/>
      <c r="T66" s="33" t="str">
        <f>'קיזוזים בגין איחורים'!F66</f>
        <v/>
      </c>
      <c r="U66" s="34" t="str">
        <f>IF(B66="","",'קיזוזים- החלטות ועדה'!E66)</f>
        <v/>
      </c>
    </row>
    <row r="67" spans="2:21" ht="51.75" customHeight="1" x14ac:dyDescent="0.25">
      <c r="B67" s="31">
        <f t="shared" si="0"/>
        <v>37</v>
      </c>
      <c r="C67" s="32" t="str">
        <f>IF('תנאי סף'!F67="","",'תנאי סף'!F67)</f>
        <v>אנסמבל ארז נטף</v>
      </c>
      <c r="D67" s="453">
        <v>1001908683</v>
      </c>
      <c r="E67" s="453">
        <v>1001735320</v>
      </c>
      <c r="F67" s="453">
        <v>2020</v>
      </c>
      <c r="G67" s="32">
        <f t="shared" si="1"/>
        <v>1</v>
      </c>
      <c r="H67" s="32" t="str">
        <f>IF(IFERROR(VLOOKUP(E67,מרכבה!A:K,4,0),"")=K67,"","no")</f>
        <v/>
      </c>
      <c r="I67" s="32">
        <f>IFERROR(VLOOKUP(D67,מרכבה!A:K,7,0),"")</f>
        <v>2025</v>
      </c>
      <c r="J67" s="32">
        <f>IFERROR(VLOOKUP(D67,מרכבה!A:K,5,0),"")</f>
        <v>40221541</v>
      </c>
      <c r="K67" s="32">
        <f>IFERROR(VLOOKUP(D67,מרכבה!A:K,4,0),"")</f>
        <v>580327740</v>
      </c>
      <c r="L67" s="32" t="str">
        <f>IFERROR(VLOOKUP(D67,מרכבה!A:K,6,0),"")</f>
        <v>המרכז למוסיקה ע"ש פיליציה בלומנטל (</v>
      </c>
      <c r="M67" s="32" t="str">
        <f>IFERROR(VLOOKUP(D67,מרכבה!A:K,2,0),"")</f>
        <v>אנסמבל ארז נטף</v>
      </c>
      <c r="N67" s="473">
        <f>IFERROR(VLOOKUP(D67,מרכבה!A:K,8,0),"")</f>
        <v>85000</v>
      </c>
      <c r="O67" s="473">
        <f>IFERROR(VLOOKUP(E67,מרכבה!A:K,9,0),0)</f>
        <v>75166</v>
      </c>
      <c r="P67" s="473">
        <f>'הגבלה לסכום מבוקש (2)'!W67</f>
        <v>84999.999999999956</v>
      </c>
      <c r="Q67" s="474">
        <f t="shared" si="2"/>
        <v>0.13083042865125138</v>
      </c>
      <c r="R67" s="310"/>
      <c r="S67" s="451" t="s">
        <v>166</v>
      </c>
      <c r="T67" s="33">
        <f>'קיזוזים בגין איחורים'!F67</f>
        <v>0</v>
      </c>
      <c r="U67" s="34">
        <f>IF(B67="","",'קיזוזים- החלטות ועדה'!E67)</f>
        <v>0</v>
      </c>
    </row>
    <row r="68" spans="2:21" hidden="1" x14ac:dyDescent="0.25">
      <c r="B68" s="31" t="str">
        <f t="shared" si="0"/>
        <v/>
      </c>
      <c r="C68" s="32" t="str">
        <f>IF('תנאי סף'!F68="","",'תנאי סף'!F68)</f>
        <v/>
      </c>
      <c r="D68" s="453"/>
      <c r="E68" s="453"/>
      <c r="F68" s="453"/>
      <c r="G68" s="32" t="str">
        <f t="shared" si="1"/>
        <v/>
      </c>
      <c r="H68" s="32" t="str">
        <f>IF(IFERROR(VLOOKUP(E68,מרכבה!A:K,4,0),"")=K68,"","no")</f>
        <v/>
      </c>
      <c r="I68" s="32" t="str">
        <f>IFERROR(VLOOKUP(D68,מרכבה!A:K,7,0),"")</f>
        <v/>
      </c>
      <c r="J68" s="32" t="str">
        <f>IFERROR(VLOOKUP(D68,מרכבה!A:K,5,0),"")</f>
        <v/>
      </c>
      <c r="K68" s="32" t="str">
        <f>IFERROR(VLOOKUP(D68,מרכבה!A:K,4,0),"")</f>
        <v/>
      </c>
      <c r="L68" s="32" t="str">
        <f>IFERROR(VLOOKUP(D68,מרכבה!A:K,6,0),"")</f>
        <v/>
      </c>
      <c r="M68" s="32" t="str">
        <f>IFERROR(VLOOKUP(D68,מרכבה!A:K,2,0),"")</f>
        <v/>
      </c>
      <c r="N68" s="473" t="str">
        <f>IFERROR(VLOOKUP(D68,מרכבה!A:K,8,0),"")</f>
        <v/>
      </c>
      <c r="O68" s="473">
        <f>IFERROR(VLOOKUP(E68,מרכבה!A:K,9,0),0)</f>
        <v>0</v>
      </c>
      <c r="P68" s="473" t="str">
        <f>'הגבלה לסכום מבוקש (2)'!W68</f>
        <v/>
      </c>
      <c r="Q68" s="474" t="str">
        <f t="shared" si="2"/>
        <v/>
      </c>
      <c r="R68" s="310"/>
      <c r="S68" s="451"/>
      <c r="T68" s="33" t="str">
        <f>'קיזוזים בגין איחורים'!F68</f>
        <v/>
      </c>
      <c r="U68" s="34" t="str">
        <f>IF(B68="","",'קיזוזים- החלטות ועדה'!E68)</f>
        <v/>
      </c>
    </row>
    <row r="69" spans="2:21" hidden="1" x14ac:dyDescent="0.25">
      <c r="B69" s="31" t="str">
        <f t="shared" si="0"/>
        <v/>
      </c>
      <c r="C69" s="32" t="str">
        <f>IF('תנאי סף'!F69="","",'תנאי סף'!F69)</f>
        <v/>
      </c>
      <c r="D69" s="453"/>
      <c r="E69" s="453"/>
      <c r="F69" s="453"/>
      <c r="G69" s="32" t="str">
        <f t="shared" si="1"/>
        <v/>
      </c>
      <c r="H69" s="32" t="str">
        <f>IF(IFERROR(VLOOKUP(E69,מרכבה!A:K,4,0),"")=K69,"","no")</f>
        <v/>
      </c>
      <c r="I69" s="32" t="str">
        <f>IFERROR(VLOOKUP(D69,מרכבה!A:K,7,0),"")</f>
        <v/>
      </c>
      <c r="J69" s="32" t="str">
        <f>IFERROR(VLOOKUP(D69,מרכבה!A:K,5,0),"")</f>
        <v/>
      </c>
      <c r="K69" s="32" t="str">
        <f>IFERROR(VLOOKUP(D69,מרכבה!A:K,4,0),"")</f>
        <v/>
      </c>
      <c r="L69" s="32" t="str">
        <f>IFERROR(VLOOKUP(D69,מרכבה!A:K,6,0),"")</f>
        <v/>
      </c>
      <c r="M69" s="32" t="str">
        <f>IFERROR(VLOOKUP(D69,מרכבה!A:K,2,0),"")</f>
        <v/>
      </c>
      <c r="N69" s="473" t="str">
        <f>IFERROR(VLOOKUP(D69,מרכבה!A:K,8,0),"")</f>
        <v/>
      </c>
      <c r="O69" s="473">
        <f>IFERROR(VLOOKUP(E69,מרכבה!A:K,9,0),0)</f>
        <v>0</v>
      </c>
      <c r="P69" s="473" t="str">
        <f>'הגבלה לסכום מבוקש (2)'!W69</f>
        <v/>
      </c>
      <c r="Q69" s="474" t="str">
        <f t="shared" si="2"/>
        <v/>
      </c>
      <c r="R69" s="310"/>
      <c r="S69" s="451"/>
      <c r="T69" s="33" t="str">
        <f>'קיזוזים בגין איחורים'!F69</f>
        <v/>
      </c>
      <c r="U69" s="34" t="str">
        <f>IF(B69="","",'קיזוזים- החלטות ועדה'!E69)</f>
        <v/>
      </c>
    </row>
    <row r="70" spans="2:21" ht="45.75" customHeight="1" x14ac:dyDescent="0.25">
      <c r="B70" s="31">
        <f t="shared" si="0"/>
        <v>40</v>
      </c>
      <c r="C70" s="32" t="str">
        <f>IF('תנאי סף'!F70="","",'תנאי סף'!F70)</f>
        <v>תו המשווה (ע"ר)</v>
      </c>
      <c r="D70" s="453">
        <v>1001908300</v>
      </c>
      <c r="E70" s="453">
        <v>1001778694</v>
      </c>
      <c r="F70" s="453">
        <v>2020</v>
      </c>
      <c r="G70" s="32">
        <f t="shared" si="1"/>
        <v>1</v>
      </c>
      <c r="H70" s="32" t="str">
        <f>IF(IFERROR(VLOOKUP(E70,מרכבה!A:K,4,0),"")=K70,"","no")</f>
        <v/>
      </c>
      <c r="I70" s="32">
        <f>IFERROR(VLOOKUP(D70,מרכבה!A:K,7,0),"")</f>
        <v>2025</v>
      </c>
      <c r="J70" s="32">
        <f>IFERROR(VLOOKUP(D70,מרכבה!A:K,5,0),"")</f>
        <v>41914867</v>
      </c>
      <c r="K70" s="32">
        <f>IFERROR(VLOOKUP(D70,מרכבה!A:K,4,0),"")</f>
        <v>580666717</v>
      </c>
      <c r="L70" s="32" t="str">
        <f>IFERROR(VLOOKUP(D70,מרכבה!A:K,6,0),"")</f>
        <v>תו המשווה (ע"ר)</v>
      </c>
      <c r="M70" s="32" t="str">
        <f>IFERROR(VLOOKUP(D70,מרכבה!A:K,2,0),"")</f>
        <v>תו המשווה- אנסמבל 2025</v>
      </c>
      <c r="N70" s="473">
        <f>IFERROR(VLOOKUP(D70,מרכבה!A:K,8,0),"")</f>
        <v>400000</v>
      </c>
      <c r="O70" s="473">
        <f>IFERROR(VLOOKUP(E70,מרכבה!A:K,9,0),0)</f>
        <v>101872</v>
      </c>
      <c r="P70" s="473">
        <f>'הגבלה לסכום מבוקש (2)'!W70</f>
        <v>114404.20944372902</v>
      </c>
      <c r="Q70" s="474">
        <f t="shared" si="2"/>
        <v>0.12301917547244612</v>
      </c>
      <c r="R70" s="310"/>
      <c r="S70" s="451" t="s">
        <v>166</v>
      </c>
      <c r="T70" s="33">
        <f>'קיזוזים בגין איחורים'!F70</f>
        <v>0</v>
      </c>
      <c r="U70" s="34">
        <f>IF(B70="","",'קיזוזים- החלטות ועדה'!E70)</f>
        <v>0</v>
      </c>
    </row>
    <row r="71" spans="2:21" hidden="1" x14ac:dyDescent="0.25">
      <c r="B71" s="31" t="str">
        <f t="shared" si="0"/>
        <v/>
      </c>
      <c r="C71" s="32" t="str">
        <f>IF('תנאי סף'!F71="","",'תנאי סף'!F71)</f>
        <v/>
      </c>
      <c r="D71" s="453"/>
      <c r="E71" s="453"/>
      <c r="F71" s="453"/>
      <c r="G71" s="32" t="str">
        <f t="shared" si="1"/>
        <v/>
      </c>
      <c r="H71" s="32" t="str">
        <f>IF(IFERROR(VLOOKUP(E71,מרכבה!A:K,4,0),"")=K71,"","no")</f>
        <v/>
      </c>
      <c r="I71" s="32" t="str">
        <f>IFERROR(VLOOKUP(D71,מרכבה!A:K,7,0),"")</f>
        <v/>
      </c>
      <c r="J71" s="32" t="str">
        <f>IFERROR(VLOOKUP(D71,מרכבה!A:K,5,0),"")</f>
        <v/>
      </c>
      <c r="K71" s="32" t="str">
        <f>IFERROR(VLOOKUP(D71,מרכבה!A:K,4,0),"")</f>
        <v/>
      </c>
      <c r="L71" s="32" t="str">
        <f>IFERROR(VLOOKUP(D71,מרכבה!A:K,6,0),"")</f>
        <v/>
      </c>
      <c r="M71" s="32" t="str">
        <f>IFERROR(VLOOKUP(D71,מרכבה!A:K,2,0),"")</f>
        <v/>
      </c>
      <c r="N71" s="473" t="str">
        <f>IFERROR(VLOOKUP(D71,מרכבה!A:K,8,0),"")</f>
        <v/>
      </c>
      <c r="O71" s="473">
        <f>IFERROR(VLOOKUP(E71,מרכבה!A:K,9,0),0)</f>
        <v>0</v>
      </c>
      <c r="P71" s="473" t="str">
        <f>'הגבלה לסכום מבוקש (2)'!W71</f>
        <v/>
      </c>
      <c r="Q71" s="474" t="str">
        <f t="shared" si="2"/>
        <v/>
      </c>
      <c r="R71" s="310"/>
      <c r="S71" s="452"/>
      <c r="T71" s="33" t="str">
        <f>'קיזוזים בגין איחורים'!F71</f>
        <v/>
      </c>
      <c r="U71" s="34" t="str">
        <f>IF(B71="","",'קיזוזים- החלטות ועדה'!E71)</f>
        <v/>
      </c>
    </row>
    <row r="72" spans="2:21" ht="71.25" hidden="1" customHeight="1" x14ac:dyDescent="0.25">
      <c r="B72" s="31" t="str">
        <f t="shared" si="0"/>
        <v/>
      </c>
      <c r="C72" s="32" t="str">
        <f>IF('תנאי סף'!F72="","",'תנאי סף'!F72)</f>
        <v/>
      </c>
      <c r="D72" s="346"/>
      <c r="E72" s="346"/>
      <c r="F72" s="453"/>
      <c r="G72" s="32" t="str">
        <f t="shared" si="1"/>
        <v/>
      </c>
      <c r="H72" s="32" t="str">
        <f>IF(IFERROR(VLOOKUP(E72,מרכבה!A:K,4,0),"")=K72,"","no")</f>
        <v/>
      </c>
      <c r="I72" s="32" t="str">
        <f>IFERROR(VLOOKUP(D72,מרכבה!A:K,7,0),"")</f>
        <v/>
      </c>
      <c r="J72" s="32" t="str">
        <f>IFERROR(VLOOKUP(D72,מרכבה!A:K,5,0),"")</f>
        <v/>
      </c>
      <c r="K72" s="32" t="str">
        <f>IFERROR(VLOOKUP(D72,מרכבה!A:K,4,0),"")</f>
        <v/>
      </c>
      <c r="L72" s="32" t="str">
        <f>IFERROR(VLOOKUP(D72,מרכבה!A:K,6,0),"")</f>
        <v/>
      </c>
      <c r="M72" s="32" t="str">
        <f>IFERROR(VLOOKUP(D72,מרכבה!A:K,2,0),"")</f>
        <v/>
      </c>
      <c r="N72" s="473" t="str">
        <f>IFERROR(VLOOKUP(D72,מרכבה!A:K,8,0),"")</f>
        <v/>
      </c>
      <c r="O72" s="473">
        <f>IFERROR(VLOOKUP(E72,מרכבה!A:K,9,0),0)</f>
        <v>0</v>
      </c>
      <c r="P72" s="473" t="str">
        <f>'הגבלה לסכום מבוקש (2)'!W72</f>
        <v/>
      </c>
      <c r="Q72" s="474" t="str">
        <f t="shared" si="2"/>
        <v/>
      </c>
      <c r="R72" s="310"/>
      <c r="S72" s="446"/>
      <c r="T72" s="33" t="str">
        <f>'קיזוזים בגין איחורים'!F72</f>
        <v/>
      </c>
      <c r="U72" s="34" t="str">
        <f>IF(B72="","",'קיזוזים- החלטות ועדה'!E72)</f>
        <v/>
      </c>
    </row>
    <row r="73" spans="2:21" ht="48" customHeight="1" x14ac:dyDescent="0.25">
      <c r="B73" s="31">
        <f t="shared" si="0"/>
        <v>43</v>
      </c>
      <c r="C73" s="32" t="str">
        <f>IF('תנאי סף'!F73="","",'תנאי סף'!F73)</f>
        <v>בר קיימא ואקלקוטנטקט</v>
      </c>
      <c r="D73" s="346">
        <v>1001906944</v>
      </c>
      <c r="E73" s="346">
        <v>1001734690</v>
      </c>
      <c r="F73" s="453">
        <v>2020</v>
      </c>
      <c r="G73" s="32">
        <f t="shared" si="1"/>
        <v>1</v>
      </c>
      <c r="H73" s="32" t="str">
        <f>IF(IFERROR(VLOOKUP(E73,מרכבה!A:K,4,0),"")=K73,"","no")</f>
        <v/>
      </c>
      <c r="I73" s="32">
        <f>IFERROR(VLOOKUP(D73,מרכבה!A:K,7,0),"")</f>
        <v>2025</v>
      </c>
      <c r="J73" s="32">
        <f>IFERROR(VLOOKUP(D73,מרכבה!A:K,5,0),"")</f>
        <v>41099000</v>
      </c>
      <c r="K73" s="32">
        <f>IFERROR(VLOOKUP(D73,מרכבה!A:K,4,0),"")</f>
        <v>580450898</v>
      </c>
      <c r="L73" s="32" t="str">
        <f>IFERROR(VLOOKUP(D73,מרכבה!A:K,6,0),"")</f>
        <v>בר-קיימא לתרבות, אמנות, מוסיקה ושלו</v>
      </c>
      <c r="M73" s="32" t="str">
        <f>IFERROR(VLOOKUP(D73,מרכבה!A:K,2,0),"")</f>
        <v>וואקלקונטקט 2025</v>
      </c>
      <c r="N73" s="473">
        <f>IFERROR(VLOOKUP(D73,מרכבה!A:K,8,0),"")</f>
        <v>200000</v>
      </c>
      <c r="O73" s="473">
        <f>IFERROR(VLOOKUP(E73,מרכבה!A:K,9,0),0)</f>
        <v>120651</v>
      </c>
      <c r="P73" s="473">
        <f>'הגבלה לסכום מבוקש (2)'!W73</f>
        <v>134079.05030349543</v>
      </c>
      <c r="Q73" s="474">
        <f t="shared" si="2"/>
        <v>0.11129663495118503</v>
      </c>
      <c r="R73" s="310"/>
      <c r="S73" s="451" t="s">
        <v>166</v>
      </c>
      <c r="T73" s="33">
        <f>'קיזוזים בגין איחורים'!F73</f>
        <v>0</v>
      </c>
      <c r="U73" s="34">
        <f>IF(B73="","",'קיזוזים- החלטות ועדה'!E73)</f>
        <v>0</v>
      </c>
    </row>
    <row r="74" spans="2:21" hidden="1" x14ac:dyDescent="0.25">
      <c r="B74" s="31" t="str">
        <f t="shared" si="0"/>
        <v/>
      </c>
      <c r="C74" s="32" t="str">
        <f>IF('תנאי סף'!F74="","",'תנאי סף'!F74)</f>
        <v/>
      </c>
      <c r="D74" s="346"/>
      <c r="E74" s="346"/>
      <c r="F74" s="453"/>
      <c r="G74" s="32" t="str">
        <f t="shared" si="1"/>
        <v/>
      </c>
      <c r="H74" s="32" t="str">
        <f>IF(IFERROR(VLOOKUP(E74,מרכבה!A:K,4,0),"")=K74,"","no")</f>
        <v/>
      </c>
      <c r="I74" s="32" t="str">
        <f>IFERROR(VLOOKUP(D74,מרכבה!A:K,7,0),"")</f>
        <v/>
      </c>
      <c r="J74" s="32" t="str">
        <f>IFERROR(VLOOKUP(D74,מרכבה!A:K,5,0),"")</f>
        <v/>
      </c>
      <c r="K74" s="32" t="str">
        <f>IFERROR(VLOOKUP(D74,מרכבה!A:K,4,0),"")</f>
        <v/>
      </c>
      <c r="L74" s="32" t="str">
        <f>IFERROR(VLOOKUP(D74,מרכבה!A:K,6,0),"")</f>
        <v/>
      </c>
      <c r="M74" s="32" t="str">
        <f>IFERROR(VLOOKUP(D74,מרכבה!A:K,2,0),"")</f>
        <v/>
      </c>
      <c r="N74" s="473" t="str">
        <f>IFERROR(VLOOKUP(D74,מרכבה!A:K,8,0),"")</f>
        <v/>
      </c>
      <c r="O74" s="473">
        <f>IFERROR(VLOOKUP(E74,מרכבה!A:K,9,0),0)</f>
        <v>0</v>
      </c>
      <c r="P74" s="473" t="str">
        <f>'הגבלה לסכום מבוקש (2)'!W74</f>
        <v/>
      </c>
      <c r="Q74" s="474" t="str">
        <f t="shared" si="2"/>
        <v/>
      </c>
      <c r="R74" s="310"/>
      <c r="S74" s="452"/>
      <c r="T74" s="33" t="str">
        <f>'קיזוזים בגין איחורים'!F74</f>
        <v/>
      </c>
      <c r="U74" s="34" t="str">
        <f>IF(B74="","",'קיזוזים- החלטות ועדה'!E74)</f>
        <v/>
      </c>
    </row>
    <row r="75" spans="2:21" ht="45" customHeight="1" x14ac:dyDescent="0.25">
      <c r="B75" s="31">
        <f t="shared" si="0"/>
        <v>45</v>
      </c>
      <c r="C75" s="32" t="str">
        <f>IF('תנאי סף'!F75="","",'תנאי סף'!F75)</f>
        <v>אלקאת התזמורת התימנית</v>
      </c>
      <c r="D75" s="346">
        <v>1001906941</v>
      </c>
      <c r="E75" s="346">
        <v>1001734501</v>
      </c>
      <c r="F75" s="453">
        <v>2020</v>
      </c>
      <c r="G75" s="32">
        <f t="shared" si="1"/>
        <v>1</v>
      </c>
      <c r="H75" s="32" t="str">
        <f>IF(IFERROR(VLOOKUP(E75,מרכבה!A:K,4,0),"")=K75,"","no")</f>
        <v/>
      </c>
      <c r="I75" s="32">
        <f>IFERROR(VLOOKUP(D75,מרכבה!A:K,7,0),"")</f>
        <v>2025</v>
      </c>
      <c r="J75" s="32">
        <f>IFERROR(VLOOKUP(D75,מרכבה!A:K,5,0),"")</f>
        <v>40000333</v>
      </c>
      <c r="K75" s="32">
        <f>IFERROR(VLOOKUP(D75,מרכבה!A:K,4,0),"")</f>
        <v>580013522</v>
      </c>
      <c r="L75" s="32" t="str">
        <f>IFERROR(VLOOKUP(D75,מרכבה!A:K,6,0),"")</f>
        <v>האגודה לטיפוח חברה ותרבות, תיעוד ומ</v>
      </c>
      <c r="M75" s="32" t="str">
        <f>IFERROR(VLOOKUP(D75,מרכבה!A:K,2,0),"")</f>
        <v>תמיכה בתזמורת התימנית (אלקאת)</v>
      </c>
      <c r="N75" s="473">
        <f>IFERROR(VLOOKUP(D75,מרכבה!A:K,8,0),"")</f>
        <v>500000</v>
      </c>
      <c r="O75" s="473">
        <f>IFERROR(VLOOKUP(E75,מרכבה!A:K,9,0),0)</f>
        <v>57326</v>
      </c>
      <c r="P75" s="473">
        <f>'הגבלה לסכום מבוקש (2)'!W75</f>
        <v>71593.155601257749</v>
      </c>
      <c r="Q75" s="474">
        <f t="shared" si="2"/>
        <v>0.24887757040885017</v>
      </c>
      <c r="R75" s="310" t="s">
        <v>1089</v>
      </c>
      <c r="S75" s="451" t="s">
        <v>166</v>
      </c>
      <c r="T75" s="33">
        <f>'קיזוזים בגין איחורים'!F75</f>
        <v>0</v>
      </c>
      <c r="U75" s="34">
        <f>IF(B75="","",'קיזוזים- החלטות ועדה'!E75)</f>
        <v>0</v>
      </c>
    </row>
    <row r="76" spans="2:21" hidden="1" x14ac:dyDescent="0.25">
      <c r="B76" s="31" t="str">
        <f t="shared" si="0"/>
        <v/>
      </c>
      <c r="C76" s="32" t="str">
        <f>IF('תנאי סף'!F76="","",'תנאי סף'!F76)</f>
        <v/>
      </c>
      <c r="D76" s="346"/>
      <c r="E76" s="346"/>
      <c r="F76" s="453"/>
      <c r="G76" s="32" t="str">
        <f t="shared" si="1"/>
        <v/>
      </c>
      <c r="H76" s="32" t="str">
        <f>IF(IFERROR(VLOOKUP(E76,מרכבה!A:K,4,0),"")=K76,"","no")</f>
        <v/>
      </c>
      <c r="I76" s="32" t="str">
        <f>IFERROR(VLOOKUP(D76,מרכבה!A:K,7,0),"")</f>
        <v/>
      </c>
      <c r="J76" s="32" t="str">
        <f>IFERROR(VLOOKUP(D76,מרכבה!A:K,5,0),"")</f>
        <v/>
      </c>
      <c r="K76" s="32" t="str">
        <f>IFERROR(VLOOKUP(D76,מרכבה!A:K,4,0),"")</f>
        <v/>
      </c>
      <c r="L76" s="32" t="str">
        <f>IFERROR(VLOOKUP(D76,מרכבה!A:K,6,0),"")</f>
        <v/>
      </c>
      <c r="M76" s="32" t="str">
        <f>IFERROR(VLOOKUP(D76,מרכבה!A:K,2,0),"")</f>
        <v/>
      </c>
      <c r="N76" s="473" t="str">
        <f>IFERROR(VLOOKUP(D76,מרכבה!A:K,8,0),"")</f>
        <v/>
      </c>
      <c r="O76" s="473">
        <f>IFERROR(VLOOKUP(E76,מרכבה!A:K,9,0),0)</f>
        <v>0</v>
      </c>
      <c r="P76" s="473" t="str">
        <f>'הגבלה לסכום מבוקש (2)'!W76</f>
        <v/>
      </c>
      <c r="Q76" s="474" t="str">
        <f t="shared" si="2"/>
        <v/>
      </c>
      <c r="R76" s="310"/>
      <c r="S76" s="452"/>
      <c r="T76" s="33" t="str">
        <f>'קיזוזים בגין איחורים'!F76</f>
        <v/>
      </c>
      <c r="U76" s="34" t="str">
        <f>IF(B76="","",'קיזוזים- החלטות ועדה'!E76)</f>
        <v/>
      </c>
    </row>
    <row r="77" spans="2:21" hidden="1" x14ac:dyDescent="0.25">
      <c r="B77" s="31" t="str">
        <f t="shared" si="0"/>
        <v/>
      </c>
      <c r="C77" s="32" t="str">
        <f>IF('תנאי סף'!F77="","",'תנאי סף'!F77)</f>
        <v/>
      </c>
      <c r="D77" s="346"/>
      <c r="E77" s="346"/>
      <c r="F77" s="453"/>
      <c r="G77" s="32" t="str">
        <f t="shared" si="1"/>
        <v/>
      </c>
      <c r="H77" s="32" t="str">
        <f>IF(IFERROR(VLOOKUP(E77,מרכבה!A:K,4,0),"")=K77,"","no")</f>
        <v/>
      </c>
      <c r="I77" s="32" t="str">
        <f>IFERROR(VLOOKUP(D77,מרכבה!A:K,7,0),"")</f>
        <v/>
      </c>
      <c r="J77" s="32" t="str">
        <f>IFERROR(VLOOKUP(D77,מרכבה!A:K,5,0),"")</f>
        <v/>
      </c>
      <c r="K77" s="32" t="str">
        <f>IFERROR(VLOOKUP(D77,מרכבה!A:K,4,0),"")</f>
        <v/>
      </c>
      <c r="L77" s="32" t="str">
        <f>IFERROR(VLOOKUP(D77,מרכבה!A:K,6,0),"")</f>
        <v/>
      </c>
      <c r="M77" s="32" t="str">
        <f>IFERROR(VLOOKUP(D77,מרכבה!A:K,2,0),"")</f>
        <v/>
      </c>
      <c r="N77" s="473" t="str">
        <f>IFERROR(VLOOKUP(D77,מרכבה!A:K,8,0),"")</f>
        <v/>
      </c>
      <c r="O77" s="473">
        <f>IFERROR(VLOOKUP(E77,מרכבה!A:K,9,0),0)</f>
        <v>0</v>
      </c>
      <c r="P77" s="473" t="str">
        <f>'הגבלה לסכום מבוקש (2)'!W77</f>
        <v/>
      </c>
      <c r="Q77" s="474" t="str">
        <f t="shared" si="2"/>
        <v/>
      </c>
      <c r="R77" s="310"/>
      <c r="S77" s="452"/>
      <c r="T77" s="33" t="str">
        <f>'קיזוזים בגין איחורים'!F77</f>
        <v/>
      </c>
      <c r="U77" s="34" t="str">
        <f>IF(B77="","",'קיזוזים- החלטות ועדה'!E77)</f>
        <v/>
      </c>
    </row>
    <row r="78" spans="2:21" ht="58.5" customHeight="1" x14ac:dyDescent="0.25">
      <c r="B78" s="31">
        <f t="shared" si="0"/>
        <v>48</v>
      </c>
      <c r="C78" s="32" t="str">
        <f>IF('תנאי סף'!F78="","",'תנאי סף'!F78)</f>
        <v>גיא מינטוס- טריו</v>
      </c>
      <c r="D78" s="454">
        <v>1001908685</v>
      </c>
      <c r="E78" s="454">
        <v>1001735323</v>
      </c>
      <c r="F78" s="453">
        <v>2020</v>
      </c>
      <c r="G78" s="32">
        <f t="shared" si="1"/>
        <v>1</v>
      </c>
      <c r="H78" s="32" t="str">
        <f>IF(IFERROR(VLOOKUP(E78,מרכבה!A:K,4,0),"")=K78,"","no")</f>
        <v/>
      </c>
      <c r="I78" s="32">
        <f>IFERROR(VLOOKUP(D78,מרכבה!A:K,7,0),"")</f>
        <v>2025</v>
      </c>
      <c r="J78" s="32">
        <f>IFERROR(VLOOKUP(D78,מרכבה!A:K,5,0),"")</f>
        <v>40221541</v>
      </c>
      <c r="K78" s="32">
        <f>IFERROR(VLOOKUP(D78,מרכבה!A:K,4,0),"")</f>
        <v>580327740</v>
      </c>
      <c r="L78" s="32" t="str">
        <f>IFERROR(VLOOKUP(D78,מרכבה!A:K,6,0),"")</f>
        <v>המרכז למוסיקה ע"ש פיליציה בלומנטל (</v>
      </c>
      <c r="M78" s="32" t="str">
        <f>IFERROR(VLOOKUP(D78,מרכבה!A:K,2,0),"")</f>
        <v>גיא מינטוס טריו</v>
      </c>
      <c r="N78" s="473">
        <f>IFERROR(VLOOKUP(D78,מרכבה!A:K,8,0),"")</f>
        <v>85000</v>
      </c>
      <c r="O78" s="473">
        <f>IFERROR(VLOOKUP(E78,מרכבה!A:K,9,0),0)</f>
        <v>70000</v>
      </c>
      <c r="P78" s="473">
        <f>'הגבלה לסכום מבוקש (2)'!W78</f>
        <v>84999.999999999956</v>
      </c>
      <c r="Q78" s="474">
        <f t="shared" si="2"/>
        <v>0.21428571428571375</v>
      </c>
      <c r="R78" s="310" t="s">
        <v>1092</v>
      </c>
      <c r="S78" s="452" t="s">
        <v>166</v>
      </c>
      <c r="T78" s="33">
        <f>'קיזוזים בגין איחורים'!F78</f>
        <v>0</v>
      </c>
      <c r="U78" s="34">
        <f>IF(B78="","",'קיזוזים- החלטות ועדה'!E78)</f>
        <v>0</v>
      </c>
    </row>
    <row r="79" spans="2:21" hidden="1" x14ac:dyDescent="0.25">
      <c r="B79" s="31" t="str">
        <f t="shared" si="0"/>
        <v/>
      </c>
      <c r="C79" s="32" t="str">
        <f>IF('תנאי סף'!F79="","",'תנאי סף'!F79)</f>
        <v/>
      </c>
      <c r="D79" s="346"/>
      <c r="E79" s="346"/>
      <c r="F79" s="453"/>
      <c r="G79" s="32" t="str">
        <f t="shared" si="1"/>
        <v/>
      </c>
      <c r="H79" s="32" t="str">
        <f>IF(IFERROR(VLOOKUP(E79,מרכבה!A:K,4,0),"")=K79,"","no")</f>
        <v/>
      </c>
      <c r="I79" s="32" t="str">
        <f>IFERROR(VLOOKUP(D79,מרכבה!A:K,7,0),"")</f>
        <v/>
      </c>
      <c r="J79" s="32" t="str">
        <f>IFERROR(VLOOKUP(D79,מרכבה!A:K,5,0),"")</f>
        <v/>
      </c>
      <c r="K79" s="32" t="str">
        <f>IFERROR(VLOOKUP(D79,מרכבה!A:K,4,0),"")</f>
        <v/>
      </c>
      <c r="L79" s="32" t="str">
        <f>IFERROR(VLOOKUP(D79,מרכבה!A:K,6,0),"")</f>
        <v/>
      </c>
      <c r="M79" s="32" t="str">
        <f>IFERROR(VLOOKUP(D79,מרכבה!A:K,2,0),"")</f>
        <v/>
      </c>
      <c r="N79" s="473" t="str">
        <f>IFERROR(VLOOKUP(D79,מרכבה!A:K,8,0),"")</f>
        <v/>
      </c>
      <c r="O79" s="473">
        <f>IFERROR(VLOOKUP(E79,מרכבה!A:K,9,0),0)</f>
        <v>0</v>
      </c>
      <c r="P79" s="473" t="str">
        <f>'הגבלה לסכום מבוקש (2)'!W79</f>
        <v/>
      </c>
      <c r="Q79" s="474" t="str">
        <f t="shared" si="2"/>
        <v/>
      </c>
      <c r="R79" s="310"/>
      <c r="S79" s="452"/>
      <c r="T79" s="33" t="str">
        <f>'קיזוזים בגין איחורים'!F79</f>
        <v/>
      </c>
      <c r="U79" s="34" t="str">
        <f>IF(B79="","",'קיזוזים- החלטות ועדה'!E79)</f>
        <v/>
      </c>
    </row>
    <row r="80" spans="2:21" hidden="1" x14ac:dyDescent="0.25">
      <c r="B80" s="31" t="str">
        <f t="shared" si="0"/>
        <v/>
      </c>
      <c r="C80" s="32" t="str">
        <f>IF('תנאי סף'!F80="","",'תנאי סף'!F80)</f>
        <v/>
      </c>
      <c r="D80" s="346"/>
      <c r="E80" s="346"/>
      <c r="F80" s="453"/>
      <c r="G80" s="32" t="str">
        <f t="shared" si="1"/>
        <v/>
      </c>
      <c r="H80" s="32" t="str">
        <f>IF(IFERROR(VLOOKUP(E80,מרכבה!A:K,4,0),"")=K80,"","no")</f>
        <v/>
      </c>
      <c r="I80" s="32" t="str">
        <f>IFERROR(VLOOKUP(D80,מרכבה!A:K,7,0),"")</f>
        <v/>
      </c>
      <c r="J80" s="32" t="str">
        <f>IFERROR(VLOOKUP(D80,מרכבה!A:K,5,0),"")</f>
        <v/>
      </c>
      <c r="K80" s="32" t="str">
        <f>IFERROR(VLOOKUP(D80,מרכבה!A:K,4,0),"")</f>
        <v/>
      </c>
      <c r="L80" s="32" t="str">
        <f>IFERROR(VLOOKUP(D80,מרכבה!A:K,6,0),"")</f>
        <v/>
      </c>
      <c r="M80" s="32" t="str">
        <f>IFERROR(VLOOKUP(D80,מרכבה!A:K,2,0),"")</f>
        <v/>
      </c>
      <c r="N80" s="473" t="str">
        <f>IFERROR(VLOOKUP(D80,מרכבה!A:K,8,0),"")</f>
        <v/>
      </c>
      <c r="O80" s="473">
        <f>IFERROR(VLOOKUP(E80,מרכבה!A:K,9,0),0)</f>
        <v>0</v>
      </c>
      <c r="P80" s="473" t="str">
        <f>'הגבלה לסכום מבוקש (2)'!W80</f>
        <v/>
      </c>
      <c r="Q80" s="474" t="str">
        <f t="shared" si="2"/>
        <v/>
      </c>
      <c r="R80" s="310"/>
      <c r="S80" s="452"/>
      <c r="T80" s="33" t="str">
        <f>'קיזוזים בגין איחורים'!F80</f>
        <v/>
      </c>
      <c r="U80" s="34" t="str">
        <f>IF(B80="","",'קיזוזים- החלטות ועדה'!E80)</f>
        <v/>
      </c>
    </row>
    <row r="81" spans="2:21" hidden="1" x14ac:dyDescent="0.25">
      <c r="B81" s="31" t="str">
        <f t="shared" si="0"/>
        <v/>
      </c>
      <c r="C81" s="32" t="str">
        <f>IF('תנאי סף'!F81="","",'תנאי סף'!F81)</f>
        <v/>
      </c>
      <c r="D81" s="455"/>
      <c r="E81" s="455"/>
      <c r="F81" s="453"/>
      <c r="G81" s="32" t="str">
        <f t="shared" si="1"/>
        <v/>
      </c>
      <c r="H81" s="32" t="str">
        <f>IF(IFERROR(VLOOKUP(E81,מרכבה!A:K,4,0),"")=K81,"","no")</f>
        <v/>
      </c>
      <c r="I81" s="32" t="str">
        <f>IFERROR(VLOOKUP(D81,מרכבה!A:K,7,0),"")</f>
        <v/>
      </c>
      <c r="J81" s="32" t="str">
        <f>IFERROR(VLOOKUP(D81,מרכבה!A:K,5,0),"")</f>
        <v/>
      </c>
      <c r="K81" s="32" t="str">
        <f>IFERROR(VLOOKUP(D81,מרכבה!A:K,4,0),"")</f>
        <v/>
      </c>
      <c r="L81" s="32" t="str">
        <f>IFERROR(VLOOKUP(D81,מרכבה!A:K,6,0),"")</f>
        <v/>
      </c>
      <c r="M81" s="32" t="str">
        <f>IFERROR(VLOOKUP(D81,מרכבה!A:K,2,0),"")</f>
        <v/>
      </c>
      <c r="N81" s="473" t="str">
        <f>IFERROR(VLOOKUP(D81,מרכבה!A:K,8,0),"")</f>
        <v/>
      </c>
      <c r="O81" s="473">
        <f>IFERROR(VLOOKUP(E81,מרכבה!A:K,9,0),0)</f>
        <v>0</v>
      </c>
      <c r="P81" s="473" t="str">
        <f>'הגבלה לסכום מבוקש (2)'!W81</f>
        <v/>
      </c>
      <c r="Q81" s="474" t="str">
        <f t="shared" si="2"/>
        <v/>
      </c>
      <c r="R81" s="457"/>
      <c r="S81" s="456"/>
      <c r="T81" s="33" t="str">
        <f>'קיזוזים בגין איחורים'!F81</f>
        <v/>
      </c>
      <c r="U81" s="34" t="str">
        <f>IF(B81="","",'קיזוזים- החלטות ועדה'!E81)</f>
        <v/>
      </c>
    </row>
    <row r="82" spans="2:21" ht="42" customHeight="1" x14ac:dyDescent="0.25">
      <c r="B82" s="31">
        <f t="shared" si="0"/>
        <v>52</v>
      </c>
      <c r="C82" s="32" t="str">
        <f>IF('תנאי סף'!F82="","",'תנאי סף'!F82)</f>
        <v xml:space="preserve">פולקעס - בר-קיימא לתרבות </v>
      </c>
      <c r="D82" s="346">
        <v>1001906947</v>
      </c>
      <c r="E82" s="346">
        <v>1001734691</v>
      </c>
      <c r="F82" s="453">
        <v>2020</v>
      </c>
      <c r="G82" s="32">
        <f t="shared" si="1"/>
        <v>1</v>
      </c>
      <c r="H82" s="32" t="str">
        <f>IF(IFERROR(VLOOKUP(E82,מרכבה!A:K,4,0),"")=K82,"","no")</f>
        <v/>
      </c>
      <c r="I82" s="32">
        <f>IFERROR(VLOOKUP(D82,מרכבה!A:K,7,0),"")</f>
        <v>2025</v>
      </c>
      <c r="J82" s="32">
        <f>IFERROR(VLOOKUP(D82,מרכבה!A:K,5,0),"")</f>
        <v>41099000</v>
      </c>
      <c r="K82" s="32">
        <f>IFERROR(VLOOKUP(D82,מרכבה!A:K,4,0),"")</f>
        <v>580450898</v>
      </c>
      <c r="L82" s="32" t="str">
        <f>IFERROR(VLOOKUP(D82,מרכבה!A:K,6,0),"")</f>
        <v>בר-קיימא לתרבות, אמנות, מוסיקה ושלו</v>
      </c>
      <c r="M82" s="32" t="str">
        <f>IFERROR(VLOOKUP(D82,מרכבה!A:K,2,0),"")</f>
        <v>פולקעס - 2025</v>
      </c>
      <c r="N82" s="473">
        <f>IFERROR(VLOOKUP(D82,מרכבה!A:K,8,0),"")</f>
        <v>250000</v>
      </c>
      <c r="O82" s="473">
        <f>IFERROR(VLOOKUP(E82,מרכבה!A:K,9,0),0)</f>
        <v>130173</v>
      </c>
      <c r="P82" s="473">
        <f>'הגבלה לסכום מבוקש (2)'!W82</f>
        <v>138814.93741556923</v>
      </c>
      <c r="Q82" s="474">
        <f t="shared" si="2"/>
        <v>6.6388094424874922E-2</v>
      </c>
      <c r="R82" s="310"/>
      <c r="S82" s="452" t="s">
        <v>166</v>
      </c>
      <c r="T82" s="33">
        <f>'קיזוזים בגין איחורים'!F82</f>
        <v>0</v>
      </c>
      <c r="U82" s="34">
        <f>IF(B82="","",'קיזוזים- החלטות ועדה'!E82)</f>
        <v>0</v>
      </c>
    </row>
    <row r="83" spans="2:21" hidden="1" x14ac:dyDescent="0.25">
      <c r="B83" s="31" t="str">
        <f t="shared" si="0"/>
        <v/>
      </c>
      <c r="C83" s="32" t="str">
        <f>IF('תנאי סף'!F83="","",'תנאי סף'!F83)</f>
        <v/>
      </c>
      <c r="D83" s="346"/>
      <c r="E83" s="346"/>
      <c r="F83" s="453"/>
      <c r="G83" s="32" t="str">
        <f t="shared" si="1"/>
        <v/>
      </c>
      <c r="H83" s="32" t="str">
        <f>IF(IFERROR(VLOOKUP(E83,מרכבה!A:K,4,0),"")=K83,"","no")</f>
        <v/>
      </c>
      <c r="I83" s="32" t="str">
        <f>IFERROR(VLOOKUP(D83,מרכבה!A:K,7,0),"")</f>
        <v/>
      </c>
      <c r="J83" s="32" t="str">
        <f>IFERROR(VLOOKUP(D83,מרכבה!A:K,5,0),"")</f>
        <v/>
      </c>
      <c r="K83" s="32" t="str">
        <f>IFERROR(VLOOKUP(D83,מרכבה!A:K,4,0),"")</f>
        <v/>
      </c>
      <c r="L83" s="32" t="str">
        <f>IFERROR(VLOOKUP(D83,מרכבה!A:K,6,0),"")</f>
        <v/>
      </c>
      <c r="M83" s="32" t="str">
        <f>IFERROR(VLOOKUP(D83,מרכבה!A:K,2,0),"")</f>
        <v/>
      </c>
      <c r="N83" s="473" t="str">
        <f>IFERROR(VLOOKUP(D83,מרכבה!A:K,8,0),"")</f>
        <v/>
      </c>
      <c r="O83" s="473">
        <f>IFERROR(VLOOKUP(E83,מרכבה!A:K,9,0),0)</f>
        <v>0</v>
      </c>
      <c r="P83" s="473" t="str">
        <f>'הגבלה לסכום מבוקש (2)'!W83</f>
        <v/>
      </c>
      <c r="Q83" s="474" t="str">
        <f t="shared" si="2"/>
        <v/>
      </c>
      <c r="R83" s="310"/>
      <c r="S83" s="452"/>
      <c r="T83" s="33" t="str">
        <f>'קיזוזים בגין איחורים'!F83</f>
        <v/>
      </c>
      <c r="U83" s="34" t="str">
        <f>IF(B83="","",'קיזוזים- החלטות ועדה'!E83)</f>
        <v/>
      </c>
    </row>
    <row r="84" spans="2:21" hidden="1" x14ac:dyDescent="0.25">
      <c r="B84" s="31" t="str">
        <f t="shared" si="0"/>
        <v/>
      </c>
      <c r="C84" s="32" t="str">
        <f>IF('תנאי סף'!F84="","",'תנאי סף'!F84)</f>
        <v/>
      </c>
      <c r="D84" s="346"/>
      <c r="E84" s="346"/>
      <c r="F84" s="453"/>
      <c r="G84" s="32" t="str">
        <f t="shared" si="1"/>
        <v/>
      </c>
      <c r="H84" s="32" t="str">
        <f>IF(IFERROR(VLOOKUP(E84,מרכבה!A:K,4,0),"")=K84,"","no")</f>
        <v/>
      </c>
      <c r="I84" s="32" t="str">
        <f>IFERROR(VLOOKUP(D84,מרכבה!A:K,7,0),"")</f>
        <v/>
      </c>
      <c r="J84" s="32" t="str">
        <f>IFERROR(VLOOKUP(D84,מרכבה!A:K,5,0),"")</f>
        <v/>
      </c>
      <c r="K84" s="32" t="str">
        <f>IFERROR(VLOOKUP(D84,מרכבה!A:K,4,0),"")</f>
        <v/>
      </c>
      <c r="L84" s="32" t="str">
        <f>IFERROR(VLOOKUP(D84,מרכבה!A:K,6,0),"")</f>
        <v/>
      </c>
      <c r="M84" s="32" t="str">
        <f>IFERROR(VLOOKUP(D84,מרכבה!A:K,2,0),"")</f>
        <v/>
      </c>
      <c r="N84" s="473" t="str">
        <f>IFERROR(VLOOKUP(D84,מרכבה!A:K,8,0),"")</f>
        <v/>
      </c>
      <c r="O84" s="473">
        <f>IFERROR(VLOOKUP(E84,מרכבה!A:K,9,0),0)</f>
        <v>0</v>
      </c>
      <c r="P84" s="473" t="str">
        <f>'הגבלה לסכום מבוקש (2)'!W84</f>
        <v/>
      </c>
      <c r="Q84" s="474" t="str">
        <f t="shared" si="2"/>
        <v/>
      </c>
      <c r="R84" s="310"/>
      <c r="S84" s="452"/>
      <c r="T84" s="33" t="str">
        <f>'קיזוזים בגין איחורים'!F84</f>
        <v/>
      </c>
      <c r="U84" s="34" t="str">
        <f>IF(B84="","",'קיזוזים- החלטות ועדה'!E84)</f>
        <v/>
      </c>
    </row>
    <row r="85" spans="2:21" ht="43.5" customHeight="1" x14ac:dyDescent="0.25">
      <c r="B85" s="31">
        <f t="shared" si="0"/>
        <v>55</v>
      </c>
      <c r="C85" s="32" t="str">
        <f>IF('תנאי סף'!F85="","",'תנאי סף'!F85)</f>
        <v>מכון רננות</v>
      </c>
      <c r="D85" s="346">
        <v>1001912839</v>
      </c>
      <c r="E85" s="346">
        <v>1001779236</v>
      </c>
      <c r="F85" s="453">
        <v>2020</v>
      </c>
      <c r="G85" s="32">
        <f t="shared" si="1"/>
        <v>1</v>
      </c>
      <c r="H85" s="32" t="str">
        <f>IF(IFERROR(VLOOKUP(E85,מרכבה!A:K,4,0),"")=K85,"","no")</f>
        <v/>
      </c>
      <c r="I85" s="32">
        <f>IFERROR(VLOOKUP(D85,מרכבה!A:K,7,0),"")</f>
        <v>2025</v>
      </c>
      <c r="J85" s="32">
        <f>IFERROR(VLOOKUP(D85,מרכבה!A:K,5,0),"")</f>
        <v>40000076</v>
      </c>
      <c r="K85" s="32">
        <f>IFERROR(VLOOKUP(D85,מרכבה!A:K,4,0),"")</f>
        <v>580023968</v>
      </c>
      <c r="L85" s="32" t="str">
        <f>IFERROR(VLOOKUP(D85,מרכבה!A:K,6,0),"")</f>
        <v>רננות - המכון למוסיקה יהודית</v>
      </c>
      <c r="M85" s="32" t="str">
        <f>IFERROR(VLOOKUP(D85,מרכבה!A:K,2,0),"")</f>
        <v>תמיכה בתזמורת הלאדינו הישראלית</v>
      </c>
      <c r="N85" s="473">
        <f>IFERROR(VLOOKUP(D85,מרכבה!A:K,8,0),"")</f>
        <v>60000</v>
      </c>
      <c r="O85" s="473">
        <f>IFERROR(VLOOKUP(E85,מרכבה!A:K,9,0),0)</f>
        <v>45810</v>
      </c>
      <c r="P85" s="473">
        <f>'הגבלה לסכום מבוקש (2)'!W85</f>
        <v>59999.999999999978</v>
      </c>
      <c r="Q85" s="474">
        <f t="shared" si="2"/>
        <v>0.30975769482645665</v>
      </c>
      <c r="R85" s="310" t="s">
        <v>1089</v>
      </c>
      <c r="S85" s="452" t="s">
        <v>166</v>
      </c>
      <c r="T85" s="33">
        <f>'קיזוזים בגין איחורים'!F85</f>
        <v>0</v>
      </c>
      <c r="U85" s="34">
        <f>IF(B85="","",'קיזוזים- החלטות ועדה'!E85)</f>
        <v>0</v>
      </c>
    </row>
    <row r="86" spans="2:21" hidden="1" x14ac:dyDescent="0.25">
      <c r="B86" s="31" t="str">
        <f t="shared" si="0"/>
        <v/>
      </c>
      <c r="C86" s="32" t="str">
        <f>IF('תנאי סף'!F86="","",'תנאי סף'!F86)</f>
        <v/>
      </c>
      <c r="D86" s="346"/>
      <c r="E86" s="346"/>
      <c r="F86" s="453"/>
      <c r="G86" s="32" t="str">
        <f t="shared" si="1"/>
        <v/>
      </c>
      <c r="H86" s="32" t="str">
        <f>IF(IFERROR(VLOOKUP(E86,מרכבה!A:K,4,0),"")=K86,"","no")</f>
        <v/>
      </c>
      <c r="I86" s="32" t="str">
        <f>IFERROR(VLOOKUP(D86,מרכבה!A:K,7,0),"")</f>
        <v/>
      </c>
      <c r="J86" s="32" t="str">
        <f>IFERROR(VLOOKUP(D86,מרכבה!A:K,5,0),"")</f>
        <v/>
      </c>
      <c r="K86" s="32" t="str">
        <f>IFERROR(VLOOKUP(D86,מרכבה!A:K,4,0),"")</f>
        <v/>
      </c>
      <c r="L86" s="32" t="str">
        <f>IFERROR(VLOOKUP(D86,מרכבה!A:K,6,0),"")</f>
        <v/>
      </c>
      <c r="M86" s="32" t="str">
        <f>IFERROR(VLOOKUP(D86,מרכבה!A:K,2,0),"")</f>
        <v/>
      </c>
      <c r="N86" s="473" t="str">
        <f>IFERROR(VLOOKUP(D86,מרכבה!A:K,8,0),"")</f>
        <v/>
      </c>
      <c r="O86" s="473">
        <f>IFERROR(VLOOKUP(E86,מרכבה!A:K,9,0),0)</f>
        <v>0</v>
      </c>
      <c r="P86" s="473" t="str">
        <f>'הגבלה לסכום מבוקש (2)'!W86</f>
        <v/>
      </c>
      <c r="Q86" s="474" t="str">
        <f t="shared" si="2"/>
        <v/>
      </c>
      <c r="R86" s="310"/>
      <c r="S86" s="452"/>
      <c r="T86" s="33" t="str">
        <f>'קיזוזים בגין איחורים'!F86</f>
        <v/>
      </c>
      <c r="U86" s="34" t="str">
        <f>IF(B86="","",'קיזוזים- החלטות ועדה'!E86)</f>
        <v/>
      </c>
    </row>
    <row r="87" spans="2:21" ht="47.25" customHeight="1" x14ac:dyDescent="0.25">
      <c r="B87" s="31">
        <f t="shared" si="0"/>
        <v>57</v>
      </c>
      <c r="C87" s="32" t="str">
        <f>IF('תנאי סף'!F87="","",'תנאי סף'!F87)</f>
        <v>עמותת מפעל המוזיקה צימבליסטה</v>
      </c>
      <c r="D87" s="346">
        <v>1001910307</v>
      </c>
      <c r="E87" s="346">
        <v>1001779086</v>
      </c>
      <c r="F87" s="453">
        <v>2020</v>
      </c>
      <c r="G87" s="32">
        <f t="shared" si="1"/>
        <v>1</v>
      </c>
      <c r="H87" s="32" t="str">
        <f>IF(IFERROR(VLOOKUP(E87,מרכבה!A:K,4,0),"")=K87,"","no")</f>
        <v/>
      </c>
      <c r="I87" s="32">
        <f>IFERROR(VLOOKUP(D87,מרכבה!A:K,7,0),"")</f>
        <v>2025</v>
      </c>
      <c r="J87" s="32">
        <f>IFERROR(VLOOKUP(D87,מרכבה!A:K,5,0),"")</f>
        <v>41964624</v>
      </c>
      <c r="K87" s="32">
        <f>IFERROR(VLOOKUP(D87,מרכבה!A:K,4,0),"")</f>
        <v>580637940</v>
      </c>
      <c r="L87" s="32" t="str">
        <f>IFERROR(VLOOKUP(D87,מרכבה!A:K,6,0),"")</f>
        <v>מפעל המוסיקה של צימבליסטה (ע''ר)</v>
      </c>
      <c r="M87" s="32" t="str">
        <f>IFERROR(VLOOKUP(D87,מרכבה!A:K,2,0),"")</f>
        <v>צימבליסטה - קבוצת מוסיקה 2025</v>
      </c>
      <c r="N87" s="473">
        <f>IFERROR(VLOOKUP(D87,מרכבה!A:K,8,0),"")</f>
        <v>500000</v>
      </c>
      <c r="O87" s="473">
        <f>IFERROR(VLOOKUP(E87,מרכבה!A:K,9,0),0)</f>
        <v>76074</v>
      </c>
      <c r="P87" s="473">
        <f>'הגבלה לסכום מבוקש (2)'!W87</f>
        <v>85948.962656008371</v>
      </c>
      <c r="Q87" s="474">
        <f t="shared" si="2"/>
        <v>0.12980732781250315</v>
      </c>
      <c r="R87" s="310"/>
      <c r="S87" s="452" t="s">
        <v>397</v>
      </c>
      <c r="T87" s="33">
        <f>'קיזוזים בגין איחורים'!F87</f>
        <v>0</v>
      </c>
      <c r="U87" s="34">
        <f>IF(B87="","",'קיזוזים- החלטות ועדה'!E87)</f>
        <v>0</v>
      </c>
    </row>
    <row r="88" spans="2:21" hidden="1" x14ac:dyDescent="0.25">
      <c r="B88" s="31" t="str">
        <f t="shared" si="0"/>
        <v/>
      </c>
      <c r="C88" s="32" t="str">
        <f>IF('תנאי סף'!F88="","",'תנאי סף'!F88)</f>
        <v/>
      </c>
      <c r="D88" s="346"/>
      <c r="E88" s="346"/>
      <c r="F88" s="453"/>
      <c r="G88" s="32" t="str">
        <f t="shared" si="1"/>
        <v/>
      </c>
      <c r="H88" s="32" t="str">
        <f>IF(IFERROR(VLOOKUP(E88,מרכבה!A:K,4,0),"")=K88,"","no")</f>
        <v/>
      </c>
      <c r="I88" s="32" t="str">
        <f>IFERROR(VLOOKUP(D88,מרכבה!A:K,7,0),"")</f>
        <v/>
      </c>
      <c r="J88" s="32" t="str">
        <f>IFERROR(VLOOKUP(D88,מרכבה!A:K,5,0),"")</f>
        <v/>
      </c>
      <c r="K88" s="32" t="str">
        <f>IFERROR(VLOOKUP(D88,מרכבה!A:K,4,0),"")</f>
        <v/>
      </c>
      <c r="L88" s="32" t="str">
        <f>IFERROR(VLOOKUP(D88,מרכבה!A:K,6,0),"")</f>
        <v/>
      </c>
      <c r="M88" s="32" t="str">
        <f>IFERROR(VLOOKUP(D88,מרכבה!A:K,2,0),"")</f>
        <v/>
      </c>
      <c r="N88" s="473" t="str">
        <f>IFERROR(VLOOKUP(D88,מרכבה!A:K,8,0),"")</f>
        <v/>
      </c>
      <c r="O88" s="473">
        <f>IFERROR(VLOOKUP(E88,מרכבה!A:K,9,0),0)</f>
        <v>0</v>
      </c>
      <c r="P88" s="473" t="str">
        <f>'הגבלה לסכום מבוקש (2)'!W88</f>
        <v/>
      </c>
      <c r="Q88" s="474" t="str">
        <f t="shared" si="2"/>
        <v/>
      </c>
      <c r="R88" s="310"/>
      <c r="S88" s="452"/>
      <c r="T88" s="33" t="str">
        <f>'קיזוזים בגין איחורים'!F88</f>
        <v/>
      </c>
      <c r="U88" s="34" t="str">
        <f>IF(B88="","",'קיזוזים- החלטות ועדה'!E88)</f>
        <v/>
      </c>
    </row>
    <row r="89" spans="2:21" ht="47.25" customHeight="1" x14ac:dyDescent="0.25">
      <c r="B89" s="31">
        <f t="shared" si="0"/>
        <v>59</v>
      </c>
      <c r="C89" s="32" t="str">
        <f>IF('תנאי סף'!F89="","",'תנאי סף'!F89)</f>
        <v>העמותה לקידום המוסיקה הערבית</v>
      </c>
      <c r="D89" s="346">
        <v>1001907394</v>
      </c>
      <c r="E89" s="346">
        <v>1001720689</v>
      </c>
      <c r="F89" s="453">
        <v>2022</v>
      </c>
      <c r="G89" s="32">
        <f t="shared" si="1"/>
        <v>0</v>
      </c>
      <c r="H89" s="32" t="str">
        <f>IF(IFERROR(VLOOKUP(E89,מרכבה!A:K,4,0),"")=K89,"","no")</f>
        <v/>
      </c>
      <c r="I89" s="32">
        <f>IFERROR(VLOOKUP(D89,מרכבה!A:K,7,0),"")</f>
        <v>2025</v>
      </c>
      <c r="J89" s="32">
        <f>IFERROR(VLOOKUP(D89,מרכבה!A:K,5,0),"")</f>
        <v>40002884</v>
      </c>
      <c r="K89" s="32">
        <f>IFERROR(VLOOKUP(D89,מרכבה!A:K,4,0),"")</f>
        <v>580269561</v>
      </c>
      <c r="L89" s="32" t="str">
        <f>IFERROR(VLOOKUP(D89,מרכבה!A:K,6,0),"")</f>
        <v>עמותה לקידום וטיפוח המוסיקה הערבית</v>
      </c>
      <c r="M89" s="32" t="str">
        <f>IFERROR(VLOOKUP(D89,מרכבה!A:K,2,0),"")</f>
        <v>קבוצות ואנסמבלים</v>
      </c>
      <c r="N89" s="473">
        <f>IFERROR(VLOOKUP(D89,מרכבה!A:K,8,0),"")</f>
        <v>600000</v>
      </c>
      <c r="O89" s="473">
        <f>IFERROR(VLOOKUP(E89,מרכבה!A:K,9,0),0)</f>
        <v>309687</v>
      </c>
      <c r="P89" s="473">
        <f>'הגבלה לסכום מבוקש (2)'!W89</f>
        <v>223702.4270773383</v>
      </c>
      <c r="Q89" s="474">
        <f t="shared" si="2"/>
        <v>-0.27764992693481383</v>
      </c>
      <c r="R89" s="310" t="s">
        <v>1091</v>
      </c>
      <c r="S89" s="452" t="s">
        <v>399</v>
      </c>
      <c r="T89" s="33">
        <f>'קיזוזים בגין איחורים'!F89</f>
        <v>0</v>
      </c>
      <c r="U89" s="34">
        <f>IF(B89="","",'קיזוזים- החלטות ועדה'!E89)</f>
        <v>0</v>
      </c>
    </row>
    <row r="90" spans="2:21" ht="43.5" customHeight="1" x14ac:dyDescent="0.25">
      <c r="B90" s="31">
        <f t="shared" si="0"/>
        <v>60</v>
      </c>
      <c r="C90" s="32" t="str">
        <f>IF('תנאי סף'!F90="","",'תנאי סף'!F90)</f>
        <v>תמיכה בתזמורת TLV (הערבית יהודית)</v>
      </c>
      <c r="D90" s="346">
        <v>1001907879</v>
      </c>
      <c r="E90" s="346">
        <v>1001775685</v>
      </c>
      <c r="F90" s="453">
        <v>2023</v>
      </c>
      <c r="G90" s="32">
        <f t="shared" si="1"/>
        <v>0</v>
      </c>
      <c r="H90" s="32" t="str">
        <f>IF(IFERROR(VLOOKUP(E90,מרכבה!A:K,4,0),"")=K90,"","no")</f>
        <v/>
      </c>
      <c r="I90" s="32">
        <f>IFERROR(VLOOKUP(D90,מרכבה!A:K,7,0),"")</f>
        <v>2025</v>
      </c>
      <c r="J90" s="32">
        <f>IFERROR(VLOOKUP(D90,מרכבה!A:K,5,0),"")</f>
        <v>40000415</v>
      </c>
      <c r="K90" s="32">
        <f>IFERROR(VLOOKUP(D90,מרכבה!A:K,4,0),"")</f>
        <v>580064103</v>
      </c>
      <c r="L90" s="32" t="str">
        <f>IFERROR(VLOOKUP(D90,מרכבה!A:K,6,0),"")</f>
        <v>נוער מוסיקלי בישראל</v>
      </c>
      <c r="M90" s="32" t="str">
        <f>IFERROR(VLOOKUP(D90,מרכבה!A:K,2,0),"")</f>
        <v>תזמורת TLV</v>
      </c>
      <c r="N90" s="473">
        <f>IFERROR(VLOOKUP(D90,מרכבה!A:K,8,0),"")</f>
        <v>150000</v>
      </c>
      <c r="O90" s="473">
        <f>IFERROR(VLOOKUP(E90,מרכבה!A:K,9,0),0)</f>
        <v>147540</v>
      </c>
      <c r="P90" s="473">
        <f>'הגבלה לסכום מבוקש (2)'!W90</f>
        <v>95484.981260582776</v>
      </c>
      <c r="Q90" s="474">
        <f t="shared" si="2"/>
        <v>-0.35281970136517027</v>
      </c>
      <c r="R90" s="310" t="s">
        <v>1091</v>
      </c>
      <c r="S90" s="452" t="s">
        <v>399</v>
      </c>
      <c r="T90" s="33">
        <f>'קיזוזים בגין איחורים'!F90</f>
        <v>0</v>
      </c>
      <c r="U90" s="34">
        <f>IF(B90="","",'קיזוזים- החלטות ועדה'!E90)</f>
        <v>0</v>
      </c>
    </row>
    <row r="91" spans="2:21" ht="64.5" customHeight="1" x14ac:dyDescent="0.25">
      <c r="B91" s="31">
        <f t="shared" si="0"/>
        <v>61</v>
      </c>
      <c r="C91" s="32" t="str">
        <f>IF('תנאי סף'!F91="","",'תנאי סף'!F91)</f>
        <v>אנסמבל גליל</v>
      </c>
      <c r="D91" s="346">
        <v>1001911726</v>
      </c>
      <c r="E91" s="346">
        <v>1001779817</v>
      </c>
      <c r="F91" s="453">
        <v>2020</v>
      </c>
      <c r="G91" s="32">
        <f t="shared" si="1"/>
        <v>1</v>
      </c>
      <c r="H91" s="32" t="str">
        <f>IF(IFERROR(VLOOKUP(E91,מרכבה!A:K,4,0),"")=K91,"","no")</f>
        <v/>
      </c>
      <c r="I91" s="32">
        <f>IFERROR(VLOOKUP(D91,מרכבה!A:K,7,0),"")</f>
        <v>2025</v>
      </c>
      <c r="J91" s="32">
        <f>IFERROR(VLOOKUP(D91,מרכבה!A:K,5,0),"")</f>
        <v>42759321</v>
      </c>
      <c r="K91" s="32">
        <f>IFERROR(VLOOKUP(D91,מרכבה!A:K,4,0),"")</f>
        <v>580485340</v>
      </c>
      <c r="L91" s="32" t="str">
        <f>IFERROR(VLOOKUP(D91,מרכבה!A:K,6,0),"")</f>
        <v>העמותה לקידום מצויינות תרבותית בישר</v>
      </c>
      <c r="M91" s="32" t="str">
        <f>IFERROR(VLOOKUP(D91,מרכבה!A:K,2,0),"")</f>
        <v>אנסמבל גליל תמיכה 2025</v>
      </c>
      <c r="N91" s="473">
        <f>IFERROR(VLOOKUP(D91,מרכבה!A:K,8,0),"")</f>
        <v>60000</v>
      </c>
      <c r="O91" s="473">
        <f>IFERROR(VLOOKUP(E91,מרכבה!A:K,9,0),0)</f>
        <v>30000</v>
      </c>
      <c r="P91" s="473">
        <f>'הגבלה לסכום מבוקש (2)'!W91</f>
        <v>59999.999999999978</v>
      </c>
      <c r="Q91" s="474">
        <f t="shared" si="2"/>
        <v>0.99999999999999933</v>
      </c>
      <c r="R91" s="310" t="s">
        <v>1092</v>
      </c>
      <c r="S91" s="452" t="s">
        <v>399</v>
      </c>
      <c r="T91" s="33">
        <f>'קיזוזים בגין איחורים'!F91</f>
        <v>0</v>
      </c>
      <c r="U91" s="34">
        <f>IF(B91="","",'קיזוזים- החלטות ועדה'!E91)</f>
        <v>0</v>
      </c>
    </row>
    <row r="92" spans="2:21" ht="56.25" customHeight="1" x14ac:dyDescent="0.25">
      <c r="B92" s="31">
        <f t="shared" si="0"/>
        <v>62</v>
      </c>
      <c r="C92" s="32" t="str">
        <f>IF('תנאי סף'!F92="","",'תנאי סף'!F92)</f>
        <v>דריה- הרכב אינסטרומנטלי</v>
      </c>
      <c r="D92" s="346">
        <v>1001908697</v>
      </c>
      <c r="E92" s="346">
        <v>1001746404</v>
      </c>
      <c r="F92" s="453">
        <v>2020</v>
      </c>
      <c r="G92" s="32">
        <f t="shared" si="1"/>
        <v>1</v>
      </c>
      <c r="H92" s="32" t="str">
        <f>IF(IFERROR(VLOOKUP(E92,מרכבה!A:K,4,0),"")=K92,"","no")</f>
        <v/>
      </c>
      <c r="I92" s="32">
        <f>IFERROR(VLOOKUP(D92,מרכבה!A:K,7,0),"")</f>
        <v>2025</v>
      </c>
      <c r="J92" s="32">
        <f>IFERROR(VLOOKUP(D92,מרכבה!A:K,5,0),"")</f>
        <v>40221541</v>
      </c>
      <c r="K92" s="32">
        <f>IFERROR(VLOOKUP(D92,מרכבה!A:K,4,0),"")</f>
        <v>580327740</v>
      </c>
      <c r="L92" s="32" t="str">
        <f>IFERROR(VLOOKUP(D92,מרכבה!A:K,6,0),"")</f>
        <v>המרכז למוסיקה ע"ש פיליציה בלומנטל (</v>
      </c>
      <c r="M92" s="32" t="str">
        <f>IFERROR(VLOOKUP(D92,מרכבה!A:K,2,0),"")</f>
        <v>דריה- הרכב אינסטרומנטלי</v>
      </c>
      <c r="N92" s="473">
        <f>IFERROR(VLOOKUP(D92,מרכבה!A:K,8,0),"")</f>
        <v>50000</v>
      </c>
      <c r="O92" s="473">
        <f>IFERROR(VLOOKUP(E92,מרכבה!A:K,9,0),0)</f>
        <v>38215</v>
      </c>
      <c r="P92" s="473">
        <f>'הגבלה לסכום מבוקש (2)'!W92</f>
        <v>43686.952954856002</v>
      </c>
      <c r="Q92" s="474">
        <f t="shared" si="2"/>
        <v>0.14318861585387932</v>
      </c>
      <c r="R92" s="310"/>
      <c r="S92" s="452" t="s">
        <v>399</v>
      </c>
      <c r="T92" s="33">
        <f>'קיזוזים בגין איחורים'!F92</f>
        <v>0</v>
      </c>
      <c r="U92" s="34">
        <f>IF(B92="","",'קיזוזים- החלטות ועדה'!E92)</f>
        <v>0</v>
      </c>
    </row>
    <row r="93" spans="2:21" ht="52.5" customHeight="1" x14ac:dyDescent="0.25">
      <c r="B93" s="31">
        <f t="shared" si="0"/>
        <v>63</v>
      </c>
      <c r="C93" s="32" t="str">
        <f>IF('תנאי סף'!F93="","",'תנאי סף'!F93)</f>
        <v>להקת שלוש</v>
      </c>
      <c r="D93" s="346">
        <v>1001908695</v>
      </c>
      <c r="E93" s="346">
        <v>1001746374</v>
      </c>
      <c r="F93" s="453">
        <v>2020</v>
      </c>
      <c r="G93" s="32">
        <f t="shared" si="1"/>
        <v>1</v>
      </c>
      <c r="H93" s="32" t="str">
        <f>IF(IFERROR(VLOOKUP(E93,מרכבה!A:K,4,0),"")=K93,"","no")</f>
        <v/>
      </c>
      <c r="I93" s="32">
        <f>IFERROR(VLOOKUP(D93,מרכבה!A:K,7,0),"")</f>
        <v>2025</v>
      </c>
      <c r="J93" s="32">
        <f>IFERROR(VLOOKUP(D93,מרכבה!A:K,5,0),"")</f>
        <v>40221541</v>
      </c>
      <c r="K93" s="32">
        <f>IFERROR(VLOOKUP(D93,מרכבה!A:K,4,0),"")</f>
        <v>580327740</v>
      </c>
      <c r="L93" s="32" t="str">
        <f>IFERROR(VLOOKUP(D93,מרכבה!A:K,6,0),"")</f>
        <v>המרכז למוסיקה ע"ש פיליציה בלומנטל (</v>
      </c>
      <c r="M93" s="32" t="str">
        <f>IFERROR(VLOOKUP(D93,מרכבה!A:K,2,0),"")</f>
        <v>להקת שלוש</v>
      </c>
      <c r="N93" s="473">
        <f>IFERROR(VLOOKUP(D93,מרכבה!A:K,8,0),"")</f>
        <v>50000</v>
      </c>
      <c r="O93" s="473">
        <f>IFERROR(VLOOKUP(E93,מרכבה!A:K,9,0),0)</f>
        <v>45000</v>
      </c>
      <c r="P93" s="473">
        <f>'הגבלה לסכום מבוקש (2)'!W93</f>
        <v>49999.999999999985</v>
      </c>
      <c r="Q93" s="474">
        <f t="shared" si="2"/>
        <v>0.11111111111111072</v>
      </c>
      <c r="R93" s="310"/>
      <c r="S93" s="452" t="s">
        <v>399</v>
      </c>
      <c r="T93" s="33">
        <f>'קיזוזים בגין איחורים'!F93</f>
        <v>0</v>
      </c>
      <c r="U93" s="34">
        <f>IF(B93="","",'קיזוזים- החלטות ועדה'!E93)</f>
        <v>0</v>
      </c>
    </row>
    <row r="94" spans="2:21" ht="72" customHeight="1" x14ac:dyDescent="0.25">
      <c r="B94" s="31">
        <f t="shared" si="0"/>
        <v>64</v>
      </c>
      <c r="C94" s="32" t="str">
        <f>IF('תנאי סף'!F94="","",'תנאי סף'!F94)</f>
        <v>רביעיית טוסקאניני</v>
      </c>
      <c r="D94" s="346">
        <v>1001908694</v>
      </c>
      <c r="E94" s="346">
        <v>1001746376</v>
      </c>
      <c r="F94" s="453">
        <v>2020</v>
      </c>
      <c r="G94" s="32">
        <f t="shared" si="1"/>
        <v>1</v>
      </c>
      <c r="H94" s="32" t="str">
        <f>IF(IFERROR(VLOOKUP(E94,מרכבה!A:K,4,0),"")=K94,"","no")</f>
        <v/>
      </c>
      <c r="I94" s="32">
        <f>IFERROR(VLOOKUP(D94,מרכבה!A:K,7,0),"")</f>
        <v>2025</v>
      </c>
      <c r="J94" s="32">
        <f>IFERROR(VLOOKUP(D94,מרכבה!A:K,5,0),"")</f>
        <v>40221541</v>
      </c>
      <c r="K94" s="32">
        <f>IFERROR(VLOOKUP(D94,מרכבה!A:K,4,0),"")</f>
        <v>580327740</v>
      </c>
      <c r="L94" s="32" t="str">
        <f>IFERROR(VLOOKUP(D94,מרכבה!A:K,6,0),"")</f>
        <v>המרכז למוסיקה ע"ש פיליציה בלומנטל (</v>
      </c>
      <c r="M94" s="32" t="str">
        <f>IFERROR(VLOOKUP(D94,מרכבה!A:K,2,0),"")</f>
        <v>רביעיית טוסקאניני</v>
      </c>
      <c r="N94" s="473">
        <f>IFERROR(VLOOKUP(D94,מרכבה!A:K,8,0),"")</f>
        <v>50000</v>
      </c>
      <c r="O94" s="473">
        <f>IFERROR(VLOOKUP(E94,מרכבה!A:K,9,0),0)</f>
        <v>33881</v>
      </c>
      <c r="P94" s="473">
        <f>'הגבלה לסכום מבוקש (2)'!W94</f>
        <v>38362.134176260908</v>
      </c>
      <c r="Q94" s="474">
        <f t="shared" si="2"/>
        <v>0.13226097742867404</v>
      </c>
      <c r="R94" s="310"/>
      <c r="S94" s="452" t="s">
        <v>399</v>
      </c>
      <c r="T94" s="33">
        <f>'קיזוזים בגין איחורים'!F94</f>
        <v>0</v>
      </c>
      <c r="U94" s="34">
        <f>IF(B94="","",'קיזוזים- החלטות ועדה'!E94)</f>
        <v>0</v>
      </c>
    </row>
    <row r="95" spans="2:21" ht="57.75" customHeight="1" x14ac:dyDescent="0.25">
      <c r="B95" s="31">
        <f t="shared" si="0"/>
        <v>65</v>
      </c>
      <c r="C95" s="32" t="str">
        <f>IF('תנאי סף'!F95="","",'תנאי סף'!F95)</f>
        <v>תקוע-קבוצה מוזיקלית - 'דאפה' 2024</v>
      </c>
      <c r="D95" s="346">
        <v>1001907813</v>
      </c>
      <c r="E95" s="346">
        <v>1001722838</v>
      </c>
      <c r="F95" s="453">
        <v>2020</v>
      </c>
      <c r="G95" s="32">
        <f t="shared" si="1"/>
        <v>1</v>
      </c>
      <c r="H95" s="32" t="str">
        <f>IF(IFERROR(VLOOKUP(E95,מרכבה!A:K,4,0),"")=K95,"","no")</f>
        <v/>
      </c>
      <c r="I95" s="32">
        <f>IFERROR(VLOOKUP(D95,מרכבה!A:K,7,0),"")</f>
        <v>2025</v>
      </c>
      <c r="J95" s="32">
        <f>IFERROR(VLOOKUP(D95,מרכבה!A:K,5,0),"")</f>
        <v>42446743</v>
      </c>
      <c r="K95" s="32">
        <f>IFERROR(VLOOKUP(D95,מרכבה!A:K,4,0),"")</f>
        <v>580695484</v>
      </c>
      <c r="L95" s="32" t="str">
        <f>IFERROR(VLOOKUP(D95,מרכבה!A:K,6,0),"")</f>
        <v>עמותה לקידום התרבות והאמנות תקוע (ע</v>
      </c>
      <c r="M95" s="32" t="str">
        <f>IFERROR(VLOOKUP(D95,מרכבה!A:K,2,0),"")</f>
        <v>עמותת תקוע- קבוצת מוסיקה 2025</v>
      </c>
      <c r="N95" s="473">
        <f>IFERROR(VLOOKUP(D95,מרכבה!A:K,8,0),"")</f>
        <v>350000</v>
      </c>
      <c r="O95" s="473">
        <f>IFERROR(VLOOKUP(E95,מרכבה!A:K,9,0),0)</f>
        <v>85846</v>
      </c>
      <c r="P95" s="473">
        <f>'הגבלה לסכום מבוקש (2)'!W95</f>
        <v>104841.10811467087</v>
      </c>
      <c r="Q95" s="474">
        <f t="shared" si="2"/>
        <v>0.22126957708770201</v>
      </c>
      <c r="R95" s="310" t="s">
        <v>1089</v>
      </c>
      <c r="S95" s="452" t="s">
        <v>399</v>
      </c>
      <c r="T95" s="33">
        <f>'קיזוזים בגין איחורים'!F95</f>
        <v>0</v>
      </c>
      <c r="U95" s="34">
        <f>IF(B95="","",'קיזוזים- החלטות ועדה'!E95)</f>
        <v>0</v>
      </c>
    </row>
    <row r="96" spans="2:21" ht="52.5" customHeight="1" x14ac:dyDescent="0.25">
      <c r="B96" s="31">
        <f t="shared" ref="B96:B130" si="3">IF(C96="","",ROW()-30)</f>
        <v>66</v>
      </c>
      <c r="C96" s="32" t="str">
        <f>IF('תנאי סף'!F96="","",'תנאי סף'!F96)</f>
        <v>טריו בן חיים</v>
      </c>
      <c r="D96" s="346">
        <v>1001908686</v>
      </c>
      <c r="E96" s="346">
        <v>1001746401</v>
      </c>
      <c r="F96" s="453">
        <v>2020</v>
      </c>
      <c r="G96" s="32">
        <f t="shared" ref="G96:G130" si="4">IF(C96="","",IF($C$1&gt;(F96+3),1,0))</f>
        <v>1</v>
      </c>
      <c r="H96" s="32" t="str">
        <f>IF(IFERROR(VLOOKUP(E96,מרכבה!A:K,4,0),"")=K96,"","no")</f>
        <v/>
      </c>
      <c r="I96" s="32">
        <f>IFERROR(VLOOKUP(D96,מרכבה!A:K,7,0),"")</f>
        <v>2025</v>
      </c>
      <c r="J96" s="32">
        <f>IFERROR(VLOOKUP(D96,מרכבה!A:K,5,0),"")</f>
        <v>40221541</v>
      </c>
      <c r="K96" s="32">
        <f>IFERROR(VLOOKUP(D96,מרכבה!A:K,4,0),"")</f>
        <v>580327740</v>
      </c>
      <c r="L96" s="32" t="str">
        <f>IFERROR(VLOOKUP(D96,מרכבה!A:K,6,0),"")</f>
        <v>המרכז למוסיקה ע"ש פיליציה בלומנטל (</v>
      </c>
      <c r="M96" s="32" t="str">
        <f>IFERROR(VLOOKUP(D96,מרכבה!A:K,2,0),"")</f>
        <v>טריו בן חיים</v>
      </c>
      <c r="N96" s="473">
        <f>IFERROR(VLOOKUP(D96,מרכבה!A:K,8,0),"")</f>
        <v>55000</v>
      </c>
      <c r="O96" s="473">
        <f>IFERROR(VLOOKUP(E96,מרכבה!A:K,9,0),0)</f>
        <v>47983</v>
      </c>
      <c r="P96" s="473">
        <f>'הגבלה לסכום מבוקש (2)'!W96</f>
        <v>44394.089758849455</v>
      </c>
      <c r="Q96" s="474">
        <f t="shared" ref="Q96:Q130" si="5">IFERROR(P96/O96-1,"")</f>
        <v>-7.4795453413720403E-2</v>
      </c>
      <c r="R96" s="310"/>
      <c r="S96" s="357" t="s">
        <v>1083</v>
      </c>
      <c r="T96" s="33">
        <f>'קיזוזים בגין איחורים'!F96</f>
        <v>0</v>
      </c>
      <c r="U96" s="34">
        <f>IF(B96="","",'קיזוזים- החלטות ועדה'!E96)</f>
        <v>0</v>
      </c>
    </row>
    <row r="97" spans="2:21" ht="46.5" hidden="1" customHeight="1" x14ac:dyDescent="0.25">
      <c r="B97" s="31" t="str">
        <f t="shared" si="3"/>
        <v/>
      </c>
      <c r="C97" s="32" t="str">
        <f>IF('תנאי סף'!F97="","",'תנאי סף'!F97)</f>
        <v/>
      </c>
      <c r="D97" s="346"/>
      <c r="E97" s="346"/>
      <c r="F97" s="453"/>
      <c r="G97" s="32" t="str">
        <f t="shared" si="4"/>
        <v/>
      </c>
      <c r="H97" s="32" t="str">
        <f>IF(IFERROR(VLOOKUP(E97,מרכבה!A:K,4,0),"")=K97,"","no")</f>
        <v/>
      </c>
      <c r="I97" s="32" t="str">
        <f>IFERROR(VLOOKUP(D97,מרכבה!A:K,7,0),"")</f>
        <v/>
      </c>
      <c r="J97" s="32" t="str">
        <f>IFERROR(VLOOKUP(D97,מרכבה!A:K,5,0),"")</f>
        <v/>
      </c>
      <c r="K97" s="32" t="str">
        <f>IFERROR(VLOOKUP(D97,מרכבה!A:K,4,0),"")</f>
        <v/>
      </c>
      <c r="L97" s="32" t="str">
        <f>IFERROR(VLOOKUP(D97,מרכבה!A:K,6,0),"")</f>
        <v/>
      </c>
      <c r="M97" s="32" t="str">
        <f>IFERROR(VLOOKUP(D97,מרכבה!A:K,2,0),"")</f>
        <v/>
      </c>
      <c r="N97" s="473" t="str">
        <f>IFERROR(VLOOKUP(D97,מרכבה!A:K,8,0),"")</f>
        <v/>
      </c>
      <c r="O97" s="473">
        <f>IFERROR(VLOOKUP(E97,מרכבה!A:K,9,0),0)</f>
        <v>0</v>
      </c>
      <c r="P97" s="473" t="str">
        <f>'הגבלה לסכום מבוקש (2)'!W97</f>
        <v/>
      </c>
      <c r="Q97" s="474" t="str">
        <f t="shared" si="5"/>
        <v/>
      </c>
      <c r="R97" s="310"/>
      <c r="S97" s="452"/>
      <c r="T97" s="33" t="str">
        <f>'קיזוזים בגין איחורים'!F97</f>
        <v/>
      </c>
      <c r="U97" s="34" t="str">
        <f>IF(B97="","",'קיזוזים- החלטות ועדה'!E97)</f>
        <v/>
      </c>
    </row>
    <row r="98" spans="2:21" ht="61.5" customHeight="1" x14ac:dyDescent="0.25">
      <c r="B98" s="31">
        <f t="shared" si="3"/>
        <v>68</v>
      </c>
      <c r="C98" s="32" t="str">
        <f>IF('תנאי סף'!F98="","",'תנאי סף'!F98)</f>
        <v>אמיתי אריכא והפרויקט D1</v>
      </c>
      <c r="D98" s="346">
        <v>1001910564</v>
      </c>
      <c r="E98" s="346">
        <v>1001746403</v>
      </c>
      <c r="F98" s="453">
        <v>2020</v>
      </c>
      <c r="G98" s="32">
        <f t="shared" si="4"/>
        <v>1</v>
      </c>
      <c r="H98" s="32" t="str">
        <f>IF(IFERROR(VLOOKUP(E98,מרכבה!A:K,4,0),"")=K98,"","no")</f>
        <v/>
      </c>
      <c r="I98" s="32">
        <f>IFERROR(VLOOKUP(D98,מרכבה!A:K,7,0),"")</f>
        <v>2025</v>
      </c>
      <c r="J98" s="32">
        <f>IFERROR(VLOOKUP(D98,מרכבה!A:K,5,0),"")</f>
        <v>40221541</v>
      </c>
      <c r="K98" s="32">
        <f>IFERROR(VLOOKUP(D98,מרכבה!A:K,4,0),"")</f>
        <v>580327740</v>
      </c>
      <c r="L98" s="32" t="str">
        <f>IFERROR(VLOOKUP(D98,מרכבה!A:K,6,0),"")</f>
        <v>המרכז למוסיקה ע"ש פיליציה בלומנטל (</v>
      </c>
      <c r="M98" s="32" t="str">
        <f>IFERROR(VLOOKUP(D98,מרכבה!A:K,2,0),"")</f>
        <v>אמיתי אריכא והפרויקט D1</v>
      </c>
      <c r="N98" s="473">
        <f>IFERROR(VLOOKUP(D98,מרכבה!A:K,8,0),"")</f>
        <v>45000</v>
      </c>
      <c r="O98" s="473">
        <f>IFERROR(VLOOKUP(E98,מרכבה!A:K,9,0),0)</f>
        <v>33612</v>
      </c>
      <c r="P98" s="473">
        <f>'הגבלה לסכום מבוקש (2)'!W98</f>
        <v>44999.999999999978</v>
      </c>
      <c r="Q98" s="474">
        <f t="shared" si="5"/>
        <v>0.33880756872545459</v>
      </c>
      <c r="R98" s="310" t="s">
        <v>1089</v>
      </c>
      <c r="S98" s="452" t="s">
        <v>399</v>
      </c>
      <c r="T98" s="33">
        <f>'קיזוזים בגין איחורים'!F98</f>
        <v>0</v>
      </c>
      <c r="U98" s="34">
        <f>IF(B98="","",'קיזוזים- החלטות ועדה'!E98)</f>
        <v>0</v>
      </c>
    </row>
    <row r="99" spans="2:21" ht="48.75" hidden="1" customHeight="1" x14ac:dyDescent="0.25">
      <c r="B99" s="31" t="str">
        <f t="shared" si="3"/>
        <v/>
      </c>
      <c r="C99" s="32" t="str">
        <f>IF('תנאי סף'!F99="","",'תנאי סף'!F99)</f>
        <v/>
      </c>
      <c r="D99" s="346"/>
      <c r="E99" s="346"/>
      <c r="F99" s="453"/>
      <c r="G99" s="32" t="str">
        <f t="shared" si="4"/>
        <v/>
      </c>
      <c r="H99" s="32" t="str">
        <f>IF(IFERROR(VLOOKUP(E99,מרכבה!A:K,4,0),"")=K99,"","no")</f>
        <v/>
      </c>
      <c r="I99" s="32" t="str">
        <f>IFERROR(VLOOKUP(D99,מרכבה!A:K,7,0),"")</f>
        <v/>
      </c>
      <c r="J99" s="32" t="str">
        <f>IFERROR(VLOOKUP(D99,מרכבה!A:K,5,0),"")</f>
        <v/>
      </c>
      <c r="K99" s="32" t="str">
        <f>IFERROR(VLOOKUP(D99,מרכבה!A:K,4,0),"")</f>
        <v/>
      </c>
      <c r="L99" s="32" t="str">
        <f>IFERROR(VLOOKUP(D99,מרכבה!A:K,6,0),"")</f>
        <v/>
      </c>
      <c r="M99" s="32" t="str">
        <f>IFERROR(VLOOKUP(D99,מרכבה!A:K,2,0),"")</f>
        <v/>
      </c>
      <c r="N99" s="473" t="str">
        <f>IFERROR(VLOOKUP(D99,מרכבה!A:K,8,0),"")</f>
        <v/>
      </c>
      <c r="O99" s="473">
        <f>IFERROR(VLOOKUP(E99,מרכבה!A:K,9,0),0)</f>
        <v>0</v>
      </c>
      <c r="P99" s="473" t="str">
        <f>'הגבלה לסכום מבוקש (2)'!W99</f>
        <v/>
      </c>
      <c r="Q99" s="474" t="str">
        <f t="shared" si="5"/>
        <v/>
      </c>
      <c r="R99" s="310"/>
      <c r="S99" s="309"/>
      <c r="T99" s="33" t="str">
        <f>'קיזוזים בגין איחורים'!F99</f>
        <v/>
      </c>
      <c r="U99" s="34" t="str">
        <f>IF(B99="","",'קיזוזים- החלטות ועדה'!E99)</f>
        <v/>
      </c>
    </row>
    <row r="100" spans="2:21" ht="51.75" hidden="1" customHeight="1" x14ac:dyDescent="0.25">
      <c r="B100" s="31" t="str">
        <f t="shared" si="3"/>
        <v/>
      </c>
      <c r="C100" s="32" t="str">
        <f>IF('תנאי סף'!F100="","",'תנאי סף'!F100)</f>
        <v/>
      </c>
      <c r="D100" s="346"/>
      <c r="E100" s="346"/>
      <c r="F100" s="453"/>
      <c r="G100" s="32" t="str">
        <f t="shared" si="4"/>
        <v/>
      </c>
      <c r="H100" s="32" t="str">
        <f>IF(IFERROR(VLOOKUP(E100,מרכבה!A:K,4,0),"")=K100,"","no")</f>
        <v/>
      </c>
      <c r="I100" s="32" t="str">
        <f>IFERROR(VLOOKUP(D100,מרכבה!A:K,7,0),"")</f>
        <v/>
      </c>
      <c r="J100" s="32" t="str">
        <f>IFERROR(VLOOKUP(D100,מרכבה!A:K,5,0),"")</f>
        <v/>
      </c>
      <c r="K100" s="32" t="str">
        <f>IFERROR(VLOOKUP(D100,מרכבה!A:K,4,0),"")</f>
        <v/>
      </c>
      <c r="L100" s="32" t="str">
        <f>IFERROR(VLOOKUP(D100,מרכבה!A:K,6,0),"")</f>
        <v/>
      </c>
      <c r="M100" s="32" t="str">
        <f>IFERROR(VLOOKUP(D100,מרכבה!A:K,2,0),"")</f>
        <v/>
      </c>
      <c r="N100" s="473" t="str">
        <f>IFERROR(VLOOKUP(D100,מרכבה!A:K,8,0),"")</f>
        <v/>
      </c>
      <c r="O100" s="473">
        <f>IFERROR(VLOOKUP(E100,מרכבה!A:K,9,0),0)</f>
        <v>0</v>
      </c>
      <c r="P100" s="473" t="str">
        <f>'הגבלה לסכום מבוקש (2)'!W100</f>
        <v/>
      </c>
      <c r="Q100" s="474" t="str">
        <f t="shared" si="5"/>
        <v/>
      </c>
      <c r="R100" s="310"/>
      <c r="S100" s="309"/>
      <c r="T100" s="33" t="str">
        <f>'קיזוזים בגין איחורים'!F100</f>
        <v/>
      </c>
      <c r="U100" s="34" t="str">
        <f>IF(B100="","",'קיזוזים- החלטות ועדה'!E100)</f>
        <v/>
      </c>
    </row>
    <row r="101" spans="2:21" ht="50.25" hidden="1" customHeight="1" x14ac:dyDescent="0.25">
      <c r="B101" s="31" t="str">
        <f t="shared" si="3"/>
        <v/>
      </c>
      <c r="C101" s="32" t="str">
        <f>IF('תנאי סף'!F101="","",'תנאי סף'!F101)</f>
        <v/>
      </c>
      <c r="D101" s="346"/>
      <c r="E101" s="346"/>
      <c r="F101" s="453"/>
      <c r="G101" s="32" t="str">
        <f t="shared" si="4"/>
        <v/>
      </c>
      <c r="H101" s="32" t="str">
        <f>IF(IFERROR(VLOOKUP(E101,מרכבה!A:K,4,0),"")=K101,"","no")</f>
        <v/>
      </c>
      <c r="I101" s="32" t="str">
        <f>IFERROR(VLOOKUP(D101,מרכבה!A:K,7,0),"")</f>
        <v/>
      </c>
      <c r="J101" s="32" t="str">
        <f>IFERROR(VLOOKUP(D101,מרכבה!A:K,5,0),"")</f>
        <v/>
      </c>
      <c r="K101" s="32" t="str">
        <f>IFERROR(VLOOKUP(D101,מרכבה!A:K,4,0),"")</f>
        <v/>
      </c>
      <c r="L101" s="32" t="str">
        <f>IFERROR(VLOOKUP(D101,מרכבה!A:K,6,0),"")</f>
        <v/>
      </c>
      <c r="M101" s="32" t="str">
        <f>IFERROR(VLOOKUP(D101,מרכבה!A:K,2,0),"")</f>
        <v/>
      </c>
      <c r="N101" s="473" t="str">
        <f>IFERROR(VLOOKUP(D101,מרכבה!A:K,8,0),"")</f>
        <v/>
      </c>
      <c r="O101" s="473">
        <f>IFERROR(VLOOKUP(E101,מרכבה!A:K,9,0),0)</f>
        <v>0</v>
      </c>
      <c r="P101" s="473" t="str">
        <f>'הגבלה לסכום מבוקש (2)'!W101</f>
        <v/>
      </c>
      <c r="Q101" s="474" t="str">
        <f t="shared" si="5"/>
        <v/>
      </c>
      <c r="R101" s="310"/>
      <c r="S101" s="309"/>
      <c r="T101" s="33" t="str">
        <f>'קיזוזים בגין איחורים'!F101</f>
        <v/>
      </c>
      <c r="U101" s="34" t="str">
        <f>IF(B101="","",'קיזוזים- החלטות ועדה'!E101)</f>
        <v/>
      </c>
    </row>
    <row r="102" spans="2:21" ht="48" hidden="1" customHeight="1" x14ac:dyDescent="0.25">
      <c r="B102" s="31" t="str">
        <f t="shared" si="3"/>
        <v/>
      </c>
      <c r="C102" s="32" t="str">
        <f>IF('תנאי סף'!F102="","",'תנאי סף'!F102)</f>
        <v/>
      </c>
      <c r="D102" s="346"/>
      <c r="E102" s="346"/>
      <c r="F102" s="453"/>
      <c r="G102" s="32" t="str">
        <f t="shared" si="4"/>
        <v/>
      </c>
      <c r="H102" s="32" t="str">
        <f>IF(IFERROR(VLOOKUP(E102,מרכבה!A:K,4,0),"")=K102,"","no")</f>
        <v/>
      </c>
      <c r="I102" s="32" t="str">
        <f>IFERROR(VLOOKUP(D102,מרכבה!A:K,7,0),"")</f>
        <v/>
      </c>
      <c r="J102" s="32" t="str">
        <f>IFERROR(VLOOKUP(D102,מרכבה!A:K,5,0),"")</f>
        <v/>
      </c>
      <c r="K102" s="32" t="str">
        <f>IFERROR(VLOOKUP(D102,מרכבה!A:K,4,0),"")</f>
        <v/>
      </c>
      <c r="L102" s="32" t="str">
        <f>IFERROR(VLOOKUP(D102,מרכבה!A:K,6,0),"")</f>
        <v/>
      </c>
      <c r="M102" s="32" t="str">
        <f>IFERROR(VLOOKUP(D102,מרכבה!A:K,2,0),"")</f>
        <v/>
      </c>
      <c r="N102" s="473" t="str">
        <f>IFERROR(VLOOKUP(D102,מרכבה!A:K,8,0),"")</f>
        <v/>
      </c>
      <c r="O102" s="473">
        <f>IFERROR(VLOOKUP(E102,מרכבה!A:K,9,0),0)</f>
        <v>0</v>
      </c>
      <c r="P102" s="473" t="str">
        <f>'הגבלה לסכום מבוקש (2)'!W102</f>
        <v/>
      </c>
      <c r="Q102" s="474" t="str">
        <f t="shared" si="5"/>
        <v/>
      </c>
      <c r="R102" s="310"/>
      <c r="S102" s="309"/>
      <c r="T102" s="33" t="str">
        <f>'קיזוזים בגין איחורים'!F102</f>
        <v/>
      </c>
      <c r="U102" s="34" t="str">
        <f>IF(B102="","",'קיזוזים- החלטות ועדה'!E102)</f>
        <v/>
      </c>
    </row>
    <row r="103" spans="2:21" ht="42.75" hidden="1" customHeight="1" x14ac:dyDescent="0.25">
      <c r="B103" s="31" t="str">
        <f t="shared" si="3"/>
        <v/>
      </c>
      <c r="C103" s="32" t="str">
        <f>IF('תנאי סף'!F103="","",'תנאי סף'!F103)</f>
        <v/>
      </c>
      <c r="D103" s="346"/>
      <c r="E103" s="346"/>
      <c r="F103" s="453"/>
      <c r="G103" s="32" t="str">
        <f t="shared" si="4"/>
        <v/>
      </c>
      <c r="H103" s="32" t="str">
        <f>IF(IFERROR(VLOOKUP(E103,מרכבה!A:K,4,0),"")=K103,"","no")</f>
        <v/>
      </c>
      <c r="I103" s="32" t="str">
        <f>IFERROR(VLOOKUP(D103,מרכבה!A:K,7,0),"")</f>
        <v/>
      </c>
      <c r="J103" s="32" t="str">
        <f>IFERROR(VLOOKUP(D103,מרכבה!A:K,5,0),"")</f>
        <v/>
      </c>
      <c r="K103" s="32" t="str">
        <f>IFERROR(VLOOKUP(D103,מרכבה!A:K,4,0),"")</f>
        <v/>
      </c>
      <c r="L103" s="32" t="str">
        <f>IFERROR(VLOOKUP(D103,מרכבה!A:K,6,0),"")</f>
        <v/>
      </c>
      <c r="M103" s="32" t="str">
        <f>IFERROR(VLOOKUP(D103,מרכבה!A:K,2,0),"")</f>
        <v/>
      </c>
      <c r="N103" s="473" t="str">
        <f>IFERROR(VLOOKUP(D103,מרכבה!A:K,8,0),"")</f>
        <v/>
      </c>
      <c r="O103" s="473">
        <f>IFERROR(VLOOKUP(E103,מרכבה!A:K,9,0),0)</f>
        <v>0</v>
      </c>
      <c r="P103" s="473" t="str">
        <f>'הגבלה לסכום מבוקש (2)'!W103</f>
        <v/>
      </c>
      <c r="Q103" s="474" t="str">
        <f t="shared" si="5"/>
        <v/>
      </c>
      <c r="R103" s="310"/>
      <c r="S103" s="309"/>
      <c r="T103" s="33" t="str">
        <f>'קיזוזים בגין איחורים'!F103</f>
        <v/>
      </c>
      <c r="U103" s="34" t="str">
        <f>IF(B103="","",'קיזוזים- החלטות ועדה'!E103)</f>
        <v/>
      </c>
    </row>
    <row r="104" spans="2:21" ht="17.25" hidden="1" customHeight="1" x14ac:dyDescent="0.25">
      <c r="B104" s="31" t="str">
        <f t="shared" si="3"/>
        <v/>
      </c>
      <c r="C104" s="32" t="str">
        <f>IF('תנאי סף'!F104="","",'תנאי סף'!F104)</f>
        <v/>
      </c>
      <c r="D104" s="346"/>
      <c r="E104" s="346"/>
      <c r="F104" s="453"/>
      <c r="G104" s="32" t="str">
        <f t="shared" si="4"/>
        <v/>
      </c>
      <c r="H104" s="32" t="str">
        <f>IF(IFERROR(VLOOKUP(E104,מרכבה!A:K,4,0),"")=K104,"","no")</f>
        <v/>
      </c>
      <c r="I104" s="32" t="str">
        <f>IFERROR(VLOOKUP(D104,מרכבה!A:K,7,0),"")</f>
        <v/>
      </c>
      <c r="J104" s="32" t="str">
        <f>IFERROR(VLOOKUP(D104,מרכבה!A:K,5,0),"")</f>
        <v/>
      </c>
      <c r="K104" s="32" t="str">
        <f>IFERROR(VLOOKUP(D104,מרכבה!A:K,4,0),"")</f>
        <v/>
      </c>
      <c r="L104" s="32" t="str">
        <f>IFERROR(VLOOKUP(D104,מרכבה!A:K,6,0),"")</f>
        <v/>
      </c>
      <c r="M104" s="32" t="str">
        <f>IFERROR(VLOOKUP(D104,מרכבה!A:K,2,0),"")</f>
        <v/>
      </c>
      <c r="N104" s="473" t="str">
        <f>IFERROR(VLOOKUP(D104,מרכבה!A:K,8,0),"")</f>
        <v/>
      </c>
      <c r="O104" s="473">
        <f>IFERROR(VLOOKUP(E104,מרכבה!A:K,9,0),0)</f>
        <v>0</v>
      </c>
      <c r="P104" s="473" t="str">
        <f>'הגבלה לסכום מבוקש (2)'!W104</f>
        <v/>
      </c>
      <c r="Q104" s="474" t="str">
        <f t="shared" si="5"/>
        <v/>
      </c>
      <c r="R104" s="310"/>
      <c r="S104" s="309"/>
      <c r="T104" s="33" t="str">
        <f>'קיזוזים בגין איחורים'!F104</f>
        <v/>
      </c>
      <c r="U104" s="34" t="str">
        <f>IF(B104="","",'קיזוזים- החלטות ועדה'!E104)</f>
        <v/>
      </c>
    </row>
    <row r="105" spans="2:21" ht="31.5" x14ac:dyDescent="0.25">
      <c r="B105" s="31">
        <f t="shared" si="3"/>
        <v>75</v>
      </c>
      <c r="C105" s="32" t="str">
        <f>IF('תנאי סף'!F105="","",'תנאי סף'!F105)</f>
        <v>לבונטין 7</v>
      </c>
      <c r="D105" s="346">
        <v>1001908365</v>
      </c>
      <c r="E105" s="346"/>
      <c r="F105" s="453">
        <v>2020</v>
      </c>
      <c r="G105" s="32">
        <f t="shared" si="4"/>
        <v>1</v>
      </c>
      <c r="H105" s="32" t="str">
        <f>IF(IFERROR(VLOOKUP(E105,מרכבה!A:K,4,0),"")=K105,"","no")</f>
        <v>no</v>
      </c>
      <c r="I105" s="32">
        <f>IFERROR(VLOOKUP(D105,מרכבה!A:K,7,0),"")</f>
        <v>2025</v>
      </c>
      <c r="J105" s="32">
        <f>IFERROR(VLOOKUP(D105,מרכבה!A:K,5,0),"")</f>
        <v>41103047</v>
      </c>
      <c r="K105" s="32">
        <f>IFERROR(VLOOKUP(D105,מרכבה!A:K,4,0),"")</f>
        <v>580455939</v>
      </c>
      <c r="L105" s="32" t="str">
        <f>IFERROR(VLOOKUP(D105,מרכבה!A:K,6,0),"")</f>
        <v>א.מ.א. - אומנות מקורית אלטרנטיבית (</v>
      </c>
      <c r="M105" s="32" t="str">
        <f>IFERROR(VLOOKUP(D105,מרכבה!A:K,2,0),"")</f>
        <v>קולקטיב מחר</v>
      </c>
      <c r="N105" s="473">
        <f>IFERROR(VLOOKUP(D105,מרכבה!A:K,8,0),"")</f>
        <v>100000</v>
      </c>
      <c r="O105" s="473">
        <f>IFERROR(VLOOKUP(E105,מרכבה!A:K,9,0),0)</f>
        <v>0</v>
      </c>
      <c r="P105" s="473">
        <f>'הגבלה לסכום מבוקש (2)'!W105</f>
        <v>74924.348521178807</v>
      </c>
      <c r="Q105" s="474" t="str">
        <f t="shared" si="5"/>
        <v/>
      </c>
      <c r="R105" s="310" t="s">
        <v>1087</v>
      </c>
      <c r="S105" s="452" t="s">
        <v>1093</v>
      </c>
      <c r="T105" s="33">
        <f>'קיזוזים בגין איחורים'!F105</f>
        <v>0</v>
      </c>
      <c r="U105" s="34">
        <f>IF(B105="","",'קיזוזים- החלטות ועדה'!E105)</f>
        <v>0</v>
      </c>
    </row>
    <row r="106" spans="2:21" ht="31.5" x14ac:dyDescent="0.25">
      <c r="B106" s="31">
        <f t="shared" si="3"/>
        <v>76</v>
      </c>
      <c r="C106" s="32" t="str">
        <f>IF('תנאי סף'!F106="","",'תנאי סף'!F106)</f>
        <v>מולטי פיאנו- פליציה בלומנטל</v>
      </c>
      <c r="D106" s="346">
        <v>1001908699</v>
      </c>
      <c r="E106" s="346"/>
      <c r="F106" s="453">
        <v>2020</v>
      </c>
      <c r="G106" s="32">
        <f t="shared" si="4"/>
        <v>1</v>
      </c>
      <c r="H106" s="32" t="str">
        <f>IF(IFERROR(VLOOKUP(E106,מרכבה!A:K,4,0),"")=K106,"","no")</f>
        <v>no</v>
      </c>
      <c r="I106" s="32">
        <f>IFERROR(VLOOKUP(D106,מרכבה!A:K,7,0),"")</f>
        <v>2025</v>
      </c>
      <c r="J106" s="32">
        <f>IFERROR(VLOOKUP(D106,מרכבה!A:K,5,0),"")</f>
        <v>40221541</v>
      </c>
      <c r="K106" s="32">
        <f>IFERROR(VLOOKUP(D106,מרכבה!A:K,4,0),"")</f>
        <v>580327740</v>
      </c>
      <c r="L106" s="32" t="str">
        <f>IFERROR(VLOOKUP(D106,מרכבה!A:K,6,0),"")</f>
        <v>המרכז למוסיקה ע"ש פיליציה בלומנטל (</v>
      </c>
      <c r="M106" s="32" t="str">
        <f>IFERROR(VLOOKUP(D106,מרכבה!A:K,2,0),"")</f>
        <v>אנסמבל מולטיפיאנו</v>
      </c>
      <c r="N106" s="473">
        <f>IFERROR(VLOOKUP(D106,מרכבה!A:K,8,0),"")</f>
        <v>75000</v>
      </c>
      <c r="O106" s="473">
        <f>IFERROR(VLOOKUP(E106,מרכבה!A:K,9,0),0)</f>
        <v>0</v>
      </c>
      <c r="P106" s="473">
        <f>'הגבלה לסכום מבוקש (2)'!W106</f>
        <v>54445.873871104297</v>
      </c>
      <c r="Q106" s="474" t="str">
        <f t="shared" si="5"/>
        <v/>
      </c>
      <c r="R106" s="310" t="s">
        <v>1087</v>
      </c>
      <c r="S106" s="452" t="s">
        <v>1094</v>
      </c>
      <c r="T106" s="33">
        <f>'קיזוזים בגין איחורים'!F106</f>
        <v>0</v>
      </c>
      <c r="U106" s="34">
        <f>IF(B106="","",'קיזוזים- החלטות ועדה'!E106)</f>
        <v>0</v>
      </c>
    </row>
    <row r="107" spans="2:21" ht="47.25" x14ac:dyDescent="0.25">
      <c r="B107" s="31">
        <f t="shared" si="3"/>
        <v>77</v>
      </c>
      <c r="C107" s="32" t="str">
        <f>IF('תנאי סף'!F107="","",'תנאי סף'!F107)</f>
        <v>ארמון בזמן - העמותה לתרבות רב תחומית</v>
      </c>
      <c r="D107" s="346">
        <v>1001907984</v>
      </c>
      <c r="E107" s="346">
        <v>1001735322</v>
      </c>
      <c r="F107" s="453">
        <v>2020</v>
      </c>
      <c r="G107" s="32">
        <f t="shared" si="4"/>
        <v>1</v>
      </c>
      <c r="H107" s="32" t="str">
        <f>IF(IFERROR(VLOOKUP(E107,מרכבה!A:K,4,0),"")=K107,"","no")</f>
        <v>no</v>
      </c>
      <c r="I107" s="32">
        <f>IFERROR(VLOOKUP(D107,מרכבה!A:K,7,0),"")</f>
        <v>2025</v>
      </c>
      <c r="J107" s="32">
        <f>IFERROR(VLOOKUP(D107,מרכבה!A:K,5,0),"")</f>
        <v>42864722</v>
      </c>
      <c r="K107" s="32">
        <f>IFERROR(VLOOKUP(D107,מרכבה!A:K,4,0),"")</f>
        <v>580774149</v>
      </c>
      <c r="L107" s="32" t="str">
        <f>IFERROR(VLOOKUP(D107,מרכבה!A:K,6,0),"")</f>
        <v>העמותה לאמנות רב תחומית (ע"ר)</v>
      </c>
      <c r="M107" s="32" t="str">
        <f>IFERROR(VLOOKUP(D107,מרכבה!A:K,2,0),"")</f>
        <v>אמנות רב תחומית- קבוצות מוסקה 2025</v>
      </c>
      <c r="N107" s="473">
        <f>IFERROR(VLOOKUP(D107,מרכבה!A:K,8,0),"")</f>
        <v>300000</v>
      </c>
      <c r="O107" s="473">
        <f>IFERROR(VLOOKUP(E107,מרכבה!A:K,9,0),0)</f>
        <v>65924</v>
      </c>
      <c r="P107" s="473">
        <f>'הגבלה לסכום מבוקש (2)'!W107</f>
        <v>74648.657273345365</v>
      </c>
      <c r="Q107" s="474">
        <f t="shared" si="5"/>
        <v>0.13234417318951164</v>
      </c>
      <c r="R107" s="310"/>
      <c r="S107" s="357" t="s">
        <v>1098</v>
      </c>
      <c r="T107" s="33">
        <f>'קיזוזים בגין איחורים'!F107</f>
        <v>0</v>
      </c>
      <c r="U107" s="34">
        <f>IF(B107="","",'קיזוזים- החלטות ועדה'!E107)</f>
        <v>0</v>
      </c>
    </row>
    <row r="108" spans="2:21" ht="28.5" hidden="1" customHeight="1" x14ac:dyDescent="0.25">
      <c r="B108" s="31" t="str">
        <f t="shared" si="3"/>
        <v/>
      </c>
      <c r="C108" s="32" t="str">
        <f>IF('תנאי סף'!F108="","",'תנאי סף'!F108)</f>
        <v/>
      </c>
      <c r="D108" s="346"/>
      <c r="E108" s="346"/>
      <c r="F108" s="453"/>
      <c r="G108" s="32" t="str">
        <f t="shared" si="4"/>
        <v/>
      </c>
      <c r="H108" s="32" t="str">
        <f>IF(IFERROR(VLOOKUP(E108,מרכבה!A:K,4,0),"")=K108,"","no")</f>
        <v/>
      </c>
      <c r="I108" s="32" t="str">
        <f>IFERROR(VLOOKUP(D108,מרכבה!A:K,7,0),"")</f>
        <v/>
      </c>
      <c r="J108" s="32" t="str">
        <f>IFERROR(VLOOKUP(D108,מרכבה!A:K,5,0),"")</f>
        <v/>
      </c>
      <c r="K108" s="32" t="str">
        <f>IFERROR(VLOOKUP(D108,מרכבה!A:K,4,0),"")</f>
        <v/>
      </c>
      <c r="L108" s="32" t="str">
        <f>IFERROR(VLOOKUP(D108,מרכבה!A:K,6,0),"")</f>
        <v/>
      </c>
      <c r="M108" s="32" t="str">
        <f>IFERROR(VLOOKUP(D108,מרכבה!A:K,2,0),"")</f>
        <v/>
      </c>
      <c r="N108" s="473" t="str">
        <f>IFERROR(VLOOKUP(D108,מרכבה!A:K,8,0),"")</f>
        <v/>
      </c>
      <c r="O108" s="473">
        <f>IFERROR(VLOOKUP(E108,מרכבה!A:K,9,0),0)</f>
        <v>0</v>
      </c>
      <c r="P108" s="473" t="str">
        <f>'הגבלה לסכום מבוקש (2)'!W108</f>
        <v/>
      </c>
      <c r="Q108" s="474" t="str">
        <f t="shared" si="5"/>
        <v/>
      </c>
      <c r="R108" s="310"/>
      <c r="S108" s="309"/>
      <c r="T108" s="33" t="str">
        <f>'קיזוזים בגין איחורים'!F108</f>
        <v/>
      </c>
      <c r="U108" s="34" t="str">
        <f>IF(B108="","",'קיזוזים- החלטות ועדה'!E108)</f>
        <v/>
      </c>
    </row>
    <row r="109" spans="2:21" ht="22.5" hidden="1" customHeight="1" x14ac:dyDescent="0.25">
      <c r="B109" s="31" t="str">
        <f t="shared" si="3"/>
        <v/>
      </c>
      <c r="C109" s="32" t="str">
        <f>IF('תנאי סף'!F109="","",'תנאי סף'!F109)</f>
        <v/>
      </c>
      <c r="D109" s="346"/>
      <c r="E109" s="346"/>
      <c r="F109" s="453"/>
      <c r="G109" s="32" t="str">
        <f t="shared" si="4"/>
        <v/>
      </c>
      <c r="H109" s="32" t="str">
        <f>IF(IFERROR(VLOOKUP(E109,מרכבה!A:K,4,0),"")=K109,"","no")</f>
        <v/>
      </c>
      <c r="I109" s="32" t="str">
        <f>IFERROR(VLOOKUP(D109,מרכבה!A:K,7,0),"")</f>
        <v/>
      </c>
      <c r="J109" s="32" t="str">
        <f>IFERROR(VLOOKUP(D109,מרכבה!A:K,5,0),"")</f>
        <v/>
      </c>
      <c r="K109" s="32" t="str">
        <f>IFERROR(VLOOKUP(D109,מרכבה!A:K,4,0),"")</f>
        <v/>
      </c>
      <c r="L109" s="32" t="str">
        <f>IFERROR(VLOOKUP(D109,מרכבה!A:K,6,0),"")</f>
        <v/>
      </c>
      <c r="M109" s="32" t="str">
        <f>IFERROR(VLOOKUP(D109,מרכבה!A:K,2,0),"")</f>
        <v/>
      </c>
      <c r="N109" s="473" t="str">
        <f>IFERROR(VLOOKUP(D109,מרכבה!A:K,8,0),"")</f>
        <v/>
      </c>
      <c r="O109" s="473">
        <f>IFERROR(VLOOKUP(E109,מרכבה!A:K,9,0),0)</f>
        <v>0</v>
      </c>
      <c r="P109" s="473" t="str">
        <f>'הגבלה לסכום מבוקש (2)'!W109</f>
        <v/>
      </c>
      <c r="Q109" s="474" t="str">
        <f t="shared" si="5"/>
        <v/>
      </c>
      <c r="R109" s="310"/>
      <c r="S109" s="309"/>
      <c r="T109" s="33" t="str">
        <f>'קיזוזים בגין איחורים'!F109</f>
        <v/>
      </c>
      <c r="U109" s="34" t="str">
        <f>IF(B109="","",'קיזוזים- החלטות ועדה'!E109)</f>
        <v/>
      </c>
    </row>
    <row r="110" spans="2:21" ht="24.75" hidden="1" customHeight="1" x14ac:dyDescent="0.25">
      <c r="B110" s="31" t="str">
        <f t="shared" si="3"/>
        <v/>
      </c>
      <c r="C110" s="32" t="str">
        <f>IF('תנאי סף'!F110="","",'תנאי סף'!F110)</f>
        <v/>
      </c>
      <c r="D110" s="346"/>
      <c r="E110" s="346"/>
      <c r="F110" s="453"/>
      <c r="G110" s="32" t="str">
        <f t="shared" si="4"/>
        <v/>
      </c>
      <c r="H110" s="32" t="str">
        <f>IF(IFERROR(VLOOKUP(E110,מרכבה!A:K,4,0),"")=K110,"","no")</f>
        <v/>
      </c>
      <c r="I110" s="32" t="str">
        <f>IFERROR(VLOOKUP(D110,מרכבה!A:K,7,0),"")</f>
        <v/>
      </c>
      <c r="J110" s="32" t="str">
        <f>IFERROR(VLOOKUP(D110,מרכבה!A:K,5,0),"")</f>
        <v/>
      </c>
      <c r="K110" s="32" t="str">
        <f>IFERROR(VLOOKUP(D110,מרכבה!A:K,4,0),"")</f>
        <v/>
      </c>
      <c r="L110" s="32" t="str">
        <f>IFERROR(VLOOKUP(D110,מרכבה!A:K,6,0),"")</f>
        <v/>
      </c>
      <c r="M110" s="32" t="str">
        <f>IFERROR(VLOOKUP(D110,מרכבה!A:K,2,0),"")</f>
        <v/>
      </c>
      <c r="N110" s="473" t="str">
        <f>IFERROR(VLOOKUP(D110,מרכבה!A:K,8,0),"")</f>
        <v/>
      </c>
      <c r="O110" s="473">
        <f>IFERROR(VLOOKUP(E110,מרכבה!A:K,9,0),0)</f>
        <v>0</v>
      </c>
      <c r="P110" s="473" t="str">
        <f>'הגבלה לסכום מבוקש (2)'!W110</f>
        <v/>
      </c>
      <c r="Q110" s="474" t="str">
        <f t="shared" si="5"/>
        <v/>
      </c>
      <c r="R110" s="310"/>
      <c r="S110" s="309"/>
      <c r="T110" s="33" t="str">
        <f>'קיזוזים בגין איחורים'!F110</f>
        <v/>
      </c>
      <c r="U110" s="34" t="str">
        <f>IF(B110="","",'קיזוזים- החלטות ועדה'!E110)</f>
        <v/>
      </c>
    </row>
    <row r="111" spans="2:21" ht="23.25" hidden="1" customHeight="1" x14ac:dyDescent="0.25">
      <c r="B111" s="31" t="str">
        <f t="shared" si="3"/>
        <v/>
      </c>
      <c r="C111" s="32" t="str">
        <f>IF('תנאי סף'!F111="","",'תנאי סף'!F111)</f>
        <v/>
      </c>
      <c r="D111" s="346"/>
      <c r="E111" s="346"/>
      <c r="F111" s="453"/>
      <c r="G111" s="32" t="str">
        <f t="shared" si="4"/>
        <v/>
      </c>
      <c r="H111" s="32" t="str">
        <f>IF(IFERROR(VLOOKUP(E111,מרכבה!A:K,4,0),"")=K111,"","no")</f>
        <v/>
      </c>
      <c r="I111" s="32" t="str">
        <f>IFERROR(VLOOKUP(D111,מרכבה!A:K,7,0),"")</f>
        <v/>
      </c>
      <c r="J111" s="32" t="str">
        <f>IFERROR(VLOOKUP(D111,מרכבה!A:K,5,0),"")</f>
        <v/>
      </c>
      <c r="K111" s="32" t="str">
        <f>IFERROR(VLOOKUP(D111,מרכבה!A:K,4,0),"")</f>
        <v/>
      </c>
      <c r="L111" s="32" t="str">
        <f>IFERROR(VLOOKUP(D111,מרכבה!A:K,6,0),"")</f>
        <v/>
      </c>
      <c r="M111" s="32" t="str">
        <f>IFERROR(VLOOKUP(D111,מרכבה!A:K,2,0),"")</f>
        <v/>
      </c>
      <c r="N111" s="473" t="str">
        <f>IFERROR(VLOOKUP(D111,מרכבה!A:K,8,0),"")</f>
        <v/>
      </c>
      <c r="O111" s="473">
        <f>IFERROR(VLOOKUP(E111,מרכבה!A:K,9,0),0)</f>
        <v>0</v>
      </c>
      <c r="P111" s="473" t="str">
        <f>'הגבלה לסכום מבוקש (2)'!W111</f>
        <v/>
      </c>
      <c r="Q111" s="474" t="str">
        <f t="shared" si="5"/>
        <v/>
      </c>
      <c r="R111" s="310"/>
      <c r="S111" s="309"/>
      <c r="T111" s="33" t="str">
        <f>'קיזוזים בגין איחורים'!F111</f>
        <v/>
      </c>
      <c r="U111" s="34" t="str">
        <f>IF(B111="","",'קיזוזים- החלטות ועדה'!E111)</f>
        <v/>
      </c>
    </row>
    <row r="112" spans="2:21" ht="22.5" hidden="1" customHeight="1" x14ac:dyDescent="0.25">
      <c r="B112" s="31" t="str">
        <f t="shared" si="3"/>
        <v/>
      </c>
      <c r="C112" s="32" t="str">
        <f>IF('תנאי סף'!F112="","",'תנאי סף'!F112)</f>
        <v/>
      </c>
      <c r="D112" s="346"/>
      <c r="E112" s="346"/>
      <c r="F112" s="453"/>
      <c r="G112" s="32" t="str">
        <f t="shared" si="4"/>
        <v/>
      </c>
      <c r="H112" s="32" t="str">
        <f>IF(IFERROR(VLOOKUP(E112,מרכבה!A:K,4,0),"")=K112,"","no")</f>
        <v/>
      </c>
      <c r="I112" s="32" t="str">
        <f>IFERROR(VLOOKUP(D112,מרכבה!A:K,7,0),"")</f>
        <v/>
      </c>
      <c r="J112" s="32" t="str">
        <f>IFERROR(VLOOKUP(D112,מרכבה!A:K,5,0),"")</f>
        <v/>
      </c>
      <c r="K112" s="32" t="str">
        <f>IFERROR(VLOOKUP(D112,מרכבה!A:K,4,0),"")</f>
        <v/>
      </c>
      <c r="L112" s="32" t="str">
        <f>IFERROR(VLOOKUP(D112,מרכבה!A:K,6,0),"")</f>
        <v/>
      </c>
      <c r="M112" s="32" t="str">
        <f>IFERROR(VLOOKUP(D112,מרכבה!A:K,2,0),"")</f>
        <v/>
      </c>
      <c r="N112" s="473" t="str">
        <f>IFERROR(VLOOKUP(D112,מרכבה!A:K,8,0),"")</f>
        <v/>
      </c>
      <c r="O112" s="473">
        <f>IFERROR(VLOOKUP(E112,מרכבה!A:K,9,0),0)</f>
        <v>0</v>
      </c>
      <c r="P112" s="473" t="str">
        <f>'הגבלה לסכום מבוקש (2)'!W112</f>
        <v/>
      </c>
      <c r="Q112" s="474" t="str">
        <f t="shared" si="5"/>
        <v/>
      </c>
      <c r="R112" s="310"/>
      <c r="S112" s="309"/>
      <c r="T112" s="33" t="str">
        <f>'קיזוזים בגין איחורים'!F112</f>
        <v/>
      </c>
      <c r="U112" s="34" t="str">
        <f>IF(B112="","",'קיזוזים- החלטות ועדה'!E112)</f>
        <v/>
      </c>
    </row>
    <row r="113" spans="2:21" ht="19.5" hidden="1" customHeight="1" x14ac:dyDescent="0.25">
      <c r="B113" s="31" t="str">
        <f t="shared" si="3"/>
        <v/>
      </c>
      <c r="C113" s="32" t="str">
        <f>IF('תנאי סף'!F113="","",'תנאי סף'!F113)</f>
        <v/>
      </c>
      <c r="D113" s="346"/>
      <c r="E113" s="346"/>
      <c r="F113" s="453"/>
      <c r="G113" s="32" t="str">
        <f t="shared" si="4"/>
        <v/>
      </c>
      <c r="H113" s="32" t="str">
        <f>IF(IFERROR(VLOOKUP(E113,מרכבה!A:K,4,0),"")=K113,"","no")</f>
        <v/>
      </c>
      <c r="I113" s="32" t="str">
        <f>IFERROR(VLOOKUP(D113,מרכבה!A:K,7,0),"")</f>
        <v/>
      </c>
      <c r="J113" s="32" t="str">
        <f>IFERROR(VLOOKUP(D113,מרכבה!A:K,5,0),"")</f>
        <v/>
      </c>
      <c r="K113" s="32" t="str">
        <f>IFERROR(VLOOKUP(D113,מרכבה!A:K,4,0),"")</f>
        <v/>
      </c>
      <c r="L113" s="32" t="str">
        <f>IFERROR(VLOOKUP(D113,מרכבה!A:K,6,0),"")</f>
        <v/>
      </c>
      <c r="M113" s="32" t="str">
        <f>IFERROR(VLOOKUP(D113,מרכבה!A:K,2,0),"")</f>
        <v/>
      </c>
      <c r="N113" s="473" t="str">
        <f>IFERROR(VLOOKUP(D113,מרכבה!A:K,8,0),"")</f>
        <v/>
      </c>
      <c r="O113" s="473">
        <f>IFERROR(VLOOKUP(E113,מרכבה!A:K,9,0),0)</f>
        <v>0</v>
      </c>
      <c r="P113" s="473" t="str">
        <f>'הגבלה לסכום מבוקש (2)'!W113</f>
        <v/>
      </c>
      <c r="Q113" s="474" t="str">
        <f t="shared" si="5"/>
        <v/>
      </c>
      <c r="R113" s="310"/>
      <c r="S113" s="309"/>
      <c r="T113" s="33" t="str">
        <f>'קיזוזים בגין איחורים'!F113</f>
        <v/>
      </c>
      <c r="U113" s="34" t="str">
        <f>IF(B113="","",'קיזוזים- החלטות ועדה'!E113)</f>
        <v/>
      </c>
    </row>
    <row r="114" spans="2:21" ht="21" hidden="1" customHeight="1" x14ac:dyDescent="0.25">
      <c r="B114" s="31" t="str">
        <f t="shared" si="3"/>
        <v/>
      </c>
      <c r="C114" s="32" t="str">
        <f>IF('תנאי סף'!F114="","",'תנאי סף'!F114)</f>
        <v/>
      </c>
      <c r="D114" s="346"/>
      <c r="E114" s="346"/>
      <c r="F114" s="453"/>
      <c r="G114" s="32" t="str">
        <f t="shared" si="4"/>
        <v/>
      </c>
      <c r="H114" s="32" t="str">
        <f>IF(IFERROR(VLOOKUP(E114,מרכבה!A:K,4,0),"")=K114,"","no")</f>
        <v/>
      </c>
      <c r="I114" s="32" t="str">
        <f>IFERROR(VLOOKUP(D114,מרכבה!A:K,7,0),"")</f>
        <v/>
      </c>
      <c r="J114" s="32" t="str">
        <f>IFERROR(VLOOKUP(D114,מרכבה!A:K,5,0),"")</f>
        <v/>
      </c>
      <c r="K114" s="32" t="str">
        <f>IFERROR(VLOOKUP(D114,מרכבה!A:K,4,0),"")</f>
        <v/>
      </c>
      <c r="L114" s="32" t="str">
        <f>IFERROR(VLOOKUP(D114,מרכבה!A:K,6,0),"")</f>
        <v/>
      </c>
      <c r="M114" s="32" t="str">
        <f>IFERROR(VLOOKUP(D114,מרכבה!A:K,2,0),"")</f>
        <v/>
      </c>
      <c r="N114" s="473" t="str">
        <f>IFERROR(VLOOKUP(D114,מרכבה!A:K,8,0),"")</f>
        <v/>
      </c>
      <c r="O114" s="473">
        <f>IFERROR(VLOOKUP(E114,מרכבה!A:K,9,0),0)</f>
        <v>0</v>
      </c>
      <c r="P114" s="473" t="str">
        <f>'הגבלה לסכום מבוקש (2)'!W114</f>
        <v/>
      </c>
      <c r="Q114" s="474" t="str">
        <f t="shared" si="5"/>
        <v/>
      </c>
      <c r="R114" s="310"/>
      <c r="S114" s="309"/>
      <c r="T114" s="33" t="str">
        <f>'קיזוזים בגין איחורים'!F114</f>
        <v/>
      </c>
      <c r="U114" s="34" t="str">
        <f>IF(B114="","",'קיזוזים- החלטות ועדה'!E114)</f>
        <v/>
      </c>
    </row>
    <row r="115" spans="2:21" ht="21" hidden="1" customHeight="1" x14ac:dyDescent="0.25">
      <c r="B115" s="31" t="str">
        <f t="shared" si="3"/>
        <v/>
      </c>
      <c r="C115" s="32" t="str">
        <f>IF('תנאי סף'!F115="","",'תנאי סף'!F115)</f>
        <v/>
      </c>
      <c r="D115" s="346"/>
      <c r="E115" s="346"/>
      <c r="F115" s="453"/>
      <c r="G115" s="32" t="str">
        <f t="shared" si="4"/>
        <v/>
      </c>
      <c r="H115" s="32" t="str">
        <f>IF(IFERROR(VLOOKUP(E115,מרכבה!A:K,4,0),"")=K115,"","no")</f>
        <v/>
      </c>
      <c r="I115" s="32" t="str">
        <f>IFERROR(VLOOKUP(D115,מרכבה!A:K,7,0),"")</f>
        <v/>
      </c>
      <c r="J115" s="32" t="str">
        <f>IFERROR(VLOOKUP(D115,מרכבה!A:K,5,0),"")</f>
        <v/>
      </c>
      <c r="K115" s="32" t="str">
        <f>IFERROR(VLOOKUP(D115,מרכבה!A:K,4,0),"")</f>
        <v/>
      </c>
      <c r="L115" s="32" t="str">
        <f>IFERROR(VLOOKUP(D115,מרכבה!A:K,6,0),"")</f>
        <v/>
      </c>
      <c r="M115" s="32" t="str">
        <f>IFERROR(VLOOKUP(D115,מרכבה!A:K,2,0),"")</f>
        <v/>
      </c>
      <c r="N115" s="473" t="str">
        <f>IFERROR(VLOOKUP(D115,מרכבה!A:K,8,0),"")</f>
        <v/>
      </c>
      <c r="O115" s="473">
        <f>IFERROR(VLOOKUP(E115,מרכבה!A:K,9,0),0)</f>
        <v>0</v>
      </c>
      <c r="P115" s="473" t="str">
        <f>'הגבלה לסכום מבוקש (2)'!W115</f>
        <v/>
      </c>
      <c r="Q115" s="474" t="str">
        <f t="shared" si="5"/>
        <v/>
      </c>
      <c r="R115" s="310"/>
      <c r="S115" s="309"/>
      <c r="T115" s="33" t="str">
        <f>'קיזוזים בגין איחורים'!F115</f>
        <v/>
      </c>
      <c r="U115" s="34" t="str">
        <f>IF(B115="","",'קיזוזים- החלטות ועדה'!E115)</f>
        <v/>
      </c>
    </row>
    <row r="116" spans="2:21" ht="22.5" hidden="1" customHeight="1" x14ac:dyDescent="0.25">
      <c r="B116" s="31" t="str">
        <f t="shared" si="3"/>
        <v/>
      </c>
      <c r="C116" s="32" t="str">
        <f>IF('תנאי סף'!F116="","",'תנאי סף'!F116)</f>
        <v/>
      </c>
      <c r="D116" s="346"/>
      <c r="E116" s="346"/>
      <c r="F116" s="453"/>
      <c r="G116" s="32" t="str">
        <f t="shared" si="4"/>
        <v/>
      </c>
      <c r="H116" s="32" t="str">
        <f>IF(IFERROR(VLOOKUP(E116,מרכבה!A:K,4,0),"")=K116,"","no")</f>
        <v/>
      </c>
      <c r="I116" s="32" t="str">
        <f>IFERROR(VLOOKUP(D116,מרכבה!A:K,7,0),"")</f>
        <v/>
      </c>
      <c r="J116" s="32" t="str">
        <f>IFERROR(VLOOKUP(D116,מרכבה!A:K,5,0),"")</f>
        <v/>
      </c>
      <c r="K116" s="32" t="str">
        <f>IFERROR(VLOOKUP(D116,מרכבה!A:K,4,0),"")</f>
        <v/>
      </c>
      <c r="L116" s="32" t="str">
        <f>IFERROR(VLOOKUP(D116,מרכבה!A:K,6,0),"")</f>
        <v/>
      </c>
      <c r="M116" s="32" t="str">
        <f>IFERROR(VLOOKUP(D116,מרכבה!A:K,2,0),"")</f>
        <v/>
      </c>
      <c r="N116" s="473" t="str">
        <f>IFERROR(VLOOKUP(D116,מרכבה!A:K,8,0),"")</f>
        <v/>
      </c>
      <c r="O116" s="473">
        <f>IFERROR(VLOOKUP(E116,מרכבה!A:K,9,0),0)</f>
        <v>0</v>
      </c>
      <c r="P116" s="473" t="str">
        <f>'הגבלה לסכום מבוקש (2)'!W116</f>
        <v/>
      </c>
      <c r="Q116" s="474" t="str">
        <f t="shared" si="5"/>
        <v/>
      </c>
      <c r="R116" s="310"/>
      <c r="S116" s="309"/>
      <c r="T116" s="33" t="str">
        <f>'קיזוזים בגין איחורים'!F116</f>
        <v/>
      </c>
      <c r="U116" s="34" t="str">
        <f>IF(B116="","",'קיזוזים- החלטות ועדה'!E116)</f>
        <v/>
      </c>
    </row>
    <row r="117" spans="2:21" ht="15" hidden="1" customHeight="1" x14ac:dyDescent="0.25">
      <c r="B117" s="31" t="str">
        <f t="shared" si="3"/>
        <v/>
      </c>
      <c r="C117" s="32" t="str">
        <f>IF('תנאי סף'!F117="","",'תנאי סף'!F117)</f>
        <v/>
      </c>
      <c r="D117" s="346"/>
      <c r="E117" s="346"/>
      <c r="F117" s="453"/>
      <c r="G117" s="32" t="str">
        <f t="shared" si="4"/>
        <v/>
      </c>
      <c r="H117" s="32" t="str">
        <f>IF(IFERROR(VLOOKUP(E117,מרכבה!A:K,4,0),"")=K117,"","no")</f>
        <v/>
      </c>
      <c r="I117" s="32" t="str">
        <f>IFERROR(VLOOKUP(D117,מרכבה!A:K,7,0),"")</f>
        <v/>
      </c>
      <c r="J117" s="32" t="str">
        <f>IFERROR(VLOOKUP(D117,מרכבה!A:K,5,0),"")</f>
        <v/>
      </c>
      <c r="K117" s="32" t="str">
        <f>IFERROR(VLOOKUP(D117,מרכבה!A:K,4,0),"")</f>
        <v/>
      </c>
      <c r="L117" s="32" t="str">
        <f>IFERROR(VLOOKUP(D117,מרכבה!A:K,6,0),"")</f>
        <v/>
      </c>
      <c r="M117" s="32" t="str">
        <f>IFERROR(VLOOKUP(D117,מרכבה!A:K,2,0),"")</f>
        <v/>
      </c>
      <c r="N117" s="473" t="str">
        <f>IFERROR(VLOOKUP(D117,מרכבה!A:K,8,0),"")</f>
        <v/>
      </c>
      <c r="O117" s="473">
        <f>IFERROR(VLOOKUP(E117,מרכבה!A:K,9,0),0)</f>
        <v>0</v>
      </c>
      <c r="P117" s="473" t="str">
        <f>'הגבלה לסכום מבוקש (2)'!W117</f>
        <v/>
      </c>
      <c r="Q117" s="474" t="str">
        <f t="shared" si="5"/>
        <v/>
      </c>
      <c r="R117" s="310"/>
      <c r="S117" s="309"/>
      <c r="T117" s="33" t="str">
        <f>'קיזוזים בגין איחורים'!F117</f>
        <v/>
      </c>
      <c r="U117" s="34" t="str">
        <f>IF(B117="","",'קיזוזים- החלטות ועדה'!E117)</f>
        <v/>
      </c>
    </row>
    <row r="118" spans="2:21" ht="19.5" hidden="1" customHeight="1" x14ac:dyDescent="0.25">
      <c r="B118" s="31" t="str">
        <f t="shared" si="3"/>
        <v/>
      </c>
      <c r="C118" s="32" t="str">
        <f>IF('תנאי סף'!F118="","",'תנאי סף'!F118)</f>
        <v/>
      </c>
      <c r="D118" s="346"/>
      <c r="E118" s="346"/>
      <c r="F118" s="453"/>
      <c r="G118" s="32" t="str">
        <f t="shared" si="4"/>
        <v/>
      </c>
      <c r="H118" s="32" t="str">
        <f>IF(IFERROR(VLOOKUP(E118,מרכבה!A:K,4,0),"")=K118,"","no")</f>
        <v/>
      </c>
      <c r="I118" s="32" t="str">
        <f>IFERROR(VLOOKUP(D118,מרכבה!A:K,7,0),"")</f>
        <v/>
      </c>
      <c r="J118" s="32" t="str">
        <f>IFERROR(VLOOKUP(D118,מרכבה!A:K,5,0),"")</f>
        <v/>
      </c>
      <c r="K118" s="32" t="str">
        <f>IFERROR(VLOOKUP(D118,מרכבה!A:K,4,0),"")</f>
        <v/>
      </c>
      <c r="L118" s="32" t="str">
        <f>IFERROR(VLOOKUP(D118,מרכבה!A:K,6,0),"")</f>
        <v/>
      </c>
      <c r="M118" s="32" t="str">
        <f>IFERROR(VLOOKUP(D118,מרכבה!A:K,2,0),"")</f>
        <v/>
      </c>
      <c r="N118" s="473" t="str">
        <f>IFERROR(VLOOKUP(D118,מרכבה!A:K,8,0),"")</f>
        <v/>
      </c>
      <c r="O118" s="473">
        <f>IFERROR(VLOOKUP(E118,מרכבה!A:K,9,0),0)</f>
        <v>0</v>
      </c>
      <c r="P118" s="473" t="str">
        <f>'הגבלה לסכום מבוקש (2)'!W118</f>
        <v/>
      </c>
      <c r="Q118" s="474" t="str">
        <f t="shared" si="5"/>
        <v/>
      </c>
      <c r="R118" s="310"/>
      <c r="S118" s="309"/>
      <c r="T118" s="33" t="str">
        <f>'קיזוזים בגין איחורים'!F118</f>
        <v/>
      </c>
      <c r="U118" s="34" t="str">
        <f>IF(B118="","",'קיזוזים- החלטות ועדה'!E118)</f>
        <v/>
      </c>
    </row>
    <row r="119" spans="2:21" ht="17.25" hidden="1" customHeight="1" x14ac:dyDescent="0.25">
      <c r="B119" s="31" t="str">
        <f t="shared" si="3"/>
        <v/>
      </c>
      <c r="C119" s="32" t="str">
        <f>IF('תנאי סף'!F119="","",'תנאי סף'!F119)</f>
        <v/>
      </c>
      <c r="D119" s="346"/>
      <c r="E119" s="346"/>
      <c r="F119" s="453"/>
      <c r="G119" s="32" t="str">
        <f t="shared" si="4"/>
        <v/>
      </c>
      <c r="H119" s="32" t="str">
        <f>IF(IFERROR(VLOOKUP(E119,מרכבה!A:K,4,0),"")=K119,"","no")</f>
        <v/>
      </c>
      <c r="I119" s="32" t="str">
        <f>IFERROR(VLOOKUP(D119,מרכבה!A:K,7,0),"")</f>
        <v/>
      </c>
      <c r="J119" s="32" t="str">
        <f>IFERROR(VLOOKUP(D119,מרכבה!A:K,5,0),"")</f>
        <v/>
      </c>
      <c r="K119" s="32" t="str">
        <f>IFERROR(VLOOKUP(D119,מרכבה!A:K,4,0),"")</f>
        <v/>
      </c>
      <c r="L119" s="32" t="str">
        <f>IFERROR(VLOOKUP(D119,מרכבה!A:K,6,0),"")</f>
        <v/>
      </c>
      <c r="M119" s="32" t="str">
        <f>IFERROR(VLOOKUP(D119,מרכבה!A:K,2,0),"")</f>
        <v/>
      </c>
      <c r="N119" s="473" t="str">
        <f>IFERROR(VLOOKUP(D119,מרכבה!A:K,8,0),"")</f>
        <v/>
      </c>
      <c r="O119" s="473">
        <f>IFERROR(VLOOKUP(E119,מרכבה!A:K,9,0),0)</f>
        <v>0</v>
      </c>
      <c r="P119" s="473" t="str">
        <f>'הגבלה לסכום מבוקש (2)'!W119</f>
        <v/>
      </c>
      <c r="Q119" s="474" t="str">
        <f t="shared" si="5"/>
        <v/>
      </c>
      <c r="R119" s="310"/>
      <c r="S119" s="309"/>
      <c r="T119" s="33" t="str">
        <f>'קיזוזים בגין איחורים'!F119</f>
        <v/>
      </c>
      <c r="U119" s="34" t="str">
        <f>IF(B119="","",'קיזוזים- החלטות ועדה'!E119)</f>
        <v/>
      </c>
    </row>
    <row r="120" spans="2:21" ht="15" hidden="1" customHeight="1" x14ac:dyDescent="0.25">
      <c r="B120" s="31" t="str">
        <f t="shared" si="3"/>
        <v/>
      </c>
      <c r="C120" s="32" t="str">
        <f>IF('תנאי סף'!F120="","",'תנאי סף'!F120)</f>
        <v/>
      </c>
      <c r="D120" s="346"/>
      <c r="E120" s="346"/>
      <c r="F120" s="453"/>
      <c r="G120" s="32" t="str">
        <f t="shared" si="4"/>
        <v/>
      </c>
      <c r="H120" s="32" t="str">
        <f>IF(IFERROR(VLOOKUP(E120,מרכבה!A:K,4,0),"")=K120,"","no")</f>
        <v/>
      </c>
      <c r="I120" s="32" t="str">
        <f>IFERROR(VLOOKUP(D120,מרכבה!A:K,7,0),"")</f>
        <v/>
      </c>
      <c r="J120" s="32" t="str">
        <f>IFERROR(VLOOKUP(D120,מרכבה!A:K,5,0),"")</f>
        <v/>
      </c>
      <c r="K120" s="32" t="str">
        <f>IFERROR(VLOOKUP(D120,מרכבה!A:K,4,0),"")</f>
        <v/>
      </c>
      <c r="L120" s="32" t="str">
        <f>IFERROR(VLOOKUP(D120,מרכבה!A:K,6,0),"")</f>
        <v/>
      </c>
      <c r="M120" s="32" t="str">
        <f>IFERROR(VLOOKUP(D120,מרכבה!A:K,2,0),"")</f>
        <v/>
      </c>
      <c r="N120" s="473" t="str">
        <f>IFERROR(VLOOKUP(D120,מרכבה!A:K,8,0),"")</f>
        <v/>
      </c>
      <c r="O120" s="473">
        <f>IFERROR(VLOOKUP(E120,מרכבה!A:K,9,0),0)</f>
        <v>0</v>
      </c>
      <c r="P120" s="473" t="str">
        <f>'הגבלה לסכום מבוקש (2)'!W120</f>
        <v/>
      </c>
      <c r="Q120" s="474" t="str">
        <f t="shared" si="5"/>
        <v/>
      </c>
      <c r="R120" s="310"/>
      <c r="S120" s="309"/>
      <c r="T120" s="33" t="str">
        <f>'קיזוזים בגין איחורים'!F120</f>
        <v/>
      </c>
      <c r="U120" s="34" t="str">
        <f>IF(B120="","",'קיזוזים- החלטות ועדה'!E120)</f>
        <v/>
      </c>
    </row>
    <row r="121" spans="2:21" ht="17.25" hidden="1" customHeight="1" x14ac:dyDescent="0.25">
      <c r="B121" s="31" t="str">
        <f t="shared" si="3"/>
        <v/>
      </c>
      <c r="C121" s="32" t="str">
        <f>IF('תנאי סף'!F121="","",'תנאי סף'!F121)</f>
        <v/>
      </c>
      <c r="D121" s="346"/>
      <c r="E121" s="346"/>
      <c r="F121" s="453"/>
      <c r="G121" s="32" t="str">
        <f t="shared" si="4"/>
        <v/>
      </c>
      <c r="H121" s="32" t="str">
        <f>IF(IFERROR(VLOOKUP(E121,מרכבה!A:K,4,0),"")=K121,"","no")</f>
        <v/>
      </c>
      <c r="I121" s="32" t="str">
        <f>IFERROR(VLOOKUP(D121,מרכבה!A:K,7,0),"")</f>
        <v/>
      </c>
      <c r="J121" s="32" t="str">
        <f>IFERROR(VLOOKUP(D121,מרכבה!A:K,5,0),"")</f>
        <v/>
      </c>
      <c r="K121" s="32" t="str">
        <f>IFERROR(VLOOKUP(D121,מרכבה!A:K,4,0),"")</f>
        <v/>
      </c>
      <c r="L121" s="32" t="str">
        <f>IFERROR(VLOOKUP(D121,מרכבה!A:K,6,0),"")</f>
        <v/>
      </c>
      <c r="M121" s="32" t="str">
        <f>IFERROR(VLOOKUP(D121,מרכבה!A:K,2,0),"")</f>
        <v/>
      </c>
      <c r="N121" s="473" t="str">
        <f>IFERROR(VLOOKUP(D121,מרכבה!A:K,8,0),"")</f>
        <v/>
      </c>
      <c r="O121" s="473">
        <f>IFERROR(VLOOKUP(E121,מרכבה!A:K,9,0),0)</f>
        <v>0</v>
      </c>
      <c r="P121" s="473" t="str">
        <f>'הגבלה לסכום מבוקש (2)'!W121</f>
        <v/>
      </c>
      <c r="Q121" s="474" t="str">
        <f t="shared" si="5"/>
        <v/>
      </c>
      <c r="R121" s="310"/>
      <c r="S121" s="309"/>
      <c r="T121" s="33" t="str">
        <f>'קיזוזים בגין איחורים'!F121</f>
        <v/>
      </c>
      <c r="U121" s="34" t="str">
        <f>IF(B121="","",'קיזוזים- החלטות ועדה'!E121)</f>
        <v/>
      </c>
    </row>
    <row r="122" spans="2:21" ht="23.25" hidden="1" customHeight="1" x14ac:dyDescent="0.25">
      <c r="B122" s="31" t="str">
        <f t="shared" si="3"/>
        <v/>
      </c>
      <c r="C122" s="32" t="str">
        <f>IF('תנאי סף'!F122="","",'תנאי סף'!F122)</f>
        <v/>
      </c>
      <c r="D122" s="346"/>
      <c r="E122" s="346"/>
      <c r="F122" s="453"/>
      <c r="G122" s="32" t="str">
        <f t="shared" si="4"/>
        <v/>
      </c>
      <c r="H122" s="32" t="str">
        <f>IF(IFERROR(VLOOKUP(E122,מרכבה!A:K,4,0),"")=K122,"","no")</f>
        <v/>
      </c>
      <c r="I122" s="32" t="str">
        <f>IFERROR(VLOOKUP(D122,מרכבה!A:K,7,0),"")</f>
        <v/>
      </c>
      <c r="J122" s="32" t="str">
        <f>IFERROR(VLOOKUP(D122,מרכבה!A:K,5,0),"")</f>
        <v/>
      </c>
      <c r="K122" s="32" t="str">
        <f>IFERROR(VLOOKUP(D122,מרכבה!A:K,4,0),"")</f>
        <v/>
      </c>
      <c r="L122" s="32" t="str">
        <f>IFERROR(VLOOKUP(D122,מרכבה!A:K,6,0),"")</f>
        <v/>
      </c>
      <c r="M122" s="32" t="str">
        <f>IFERROR(VLOOKUP(D122,מרכבה!A:K,2,0),"")</f>
        <v/>
      </c>
      <c r="N122" s="473" t="str">
        <f>IFERROR(VLOOKUP(D122,מרכבה!A:K,8,0),"")</f>
        <v/>
      </c>
      <c r="O122" s="473">
        <f>IFERROR(VLOOKUP(E122,מרכבה!A:K,9,0),0)</f>
        <v>0</v>
      </c>
      <c r="P122" s="473" t="str">
        <f>'הגבלה לסכום מבוקש (2)'!W122</f>
        <v/>
      </c>
      <c r="Q122" s="474" t="str">
        <f t="shared" si="5"/>
        <v/>
      </c>
      <c r="R122" s="310"/>
      <c r="S122" s="309"/>
      <c r="T122" s="33" t="str">
        <f>'קיזוזים בגין איחורים'!F122</f>
        <v/>
      </c>
      <c r="U122" s="34" t="str">
        <f>IF(B122="","",'קיזוזים- החלטות ועדה'!E122)</f>
        <v/>
      </c>
    </row>
    <row r="123" spans="2:21" ht="10.5" hidden="1" customHeight="1" x14ac:dyDescent="0.25">
      <c r="B123" s="31" t="str">
        <f t="shared" si="3"/>
        <v/>
      </c>
      <c r="C123" s="32" t="str">
        <f>IF('תנאי סף'!F123="","",'תנאי סף'!F123)</f>
        <v/>
      </c>
      <c r="D123" s="346"/>
      <c r="E123" s="346"/>
      <c r="F123" s="453"/>
      <c r="G123" s="32" t="str">
        <f t="shared" si="4"/>
        <v/>
      </c>
      <c r="H123" s="32" t="str">
        <f>IF(IFERROR(VLOOKUP(E123,מרכבה!A:K,4,0),"")=K123,"","no")</f>
        <v/>
      </c>
      <c r="I123" s="32" t="str">
        <f>IFERROR(VLOOKUP(D123,מרכבה!A:K,7,0),"")</f>
        <v/>
      </c>
      <c r="J123" s="32" t="str">
        <f>IFERROR(VLOOKUP(D123,מרכבה!A:K,5,0),"")</f>
        <v/>
      </c>
      <c r="K123" s="32" t="str">
        <f>IFERROR(VLOOKUP(D123,מרכבה!A:K,4,0),"")</f>
        <v/>
      </c>
      <c r="L123" s="32" t="str">
        <f>IFERROR(VLOOKUP(D123,מרכבה!A:K,6,0),"")</f>
        <v/>
      </c>
      <c r="M123" s="32" t="str">
        <f>IFERROR(VLOOKUP(D123,מרכבה!A:K,2,0),"")</f>
        <v/>
      </c>
      <c r="N123" s="473" t="str">
        <f>IFERROR(VLOOKUP(D123,מרכבה!A:K,8,0),"")</f>
        <v/>
      </c>
      <c r="O123" s="473">
        <f>IFERROR(VLOOKUP(E123,מרכבה!A:K,9,0),0)</f>
        <v>0</v>
      </c>
      <c r="P123" s="473" t="str">
        <f>'הגבלה לסכום מבוקש (2)'!W123</f>
        <v/>
      </c>
      <c r="Q123" s="474" t="str">
        <f t="shared" si="5"/>
        <v/>
      </c>
      <c r="R123" s="310"/>
      <c r="S123" s="309"/>
      <c r="T123" s="33" t="str">
        <f>'קיזוזים בגין איחורים'!F123</f>
        <v/>
      </c>
      <c r="U123" s="34" t="str">
        <f>IF(B123="","",'קיזוזים- החלטות ועדה'!E123)</f>
        <v/>
      </c>
    </row>
    <row r="124" spans="2:21" ht="18.75" hidden="1" customHeight="1" x14ac:dyDescent="0.25">
      <c r="B124" s="31" t="str">
        <f t="shared" si="3"/>
        <v/>
      </c>
      <c r="C124" s="32" t="str">
        <f>IF('תנאי סף'!F124="","",'תנאי סף'!F124)</f>
        <v/>
      </c>
      <c r="D124" s="346"/>
      <c r="E124" s="346"/>
      <c r="F124" s="453"/>
      <c r="G124" s="32" t="str">
        <f t="shared" si="4"/>
        <v/>
      </c>
      <c r="H124" s="32" t="str">
        <f>IF(IFERROR(VLOOKUP(E124,מרכבה!A:K,4,0),"")=K124,"","no")</f>
        <v/>
      </c>
      <c r="I124" s="32" t="str">
        <f>IFERROR(VLOOKUP(D124,מרכבה!A:K,7,0),"")</f>
        <v/>
      </c>
      <c r="J124" s="32" t="str">
        <f>IFERROR(VLOOKUP(D124,מרכבה!A:K,5,0),"")</f>
        <v/>
      </c>
      <c r="K124" s="32" t="str">
        <f>IFERROR(VLOOKUP(D124,מרכבה!A:K,4,0),"")</f>
        <v/>
      </c>
      <c r="L124" s="32" t="str">
        <f>IFERROR(VLOOKUP(D124,מרכבה!A:K,6,0),"")</f>
        <v/>
      </c>
      <c r="M124" s="32" t="str">
        <f>IFERROR(VLOOKUP(D124,מרכבה!A:K,2,0),"")</f>
        <v/>
      </c>
      <c r="N124" s="473" t="str">
        <f>IFERROR(VLOOKUP(D124,מרכבה!A:K,8,0),"")</f>
        <v/>
      </c>
      <c r="O124" s="473">
        <f>IFERROR(VLOOKUP(E124,מרכבה!A:K,9,0),0)</f>
        <v>0</v>
      </c>
      <c r="P124" s="473" t="str">
        <f>'הגבלה לסכום מבוקש (2)'!W124</f>
        <v/>
      </c>
      <c r="Q124" s="474" t="str">
        <f t="shared" si="5"/>
        <v/>
      </c>
      <c r="R124" s="310"/>
      <c r="S124" s="309"/>
      <c r="T124" s="33" t="str">
        <f>'קיזוזים בגין איחורים'!F124</f>
        <v/>
      </c>
      <c r="U124" s="34" t="str">
        <f>IF(B124="","",'קיזוזים- החלטות ועדה'!E124)</f>
        <v/>
      </c>
    </row>
    <row r="125" spans="2:21" ht="14.25" hidden="1" customHeight="1" x14ac:dyDescent="0.25">
      <c r="B125" s="31" t="str">
        <f t="shared" si="3"/>
        <v/>
      </c>
      <c r="C125" s="32" t="str">
        <f>IF('תנאי סף'!F125="","",'תנאי סף'!F125)</f>
        <v/>
      </c>
      <c r="D125" s="346"/>
      <c r="E125" s="346"/>
      <c r="F125" s="453"/>
      <c r="G125" s="32" t="str">
        <f t="shared" si="4"/>
        <v/>
      </c>
      <c r="H125" s="32" t="str">
        <f>IF(IFERROR(VLOOKUP(E125,מרכבה!A:K,4,0),"")=K125,"","no")</f>
        <v/>
      </c>
      <c r="I125" s="32" t="str">
        <f>IFERROR(VLOOKUP(D125,מרכבה!A:K,7,0),"")</f>
        <v/>
      </c>
      <c r="J125" s="32" t="str">
        <f>IFERROR(VLOOKUP(D125,מרכבה!A:K,5,0),"")</f>
        <v/>
      </c>
      <c r="K125" s="32" t="str">
        <f>IFERROR(VLOOKUP(D125,מרכבה!A:K,4,0),"")</f>
        <v/>
      </c>
      <c r="L125" s="32" t="str">
        <f>IFERROR(VLOOKUP(D125,מרכבה!A:K,6,0),"")</f>
        <v/>
      </c>
      <c r="M125" s="32" t="str">
        <f>IFERROR(VLOOKUP(D125,מרכבה!A:K,2,0),"")</f>
        <v/>
      </c>
      <c r="N125" s="473" t="str">
        <f>IFERROR(VLOOKUP(D125,מרכבה!A:K,8,0),"")</f>
        <v/>
      </c>
      <c r="O125" s="473">
        <f>IFERROR(VLOOKUP(E125,מרכבה!A:K,9,0),0)</f>
        <v>0</v>
      </c>
      <c r="P125" s="473" t="str">
        <f>'הגבלה לסכום מבוקש (2)'!W125</f>
        <v/>
      </c>
      <c r="Q125" s="474" t="str">
        <f t="shared" si="5"/>
        <v/>
      </c>
      <c r="R125" s="310"/>
      <c r="S125" s="309"/>
      <c r="T125" s="33" t="str">
        <f>'קיזוזים בגין איחורים'!F125</f>
        <v/>
      </c>
      <c r="U125" s="34" t="str">
        <f>IF(B125="","",'קיזוזים- החלטות ועדה'!E125)</f>
        <v/>
      </c>
    </row>
    <row r="126" spans="2:21" ht="12" hidden="1" customHeight="1" x14ac:dyDescent="0.25">
      <c r="B126" s="31" t="str">
        <f t="shared" si="3"/>
        <v/>
      </c>
      <c r="C126" s="32" t="str">
        <f>IF('תנאי סף'!F126="","",'תנאי סף'!F126)</f>
        <v/>
      </c>
      <c r="D126" s="346"/>
      <c r="E126" s="346"/>
      <c r="F126" s="453"/>
      <c r="G126" s="32" t="str">
        <f t="shared" si="4"/>
        <v/>
      </c>
      <c r="H126" s="32" t="str">
        <f>IF(IFERROR(VLOOKUP(E126,מרכבה!A:K,4,0),"")=K126,"","no")</f>
        <v/>
      </c>
      <c r="I126" s="32" t="str">
        <f>IFERROR(VLOOKUP(D126,מרכבה!A:K,7,0),"")</f>
        <v/>
      </c>
      <c r="J126" s="32" t="str">
        <f>IFERROR(VLOOKUP(D126,מרכבה!A:K,5,0),"")</f>
        <v/>
      </c>
      <c r="K126" s="32" t="str">
        <f>IFERROR(VLOOKUP(D126,מרכבה!A:K,4,0),"")</f>
        <v/>
      </c>
      <c r="L126" s="32" t="str">
        <f>IFERROR(VLOOKUP(D126,מרכבה!A:K,6,0),"")</f>
        <v/>
      </c>
      <c r="M126" s="32" t="str">
        <f>IFERROR(VLOOKUP(D126,מרכבה!A:K,2,0),"")</f>
        <v/>
      </c>
      <c r="N126" s="473" t="str">
        <f>IFERROR(VLOOKUP(D126,מרכבה!A:K,8,0),"")</f>
        <v/>
      </c>
      <c r="O126" s="473">
        <f>IFERROR(VLOOKUP(E126,מרכבה!A:K,9,0),0)</f>
        <v>0</v>
      </c>
      <c r="P126" s="473" t="str">
        <f>'הגבלה לסכום מבוקש (2)'!W126</f>
        <v/>
      </c>
      <c r="Q126" s="474" t="str">
        <f t="shared" si="5"/>
        <v/>
      </c>
      <c r="R126" s="310"/>
      <c r="S126" s="309"/>
      <c r="T126" s="33" t="str">
        <f>'קיזוזים בגין איחורים'!F126</f>
        <v/>
      </c>
      <c r="U126" s="34" t="str">
        <f>IF(B126="","",'קיזוזים- החלטות ועדה'!E126)</f>
        <v/>
      </c>
    </row>
    <row r="127" spans="2:21" ht="26.25" hidden="1" customHeight="1" x14ac:dyDescent="0.25">
      <c r="B127" s="31" t="str">
        <f t="shared" si="3"/>
        <v/>
      </c>
      <c r="C127" s="32" t="str">
        <f>IF('תנאי סף'!F127="","",'תנאי סף'!F127)</f>
        <v/>
      </c>
      <c r="D127" s="346"/>
      <c r="E127" s="346"/>
      <c r="F127" s="453"/>
      <c r="G127" s="32" t="str">
        <f t="shared" si="4"/>
        <v/>
      </c>
      <c r="H127" s="32" t="str">
        <f>IF(IFERROR(VLOOKUP(E127,מרכבה!A:K,4,0),"")=K127,"","no")</f>
        <v/>
      </c>
      <c r="I127" s="32" t="str">
        <f>IFERROR(VLOOKUP(D127,מרכבה!A:K,7,0),"")</f>
        <v/>
      </c>
      <c r="J127" s="32" t="str">
        <f>IFERROR(VLOOKUP(D127,מרכבה!A:K,5,0),"")</f>
        <v/>
      </c>
      <c r="K127" s="32" t="str">
        <f>IFERROR(VLOOKUP(D127,מרכבה!A:K,4,0),"")</f>
        <v/>
      </c>
      <c r="L127" s="32" t="str">
        <f>IFERROR(VLOOKUP(D127,מרכבה!A:K,6,0),"")</f>
        <v/>
      </c>
      <c r="M127" s="32" t="str">
        <f>IFERROR(VLOOKUP(D127,מרכבה!A:K,2,0),"")</f>
        <v/>
      </c>
      <c r="N127" s="473" t="str">
        <f>IFERROR(VLOOKUP(D127,מרכבה!A:K,8,0),"")</f>
        <v/>
      </c>
      <c r="O127" s="473">
        <f>IFERROR(VLOOKUP(E127,מרכבה!A:K,9,0),0)</f>
        <v>0</v>
      </c>
      <c r="P127" s="473" t="str">
        <f>'הגבלה לסכום מבוקש (2)'!W127</f>
        <v/>
      </c>
      <c r="Q127" s="474" t="str">
        <f t="shared" si="5"/>
        <v/>
      </c>
      <c r="R127" s="310"/>
      <c r="S127" s="309"/>
      <c r="T127" s="33" t="str">
        <f>'קיזוזים בגין איחורים'!F127</f>
        <v/>
      </c>
      <c r="U127" s="34" t="str">
        <f>IF(B127="","",'קיזוזים- החלטות ועדה'!E127)</f>
        <v/>
      </c>
    </row>
    <row r="128" spans="2:21" ht="36" hidden="1" customHeight="1" x14ac:dyDescent="0.25">
      <c r="B128" s="31" t="str">
        <f t="shared" si="3"/>
        <v/>
      </c>
      <c r="C128" s="32" t="str">
        <f>IF('תנאי סף'!F128="","",'תנאי סף'!F128)</f>
        <v/>
      </c>
      <c r="D128" s="346"/>
      <c r="E128" s="346"/>
      <c r="F128" s="453"/>
      <c r="G128" s="32" t="str">
        <f t="shared" si="4"/>
        <v/>
      </c>
      <c r="H128" s="32" t="str">
        <f>IF(IFERROR(VLOOKUP(E128,מרכבה!A:K,4,0),"")=K128,"","no")</f>
        <v/>
      </c>
      <c r="I128" s="32" t="str">
        <f>IFERROR(VLOOKUP(D128,מרכבה!A:K,7,0),"")</f>
        <v/>
      </c>
      <c r="J128" s="32" t="str">
        <f>IFERROR(VLOOKUP(D128,מרכבה!A:K,5,0),"")</f>
        <v/>
      </c>
      <c r="K128" s="32" t="str">
        <f>IFERROR(VLOOKUP(D128,מרכבה!A:K,4,0),"")</f>
        <v/>
      </c>
      <c r="L128" s="32" t="str">
        <f>IFERROR(VLOOKUP(D128,מרכבה!A:K,6,0),"")</f>
        <v/>
      </c>
      <c r="M128" s="32" t="str">
        <f>IFERROR(VLOOKUP(D128,מרכבה!A:K,2,0),"")</f>
        <v/>
      </c>
      <c r="N128" s="473" t="str">
        <f>IFERROR(VLOOKUP(D128,מרכבה!A:K,8,0),"")</f>
        <v/>
      </c>
      <c r="O128" s="473">
        <f>IFERROR(VLOOKUP(E128,מרכבה!A:K,9,0),0)</f>
        <v>0</v>
      </c>
      <c r="P128" s="473" t="str">
        <f>'הגבלה לסכום מבוקש (2)'!W128</f>
        <v/>
      </c>
      <c r="Q128" s="474" t="str">
        <f t="shared" si="5"/>
        <v/>
      </c>
      <c r="R128" s="310"/>
      <c r="S128" s="309"/>
      <c r="T128" s="33" t="str">
        <f>'קיזוזים בגין איחורים'!F128</f>
        <v/>
      </c>
      <c r="U128" s="34" t="str">
        <f>IF(B128="","",'קיזוזים- החלטות ועדה'!E128)</f>
        <v/>
      </c>
    </row>
    <row r="129" spans="2:21" ht="19.5" hidden="1" customHeight="1" x14ac:dyDescent="0.25">
      <c r="B129" s="31" t="str">
        <f t="shared" si="3"/>
        <v/>
      </c>
      <c r="C129" s="32" t="str">
        <f>IF('תנאי סף'!F129="","",'תנאי סף'!F129)</f>
        <v/>
      </c>
      <c r="D129" s="346"/>
      <c r="E129" s="346"/>
      <c r="F129" s="453"/>
      <c r="G129" s="32" t="str">
        <f t="shared" si="4"/>
        <v/>
      </c>
      <c r="H129" s="32" t="str">
        <f>IF(IFERROR(VLOOKUP(E129,מרכבה!A:K,4,0),"")=K129,"","no")</f>
        <v/>
      </c>
      <c r="I129" s="32" t="str">
        <f>IFERROR(VLOOKUP(D129,מרכבה!A:K,7,0),"")</f>
        <v/>
      </c>
      <c r="J129" s="32" t="str">
        <f>IFERROR(VLOOKUP(D129,מרכבה!A:K,5,0),"")</f>
        <v/>
      </c>
      <c r="K129" s="32" t="str">
        <f>IFERROR(VLOOKUP(D129,מרכבה!A:K,4,0),"")</f>
        <v/>
      </c>
      <c r="L129" s="32" t="str">
        <f>IFERROR(VLOOKUP(D129,מרכבה!A:K,6,0),"")</f>
        <v/>
      </c>
      <c r="M129" s="32" t="str">
        <f>IFERROR(VLOOKUP(D129,מרכבה!A:K,2,0),"")</f>
        <v/>
      </c>
      <c r="N129" s="473" t="str">
        <f>IFERROR(VLOOKUP(D129,מרכבה!A:K,8,0),"")</f>
        <v/>
      </c>
      <c r="O129" s="473">
        <f>IFERROR(VLOOKUP(E129,מרכבה!A:K,9,0),0)</f>
        <v>0</v>
      </c>
      <c r="P129" s="473" t="str">
        <f>'הגבלה לסכום מבוקש (2)'!W129</f>
        <v/>
      </c>
      <c r="Q129" s="474" t="str">
        <f t="shared" si="5"/>
        <v/>
      </c>
      <c r="R129" s="310"/>
      <c r="S129" s="309"/>
      <c r="T129" s="33" t="str">
        <f>'קיזוזים בגין איחורים'!F129</f>
        <v/>
      </c>
      <c r="U129" s="34" t="str">
        <f>IF(B129="","",'קיזוזים- החלטות ועדה'!E129)</f>
        <v/>
      </c>
    </row>
    <row r="130" spans="2:21" ht="51" hidden="1" customHeight="1" thickBot="1" x14ac:dyDescent="0.3">
      <c r="B130" s="31" t="str">
        <f t="shared" si="3"/>
        <v/>
      </c>
      <c r="C130" s="32" t="str">
        <f>IF('תנאי סף'!F130="","",'תנאי סף'!F130)</f>
        <v/>
      </c>
      <c r="D130" s="346"/>
      <c r="E130" s="346"/>
      <c r="F130" s="453"/>
      <c r="G130" s="32" t="str">
        <f t="shared" si="4"/>
        <v/>
      </c>
      <c r="H130" s="32" t="str">
        <f>IF(IFERROR(VLOOKUP(E130,מרכבה!A:K,4,0),"")=K130,"","no")</f>
        <v/>
      </c>
      <c r="I130" s="32" t="str">
        <f>IFERROR(VLOOKUP(D130,מרכבה!A:K,7,0),"")</f>
        <v/>
      </c>
      <c r="J130" s="32" t="str">
        <f>IFERROR(VLOOKUP(D130,מרכבה!A:K,5,0),"")</f>
        <v/>
      </c>
      <c r="K130" s="32" t="str">
        <f>IFERROR(VLOOKUP(D130,מרכבה!A:K,4,0),"")</f>
        <v/>
      </c>
      <c r="L130" s="32" t="str">
        <f>IFERROR(VLOOKUP(D130,מרכבה!A:K,6,0),"")</f>
        <v/>
      </c>
      <c r="M130" s="32" t="str">
        <f>IFERROR(VLOOKUP(D130,מרכבה!A:K,2,0),"")</f>
        <v/>
      </c>
      <c r="N130" s="473" t="str">
        <f>IFERROR(VLOOKUP(D130,מרכבה!A:K,8,0),"")</f>
        <v/>
      </c>
      <c r="O130" s="473">
        <f>IFERROR(VLOOKUP(E130,מרכבה!A:K,9,0),0)</f>
        <v>0</v>
      </c>
      <c r="P130" s="473" t="str">
        <f>'הגבלה לסכום מבוקש (2)'!W130</f>
        <v/>
      </c>
      <c r="Q130" s="474" t="str">
        <f t="shared" si="5"/>
        <v/>
      </c>
      <c r="R130" s="310"/>
      <c r="S130" s="309"/>
      <c r="T130" s="33" t="str">
        <f>'קיזוזים בגין איחורים'!F130</f>
        <v/>
      </c>
      <c r="U130" s="34" t="str">
        <f>IF(B130="","",'קיזוזים- החלטות ועדה'!E130)</f>
        <v/>
      </c>
    </row>
    <row r="131" spans="2:21" ht="20.25" hidden="1" thickTop="1" thickBot="1" x14ac:dyDescent="0.3">
      <c r="B131" s="657" t="s">
        <v>77</v>
      </c>
      <c r="C131" s="658"/>
      <c r="D131" s="35"/>
      <c r="E131" s="35"/>
      <c r="F131" s="35"/>
      <c r="G131" s="35"/>
      <c r="H131" s="35"/>
      <c r="I131" s="35"/>
      <c r="J131" s="35"/>
      <c r="K131" s="35"/>
      <c r="L131" s="35"/>
      <c r="M131" s="35"/>
      <c r="N131" s="36">
        <f>SUM(N31:N130)</f>
        <v>5891738</v>
      </c>
      <c r="O131" s="36">
        <f>SUM(O31:O130)</f>
        <v>2917602</v>
      </c>
      <c r="P131" s="36">
        <f>SUM(P31:P130)</f>
        <v>3076366.9999999991</v>
      </c>
      <c r="Q131" s="35"/>
      <c r="S131" s="359"/>
      <c r="T131" s="36">
        <f>SUM(T31:T130)</f>
        <v>0</v>
      </c>
      <c r="U131" s="36">
        <f>SUM(U31:U130)</f>
        <v>0</v>
      </c>
    </row>
  </sheetData>
  <sheetProtection autoFilter="0"/>
  <autoFilter ref="A30:Z131" xr:uid="{00000000-0001-0000-1B00-000000000000}">
    <filterColumn colId="2">
      <customFilters>
        <customFilter operator="notEqual" val=" "/>
      </customFilters>
    </filterColumn>
  </autoFilter>
  <mergeCells count="1">
    <mergeCell ref="B131:C131"/>
  </mergeCells>
  <conditionalFormatting sqref="B31:C130 T31:U130">
    <cfRule type="containsBlanks" dxfId="36" priority="72">
      <formula>LEN(TRIM(B31))=0</formula>
    </cfRule>
  </conditionalFormatting>
  <conditionalFormatting sqref="C1:C2">
    <cfRule type="containsBlanks" dxfId="35" priority="69">
      <formula>LEN(TRIM(C1))=0</formula>
    </cfRule>
  </conditionalFormatting>
  <conditionalFormatting sqref="D31:F130 R31:S32 R34:S37 R33 R39:S39 R38 R41:S56 R40 R57 R96 R108:S130 R107 R97:S106 R58:S95">
    <cfRule type="expression" dxfId="34" priority="34">
      <formula>IF($C31="",0,1)</formula>
    </cfRule>
  </conditionalFormatting>
  <conditionalFormatting sqref="G31:G130">
    <cfRule type="containsBlanks" dxfId="33" priority="32">
      <formula>LEN(TRIM(G31))=0</formula>
    </cfRule>
  </conditionalFormatting>
  <conditionalFormatting sqref="I31:Q130">
    <cfRule type="containsBlanks" dxfId="32" priority="31">
      <formula>LEN(TRIM(I31))=0</formula>
    </cfRule>
  </conditionalFormatting>
  <conditionalFormatting sqref="S33">
    <cfRule type="expression" dxfId="31" priority="27">
      <formula>$F33=""</formula>
    </cfRule>
    <cfRule type="expression" dxfId="30" priority="28">
      <formula>S$30&lt;&gt;""</formula>
    </cfRule>
  </conditionalFormatting>
  <conditionalFormatting sqref="S33">
    <cfRule type="expression" dxfId="29" priority="30">
      <formula>S33&lt;S$5</formula>
    </cfRule>
  </conditionalFormatting>
  <conditionalFormatting sqref="S33">
    <cfRule type="expression" dxfId="28" priority="26" stopIfTrue="1">
      <formula>AND($F33="",S33&lt;&gt;"")</formula>
    </cfRule>
  </conditionalFormatting>
  <conditionalFormatting sqref="S38">
    <cfRule type="expression" dxfId="27" priority="22">
      <formula>$F38=""</formula>
    </cfRule>
    <cfRule type="expression" dxfId="26" priority="23">
      <formula>S$30&lt;&gt;""</formula>
    </cfRule>
  </conditionalFormatting>
  <conditionalFormatting sqref="S38">
    <cfRule type="expression" dxfId="25" priority="25">
      <formula>S38&lt;S$5</formula>
    </cfRule>
  </conditionalFormatting>
  <conditionalFormatting sqref="S38">
    <cfRule type="expression" dxfId="24" priority="21" stopIfTrue="1">
      <formula>AND($F38="",S38&lt;&gt;"")</formula>
    </cfRule>
  </conditionalFormatting>
  <conditionalFormatting sqref="S40">
    <cfRule type="expression" dxfId="23" priority="17">
      <formula>$F40=""</formula>
    </cfRule>
    <cfRule type="expression" dxfId="22" priority="18">
      <formula>S$30&lt;&gt;""</formula>
    </cfRule>
  </conditionalFormatting>
  <conditionalFormatting sqref="S40">
    <cfRule type="expression" dxfId="21" priority="20">
      <formula>S40&lt;S$5</formula>
    </cfRule>
  </conditionalFormatting>
  <conditionalFormatting sqref="S40">
    <cfRule type="expression" dxfId="20" priority="16" stopIfTrue="1">
      <formula>AND($F40="",S40&lt;&gt;"")</formula>
    </cfRule>
  </conditionalFormatting>
  <conditionalFormatting sqref="S57">
    <cfRule type="expression" dxfId="19" priority="12">
      <formula>$F57=""</formula>
    </cfRule>
    <cfRule type="expression" dxfId="18" priority="13">
      <formula>S$30&lt;&gt;""</formula>
    </cfRule>
  </conditionalFormatting>
  <conditionalFormatting sqref="S57">
    <cfRule type="expression" dxfId="17" priority="15">
      <formula>S57&lt;S$5</formula>
    </cfRule>
  </conditionalFormatting>
  <conditionalFormatting sqref="S57">
    <cfRule type="expression" dxfId="16" priority="11" stopIfTrue="1">
      <formula>AND($F57="",S57&lt;&gt;"")</formula>
    </cfRule>
  </conditionalFormatting>
  <conditionalFormatting sqref="S96">
    <cfRule type="expression" dxfId="15" priority="7">
      <formula>$F96=""</formula>
    </cfRule>
    <cfRule type="expression" dxfId="14" priority="8">
      <formula>S$30&lt;&gt;""</formula>
    </cfRule>
  </conditionalFormatting>
  <conditionalFormatting sqref="S96">
    <cfRule type="expression" dxfId="13" priority="10">
      <formula>S96&lt;S$5</formula>
    </cfRule>
  </conditionalFormatting>
  <conditionalFormatting sqref="S96">
    <cfRule type="expression" dxfId="12" priority="6" stopIfTrue="1">
      <formula>AND($F96="",S96&lt;&gt;"")</formula>
    </cfRule>
  </conditionalFormatting>
  <conditionalFormatting sqref="S107">
    <cfRule type="expression" dxfId="11" priority="2">
      <formula>$F107=""</formula>
    </cfRule>
    <cfRule type="expression" dxfId="10" priority="3">
      <formula>S$30&lt;&gt;""</formula>
    </cfRule>
  </conditionalFormatting>
  <conditionalFormatting sqref="S107">
    <cfRule type="expression" dxfId="9" priority="5">
      <formula>S107&lt;S$5</formula>
    </cfRule>
  </conditionalFormatting>
  <conditionalFormatting sqref="S107">
    <cfRule type="expression" dxfId="8" priority="1" stopIfTrue="1">
      <formula>AND($F107="",S107&lt;&gt;"")</formula>
    </cfRule>
  </conditionalFormatting>
  <printOptions horizontalCentered="1"/>
  <pageMargins left="0.51181102362204722" right="0.51181102362204722" top="0.74803149606299213" bottom="0.74803149606299213" header="0.31496062992125984" footer="0.31496062992125984"/>
  <pageSetup paperSize="9" scale="28"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29" operator="containsText" id="{26D2B36D-6B3E-404C-99E2-0A9C44D72242}">
            <xm:f>NOT(ISERROR(SEARCH($AR$1,S33)))</xm:f>
            <xm:f>$AR$1</xm:f>
            <x14:dxf>
              <fill>
                <patternFill>
                  <bgColor rgb="FFFF0000"/>
                </patternFill>
              </fill>
            </x14:dxf>
          </x14:cfRule>
          <xm:sqref>S33</xm:sqref>
        </x14:conditionalFormatting>
        <x14:conditionalFormatting xmlns:xm="http://schemas.microsoft.com/office/excel/2006/main">
          <x14:cfRule type="containsText" priority="24" operator="containsText" id="{917089F4-51B1-4C86-B040-96D3190E09D8}">
            <xm:f>NOT(ISERROR(SEARCH($AR$1,S38)))</xm:f>
            <xm:f>$AR$1</xm:f>
            <x14:dxf>
              <fill>
                <patternFill>
                  <bgColor rgb="FFFF0000"/>
                </patternFill>
              </fill>
            </x14:dxf>
          </x14:cfRule>
          <xm:sqref>S38</xm:sqref>
        </x14:conditionalFormatting>
        <x14:conditionalFormatting xmlns:xm="http://schemas.microsoft.com/office/excel/2006/main">
          <x14:cfRule type="containsText" priority="19" operator="containsText" id="{2ACE2F7C-DAC4-4391-8CE5-ACE946495CD4}">
            <xm:f>NOT(ISERROR(SEARCH($AR$1,S40)))</xm:f>
            <xm:f>$AR$1</xm:f>
            <x14:dxf>
              <fill>
                <patternFill>
                  <bgColor rgb="FFFF0000"/>
                </patternFill>
              </fill>
            </x14:dxf>
          </x14:cfRule>
          <xm:sqref>S40</xm:sqref>
        </x14:conditionalFormatting>
        <x14:conditionalFormatting xmlns:xm="http://schemas.microsoft.com/office/excel/2006/main">
          <x14:cfRule type="containsText" priority="14" operator="containsText" id="{AAAF1780-16EB-4EA9-92B7-89148ECAE8F1}">
            <xm:f>NOT(ISERROR(SEARCH($AR$1,S57)))</xm:f>
            <xm:f>$AR$1</xm:f>
            <x14:dxf>
              <fill>
                <patternFill>
                  <bgColor rgb="FFFF0000"/>
                </patternFill>
              </fill>
            </x14:dxf>
          </x14:cfRule>
          <xm:sqref>S57</xm:sqref>
        </x14:conditionalFormatting>
        <x14:conditionalFormatting xmlns:xm="http://schemas.microsoft.com/office/excel/2006/main">
          <x14:cfRule type="containsText" priority="9" operator="containsText" id="{6017C521-3ADD-477B-902D-65792561E554}">
            <xm:f>NOT(ISERROR(SEARCH($AR$1,S96)))</xm:f>
            <xm:f>$AR$1</xm:f>
            <x14:dxf>
              <fill>
                <patternFill>
                  <bgColor rgb="FFFF0000"/>
                </patternFill>
              </fill>
            </x14:dxf>
          </x14:cfRule>
          <xm:sqref>S96</xm:sqref>
        </x14:conditionalFormatting>
        <x14:conditionalFormatting xmlns:xm="http://schemas.microsoft.com/office/excel/2006/main">
          <x14:cfRule type="containsText" priority="4" operator="containsText" id="{24E03778-F01F-41FF-85AD-5FA1426DF584}">
            <xm:f>NOT(ISERROR(SEARCH($AR$1,S107)))</xm:f>
            <xm:f>$AR$1</xm:f>
            <x14:dxf>
              <fill>
                <patternFill>
                  <bgColor rgb="FFFF0000"/>
                </patternFill>
              </fill>
            </x14:dxf>
          </x14:cfRule>
          <xm:sqref>S107</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filterMode="1">
    <tabColor theme="5" tint="-0.249977111117893"/>
  </sheetPr>
  <dimension ref="A1:AW131"/>
  <sheetViews>
    <sheetView rightToLeft="1" tabSelected="1" view="pageBreakPreview" topLeftCell="B1" zoomScale="70" zoomScaleNormal="70" zoomScaleSheetLayoutView="70" workbookViewId="0">
      <pane xSplit="2" ySplit="30" topLeftCell="D31" activePane="bottomRight" state="frozen"/>
      <selection pane="topRight" activeCell="G58" sqref="G58"/>
      <selection pane="bottomLeft" activeCell="G58" sqref="G58"/>
      <selection pane="bottomRight" activeCell="W37" sqref="W37"/>
    </sheetView>
  </sheetViews>
  <sheetFormatPr defaultColWidth="9.140625" defaultRowHeight="15.75" x14ac:dyDescent="0.25"/>
  <cols>
    <col min="1" max="1" width="2.5703125" style="11" hidden="1" customWidth="1"/>
    <col min="2" max="2" width="8.85546875" style="11" customWidth="1"/>
    <col min="3" max="3" width="26.42578125" style="11" customWidth="1"/>
    <col min="4" max="4" width="14.5703125" style="11" customWidth="1"/>
    <col min="5" max="5" width="15.7109375" style="11" customWidth="1"/>
    <col min="6" max="6" width="16" style="11" hidden="1" customWidth="1"/>
    <col min="7" max="7" width="21.5703125" style="11" hidden="1" customWidth="1"/>
    <col min="8" max="8" width="18.140625" style="11" hidden="1" customWidth="1"/>
    <col min="9" max="9" width="17.5703125" style="11" hidden="1" customWidth="1"/>
    <col min="10" max="10" width="17.5703125" style="11" customWidth="1"/>
    <col min="11" max="11" width="18" style="11" customWidth="1"/>
    <col min="12" max="12" width="34.42578125" style="11" customWidth="1"/>
    <col min="13" max="13" width="27.5703125" style="11" customWidth="1"/>
    <col min="14" max="14" width="14" style="11" customWidth="1"/>
    <col min="15" max="15" width="16.85546875" style="11" bestFit="1" customWidth="1"/>
    <col min="16" max="16" width="16.85546875" style="11" customWidth="1"/>
    <col min="17" max="17" width="16" style="11" customWidth="1"/>
    <col min="18" max="18" width="18.85546875" style="359" customWidth="1"/>
    <col min="19" max="19" width="53.140625" style="359" customWidth="1"/>
    <col min="20" max="47" width="9.140625" style="11" customWidth="1"/>
    <col min="48" max="48" width="16.140625" style="11" customWidth="1"/>
    <col min="49" max="49" width="11.42578125" style="11" customWidth="1"/>
    <col min="50" max="16384" width="9.140625" style="11"/>
  </cols>
  <sheetData>
    <row r="1" spans="2:3" ht="18.75" x14ac:dyDescent="0.25">
      <c r="B1" s="249" t="str">
        <f>'פרמטרים לעקרונות חישוב התמיכה'!$B$1</f>
        <v>שנה</v>
      </c>
      <c r="C1" s="1">
        <f>'פרמטרים לעקרונות חישוב התמיכה'!$C$1</f>
        <v>2025</v>
      </c>
    </row>
    <row r="2" spans="2:3" ht="19.5" thickBot="1" x14ac:dyDescent="0.3">
      <c r="B2" s="256" t="str">
        <f>'פרמטרים לעקרונות חישוב התמיכה'!$B$2</f>
        <v>תקציב</v>
      </c>
      <c r="C2" s="2">
        <f>'פרמטרים לעקרונות חישוב התמיכה'!$C$2</f>
        <v>3076367</v>
      </c>
    </row>
    <row r="3" spans="2:3" ht="10.5" customHeight="1" thickBot="1" x14ac:dyDescent="0.3"/>
    <row r="4" spans="2:3" ht="16.5" hidden="1" thickBot="1" x14ac:dyDescent="0.3"/>
    <row r="5" spans="2:3" ht="16.5" hidden="1" thickBot="1" x14ac:dyDescent="0.3"/>
    <row r="6" spans="2:3" ht="16.5" hidden="1" thickBot="1" x14ac:dyDescent="0.3"/>
    <row r="7" spans="2:3" ht="16.5" hidden="1" thickBot="1" x14ac:dyDescent="0.3"/>
    <row r="8" spans="2:3" ht="16.5" hidden="1" thickBot="1" x14ac:dyDescent="0.3"/>
    <row r="9" spans="2:3" ht="16.5" hidden="1" thickBot="1" x14ac:dyDescent="0.3"/>
    <row r="10" spans="2:3" ht="16.5" hidden="1" thickBot="1" x14ac:dyDescent="0.3"/>
    <row r="11" spans="2:3" ht="16.5" hidden="1" thickBot="1" x14ac:dyDescent="0.3"/>
    <row r="12" spans="2:3" ht="16.5" hidden="1" thickBot="1" x14ac:dyDescent="0.3"/>
    <row r="13" spans="2:3" ht="16.5" hidden="1" thickBot="1" x14ac:dyDescent="0.3"/>
    <row r="14" spans="2:3" ht="16.5" hidden="1" thickBot="1" x14ac:dyDescent="0.3"/>
    <row r="15" spans="2:3" ht="16.5" hidden="1" thickBot="1" x14ac:dyDescent="0.3"/>
    <row r="16" spans="2:3" ht="16.5" hidden="1" thickBot="1" x14ac:dyDescent="0.3"/>
    <row r="17" spans="2:49" ht="16.5" hidden="1" thickBot="1" x14ac:dyDescent="0.3"/>
    <row r="18" spans="2:49" ht="16.5" hidden="1" thickBot="1" x14ac:dyDescent="0.3"/>
    <row r="19" spans="2:49" ht="16.5" hidden="1" thickBot="1" x14ac:dyDescent="0.3"/>
    <row r="20" spans="2:49" ht="16.5" hidden="1" thickBot="1" x14ac:dyDescent="0.3"/>
    <row r="21" spans="2:49" ht="16.5" hidden="1" thickBot="1" x14ac:dyDescent="0.3"/>
    <row r="22" spans="2:49" ht="16.5" hidden="1" thickBot="1" x14ac:dyDescent="0.3"/>
    <row r="23" spans="2:49" ht="16.5" hidden="1" thickBot="1" x14ac:dyDescent="0.3"/>
    <row r="24" spans="2:49" ht="16.5" hidden="1" thickBot="1" x14ac:dyDescent="0.3"/>
    <row r="25" spans="2:49" ht="16.5" hidden="1" thickBot="1" x14ac:dyDescent="0.3"/>
    <row r="26" spans="2:49" ht="16.5" hidden="1" thickBot="1" x14ac:dyDescent="0.3"/>
    <row r="27" spans="2:49" ht="16.5" hidden="1" thickBot="1" x14ac:dyDescent="0.3"/>
    <row r="28" spans="2:49" ht="16.5" hidden="1" thickBot="1" x14ac:dyDescent="0.3">
      <c r="D28" s="10"/>
      <c r="E28" s="10"/>
    </row>
    <row r="29" spans="2:49" ht="9.75" hidden="1" customHeight="1" thickBot="1" x14ac:dyDescent="0.3">
      <c r="W29" s="12"/>
    </row>
    <row r="30" spans="2:49" ht="46.5" customHeight="1" thickBot="1" x14ac:dyDescent="0.3">
      <c r="B30" s="311" t="s">
        <v>219</v>
      </c>
      <c r="C30" s="312" t="str">
        <f>'סיכום לועדה- הזנת נתונים'!C30</f>
        <v>שם המוסד</v>
      </c>
      <c r="D30" s="313" t="str">
        <f>'סיכום לועדה- הזנת נתונים'!D30</f>
        <v>מס' בקשה שנת תמיכה</v>
      </c>
      <c r="E30" s="313" t="str">
        <f>'סיכום לועדה- הזנת נתונים'!E30</f>
        <v>מס' בקשה שנה קודמת</v>
      </c>
      <c r="F30" s="313" t="str">
        <f>'סיכום לועדה- הזנת נתונים'!F30</f>
        <v>השנה האחרונה בה ניתנה הגנה לצורך 80% (מנגנון הגנה ביחס לשנה קודמת)</v>
      </c>
      <c r="G30" s="313" t="str">
        <f>'סיכום לועדה- הזנת נתונים'!G30</f>
        <v>זכאות להגנה של 80% (מנגנון הגנה ביחס לשנה קודמת)</v>
      </c>
      <c r="H30" s="313" t="str">
        <f>'סיכום לועדה- הזנת נתונים'!H30</f>
        <v>זיהוי מספר הבקשה לאותו גוף</v>
      </c>
      <c r="I30" s="313" t="str">
        <f>'סיכום לועדה- הזנת נתונים'!I30</f>
        <v>שנת בקשה</v>
      </c>
      <c r="J30" s="313" t="str">
        <f>'סיכום לועדה- הזנת נתונים'!J30</f>
        <v>מגיש בקשה</v>
      </c>
      <c r="K30" s="313" t="str">
        <f>'סיכום לועדה- הזנת נתונים'!K30</f>
        <v>מספר העמותה</v>
      </c>
      <c r="L30" s="313" t="str">
        <f>'סיכום לועדה- הזנת נתונים'!L30</f>
        <v>שם הגוף</v>
      </c>
      <c r="M30" s="313" t="str">
        <f>'סיכום לועדה- הזנת נתונים'!M30</f>
        <v>מהות הבקשה</v>
      </c>
      <c r="N30" s="313" t="str">
        <f>'סיכום לועדה- הזנת נתונים'!N30</f>
        <v>סכום מבוקש</v>
      </c>
      <c r="O30" s="313" t="str">
        <f>'סיכום לועדה- הזנת נתונים'!O30</f>
        <v>סכום תמיכה בשנה קודמת</v>
      </c>
      <c r="P30" s="313" t="str">
        <f>'סיכום לועדה- הזנת נתונים'!P30</f>
        <v>סכום תמיכה מומלץ</v>
      </c>
      <c r="Q30" s="313" t="str">
        <f>'סיכום לועדה- הזנת נתונים'!Q30</f>
        <v>שיעור שינוי מו שנה קודמת</v>
      </c>
      <c r="R30" s="313" t="str">
        <f>'סיכום לועדה- הזנת נתונים'!R30</f>
        <v>סיבות לשינויים ביחס לשנה קודמת</v>
      </c>
      <c r="S30" s="313" t="str">
        <f>'סיכום לועדה- הזנת נתונים'!S30</f>
        <v>נימוקים</v>
      </c>
    </row>
    <row r="31" spans="2:49" s="21" customFormat="1" ht="39" customHeight="1" x14ac:dyDescent="0.25">
      <c r="B31" s="13">
        <f t="shared" ref="B31:B94" si="0">IF(C31="","",ROW()-30)</f>
        <v>1</v>
      </c>
      <c r="C31" s="14" t="str">
        <f>'סיכום לועדה- הזנת נתונים'!C31</f>
        <v>אנסמבל פרץ אליהו</v>
      </c>
      <c r="D31" s="14">
        <f>'סיכום לועדה- הזנת נתונים'!D31</f>
        <v>1001908693</v>
      </c>
      <c r="E31" s="14">
        <f>'סיכום לועדה- הזנת נתונים'!E31</f>
        <v>1001735309</v>
      </c>
      <c r="F31" s="14">
        <f>'סיכום לועדה- הזנת נתונים'!F31</f>
        <v>2020</v>
      </c>
      <c r="G31" s="347">
        <f>'סיכום לועדה- הזנת נתונים'!G31</f>
        <v>1</v>
      </c>
      <c r="H31" s="347" t="str">
        <f>'סיכום לועדה- הזנת נתונים'!H31</f>
        <v/>
      </c>
      <c r="I31" s="475">
        <f>'סיכום לועדה- הזנת נתונים'!I31</f>
        <v>2025</v>
      </c>
      <c r="J31" s="475">
        <f>'סיכום לועדה- הזנת נתונים'!J31</f>
        <v>40221541</v>
      </c>
      <c r="K31" s="475">
        <f>'סיכום לועדה- הזנת נתונים'!K31</f>
        <v>580327740</v>
      </c>
      <c r="L31" s="15" t="str">
        <f>'סיכום לועדה- הזנת נתונים'!L31</f>
        <v>המרכז למוסיקה ע"ש פיליציה בלומנטל (</v>
      </c>
      <c r="M31" s="16" t="str">
        <f>'סיכום לועדה- הזנת נתונים'!M31</f>
        <v>אנסמבל פרץ אליהו</v>
      </c>
      <c r="N31" s="17">
        <f>'סיכום לועדה- הזנת נתונים'!N31</f>
        <v>95000</v>
      </c>
      <c r="O31" s="17">
        <f>'סיכום לועדה- הזנת נתונים'!O31</f>
        <v>90000</v>
      </c>
      <c r="P31" s="17">
        <f>'סיכום לועדה- הזנת נתונים'!P31</f>
        <v>94999.999999999956</v>
      </c>
      <c r="Q31" s="478">
        <f>'סיכום לועדה- הזנת נתונים'!Q31</f>
        <v>5.5555555555555136E-2</v>
      </c>
      <c r="R31" s="347">
        <f>'סיכום לועדה- הזנת נתונים'!R31</f>
        <v>0</v>
      </c>
      <c r="S31" s="347" t="str">
        <f>'סיכום לועדה- הזנת נתונים'!S31</f>
        <v>עומד בתנאי סף האמנותי ובתנאי הסף הכמותיים כקבוצה מוסיקלית.</v>
      </c>
      <c r="T31" s="18"/>
      <c r="U31" s="19"/>
      <c r="X31" s="20"/>
      <c r="AW31" s="22"/>
    </row>
    <row r="32" spans="2:49" ht="39" hidden="1" customHeight="1" x14ac:dyDescent="0.25">
      <c r="B32" s="23" t="str">
        <f t="shared" si="0"/>
        <v/>
      </c>
      <c r="C32" s="440" t="str">
        <f>'סיכום לועדה- הזנת נתונים'!C32</f>
        <v/>
      </c>
      <c r="D32" s="440">
        <f>'סיכום לועדה- הזנת נתונים'!D32</f>
        <v>0</v>
      </c>
      <c r="E32" s="440">
        <f>'סיכום לועדה- הזנת נתונים'!E32</f>
        <v>0</v>
      </c>
      <c r="F32" s="440">
        <f>'סיכום לועדה- הזנת נתונים'!F32</f>
        <v>0</v>
      </c>
      <c r="G32" s="441" t="str">
        <f>'סיכום לועדה- הזנת נתונים'!G32</f>
        <v/>
      </c>
      <c r="H32" s="441" t="str">
        <f>'סיכום לועדה- הזנת נתונים'!H32</f>
        <v/>
      </c>
      <c r="I32" s="476" t="str">
        <f>'סיכום לועדה- הזנת נתונים'!I32</f>
        <v/>
      </c>
      <c r="J32" s="476" t="str">
        <f>'סיכום לועדה- הזנת נתונים'!J32</f>
        <v/>
      </c>
      <c r="K32" s="476" t="str">
        <f>'סיכום לועדה- הזנת נתונים'!K32</f>
        <v/>
      </c>
      <c r="L32" s="442" t="str">
        <f>'סיכום לועדה- הזנת נתונים'!L32</f>
        <v/>
      </c>
      <c r="M32" s="443" t="str">
        <f>'סיכום לועדה- הזנת נתונים'!M32</f>
        <v/>
      </c>
      <c r="N32" s="444" t="str">
        <f>'סיכום לועדה- הזנת נתונים'!N32</f>
        <v/>
      </c>
      <c r="O32" s="444">
        <f>'סיכום לועדה- הזנת נתונים'!O32</f>
        <v>0</v>
      </c>
      <c r="P32" s="444" t="str">
        <f>'סיכום לועדה- הזנת נתונים'!P32</f>
        <v/>
      </c>
      <c r="Q32" s="479" t="str">
        <f>'סיכום לועדה- הזנת נתונים'!Q32</f>
        <v/>
      </c>
      <c r="R32" s="441">
        <f>'סיכום לועדה- הזנת נתונים'!R32</f>
        <v>0</v>
      </c>
      <c r="S32" s="441">
        <f>'סיכום לועדה- הזנת נתונים'!S32</f>
        <v>0</v>
      </c>
      <c r="T32" s="18"/>
      <c r="U32" s="19"/>
      <c r="V32" s="21"/>
      <c r="W32" s="21"/>
      <c r="X32" s="20"/>
      <c r="AU32" s="21"/>
      <c r="AV32" s="21"/>
      <c r="AW32" s="22"/>
    </row>
    <row r="33" spans="2:49" ht="75" customHeight="1" x14ac:dyDescent="0.25">
      <c r="B33" s="23">
        <f t="shared" si="0"/>
        <v>3</v>
      </c>
      <c r="C33" s="440" t="str">
        <f>'סיכום לועדה- הזנת נתונים'!C33</f>
        <v>הפתיליה</v>
      </c>
      <c r="D33" s="440">
        <f>'סיכום לועדה- הזנת נתונים'!D33</f>
        <v>1001908690</v>
      </c>
      <c r="E33" s="440">
        <f>'סיכום לועדה- הזנת נתונים'!E33</f>
        <v>1001735308</v>
      </c>
      <c r="F33" s="440">
        <f>'סיכום לועדה- הזנת נתונים'!F33</f>
        <v>2020</v>
      </c>
      <c r="G33" s="441">
        <f>'סיכום לועדה- הזנת נתונים'!G33</f>
        <v>1</v>
      </c>
      <c r="H33" s="441" t="str">
        <f>'סיכום לועדה- הזנת נתונים'!H33</f>
        <v/>
      </c>
      <c r="I33" s="476">
        <f>'סיכום לועדה- הזנת נתונים'!I33</f>
        <v>2025</v>
      </c>
      <c r="J33" s="476">
        <f>'סיכום לועדה- הזנת נתונים'!J33</f>
        <v>40221541</v>
      </c>
      <c r="K33" s="476">
        <f>'סיכום לועדה- הזנת נתונים'!K33</f>
        <v>580327740</v>
      </c>
      <c r="L33" s="442" t="str">
        <f>'סיכום לועדה- הזנת נתונים'!L33</f>
        <v>המרכז למוסיקה ע"ש פיליציה בלומנטל (</v>
      </c>
      <c r="M33" s="443" t="str">
        <f>'סיכום לועדה- הזנת נתונים'!M33</f>
        <v>הפתיליה</v>
      </c>
      <c r="N33" s="444">
        <f>'סיכום לועדה- הזנת נתונים'!N33</f>
        <v>60000</v>
      </c>
      <c r="O33" s="444">
        <f>'סיכום לועדה- הזנת נתונים'!O33</f>
        <v>55000</v>
      </c>
      <c r="P33" s="444" t="str">
        <f>'סיכום לועדה- הזנת נתונים'!P33</f>
        <v/>
      </c>
      <c r="Q33" s="479" t="str">
        <f>'סיכום לועדה- הזנת נתונים'!Q33</f>
        <v/>
      </c>
      <c r="R33" s="441">
        <f>'סיכום לועדה- הזנת נתונים'!R33</f>
        <v>0</v>
      </c>
      <c r="S33" s="441" t="str">
        <f>'סיכום לועדה- הזנת נתונים'!S33</f>
        <v>לא עומד בתנאי סף לפי סעיף 9.(א)(9) במבחן התמיכה לפחות 8 הרצות.4 הרצות בבדיקה של שנת הערכה רבעונית, ו 6 הרצות בבדיקת שנת הערכה קלנדרית</v>
      </c>
      <c r="T33" s="18"/>
      <c r="U33" s="19"/>
      <c r="V33" s="21"/>
      <c r="W33" s="21"/>
      <c r="X33" s="20"/>
      <c r="AU33" s="21"/>
      <c r="AV33" s="21"/>
      <c r="AW33" s="22"/>
    </row>
    <row r="34" spans="2:49" ht="39" customHeight="1" x14ac:dyDescent="0.25">
      <c r="B34" s="23">
        <f t="shared" si="0"/>
        <v>4</v>
      </c>
      <c r="C34" s="440" t="str">
        <f>'סיכום לועדה- הזנת נתונים'!C34</f>
        <v>יניב ד'אור - אנסמבל נאיה</v>
      </c>
      <c r="D34" s="440">
        <f>'סיכום לועדה- הזנת נתונים'!D34</f>
        <v>1001908666</v>
      </c>
      <c r="E34" s="440">
        <f>'סיכום לועדה- הזנת נתונים'!E34</f>
        <v>1001735298</v>
      </c>
      <c r="F34" s="440">
        <f>'סיכום לועדה- הזנת נתונים'!F34</f>
        <v>2020</v>
      </c>
      <c r="G34" s="441">
        <f>'סיכום לועדה- הזנת נתונים'!G34</f>
        <v>1</v>
      </c>
      <c r="H34" s="441" t="str">
        <f>'סיכום לועדה- הזנת נתונים'!H34</f>
        <v/>
      </c>
      <c r="I34" s="476">
        <f>'סיכום לועדה- הזנת נתונים'!I34</f>
        <v>2025</v>
      </c>
      <c r="J34" s="476">
        <f>'סיכום לועדה- הזנת נתונים'!J34</f>
        <v>40221541</v>
      </c>
      <c r="K34" s="476">
        <f>'סיכום לועדה- הזנת נתונים'!K34</f>
        <v>580327740</v>
      </c>
      <c r="L34" s="442" t="str">
        <f>'סיכום לועדה- הזנת נתונים'!L34</f>
        <v>המרכז למוסיקה ע"ש פיליציה בלומנטל (</v>
      </c>
      <c r="M34" s="443" t="str">
        <f>'סיכום לועדה- הזנת נתונים'!M34</f>
        <v>יניב ד'אור ואנסמבל נאיה</v>
      </c>
      <c r="N34" s="444">
        <f>'סיכום לועדה- הזנת נתונים'!N34</f>
        <v>65000</v>
      </c>
      <c r="O34" s="444">
        <f>'סיכום לועדה- הזנת נתונים'!O34</f>
        <v>65368</v>
      </c>
      <c r="P34" s="444">
        <f>'סיכום לועדה- הזנת נתונים'!P34</f>
        <v>64999.999999999971</v>
      </c>
      <c r="Q34" s="479">
        <f>'סיכום לועדה- הזנת נתונים'!Q34</f>
        <v>-5.6296658915682141E-3</v>
      </c>
      <c r="R34" s="441">
        <f>'סיכום לועדה- הזנת נתונים'!R34</f>
        <v>0</v>
      </c>
      <c r="S34" s="441" t="str">
        <f>'סיכום לועדה- הזנת נתונים'!S34</f>
        <v>עומד בתנאי סף האמנותי ובתנאי הסף הכמותיים כקבוצה מוסיקלית.</v>
      </c>
      <c r="T34" s="18"/>
      <c r="U34" s="19"/>
      <c r="V34" s="21"/>
      <c r="W34" s="21"/>
      <c r="X34" s="20"/>
      <c r="AU34" s="21"/>
      <c r="AV34" s="21"/>
      <c r="AW34" s="22"/>
    </row>
    <row r="35" spans="2:49" ht="39" hidden="1" customHeight="1" x14ac:dyDescent="0.25">
      <c r="B35" s="23" t="str">
        <f t="shared" si="0"/>
        <v/>
      </c>
      <c r="C35" s="440" t="str">
        <f>'סיכום לועדה- הזנת נתונים'!C35</f>
        <v/>
      </c>
      <c r="D35" s="440">
        <f>'סיכום לועדה- הזנת נתונים'!D35</f>
        <v>0</v>
      </c>
      <c r="E35" s="440">
        <f>'סיכום לועדה- הזנת נתונים'!E35</f>
        <v>0</v>
      </c>
      <c r="F35" s="440">
        <f>'סיכום לועדה- הזנת נתונים'!F35</f>
        <v>0</v>
      </c>
      <c r="G35" s="441" t="str">
        <f>'סיכום לועדה- הזנת נתונים'!G35</f>
        <v/>
      </c>
      <c r="H35" s="441" t="str">
        <f>'סיכום לועדה- הזנת נתונים'!H35</f>
        <v/>
      </c>
      <c r="I35" s="476" t="str">
        <f>'סיכום לועדה- הזנת נתונים'!I35</f>
        <v/>
      </c>
      <c r="J35" s="476" t="str">
        <f>'סיכום לועדה- הזנת נתונים'!J35</f>
        <v/>
      </c>
      <c r="K35" s="476" t="str">
        <f>'סיכום לועדה- הזנת נתונים'!K35</f>
        <v/>
      </c>
      <c r="L35" s="442" t="str">
        <f>'סיכום לועדה- הזנת נתונים'!L35</f>
        <v/>
      </c>
      <c r="M35" s="443" t="str">
        <f>'סיכום לועדה- הזנת נתונים'!M35</f>
        <v/>
      </c>
      <c r="N35" s="444" t="str">
        <f>'סיכום לועדה- הזנת נתונים'!N35</f>
        <v/>
      </c>
      <c r="O35" s="444">
        <f>'סיכום לועדה- הזנת נתונים'!O35</f>
        <v>0</v>
      </c>
      <c r="P35" s="444" t="str">
        <f>'סיכום לועדה- הזנת נתונים'!P35</f>
        <v/>
      </c>
      <c r="Q35" s="479" t="str">
        <f>'סיכום לועדה- הזנת נתונים'!Q35</f>
        <v/>
      </c>
      <c r="R35" s="441">
        <f>'סיכום לועדה- הזנת נתונים'!R35</f>
        <v>0</v>
      </c>
      <c r="S35" s="441">
        <f>'סיכום לועדה- הזנת נתונים'!S35</f>
        <v>0</v>
      </c>
      <c r="T35" s="18"/>
      <c r="U35" s="19"/>
      <c r="V35" s="21"/>
      <c r="W35" s="21"/>
      <c r="X35" s="20"/>
      <c r="AU35" s="21"/>
      <c r="AV35" s="21"/>
      <c r="AW35" s="22"/>
    </row>
    <row r="36" spans="2:49" ht="39" customHeight="1" x14ac:dyDescent="0.25">
      <c r="B36" s="23">
        <f t="shared" si="0"/>
        <v>6</v>
      </c>
      <c r="C36" s="440" t="str">
        <f>'סיכום לועדה- הזנת נתונים'!C36</f>
        <v>הפרויקט הקאמרי הישראלי</v>
      </c>
      <c r="D36" s="440">
        <f>'סיכום לועדה- הזנת נתונים'!D36</f>
        <v>1001908682</v>
      </c>
      <c r="E36" s="440">
        <f>'סיכום לועדה- הזנת נתונים'!E36</f>
        <v>1001735302</v>
      </c>
      <c r="F36" s="440">
        <f>'סיכום לועדה- הזנת נתונים'!F36</f>
        <v>2020</v>
      </c>
      <c r="G36" s="441">
        <f>'סיכום לועדה- הזנת נתונים'!G36</f>
        <v>1</v>
      </c>
      <c r="H36" s="441" t="str">
        <f>'סיכום לועדה- הזנת נתונים'!H36</f>
        <v/>
      </c>
      <c r="I36" s="476">
        <f>'סיכום לועדה- הזנת נתונים'!I36</f>
        <v>2025</v>
      </c>
      <c r="J36" s="476">
        <f>'סיכום לועדה- הזנת נתונים'!J36</f>
        <v>40221541</v>
      </c>
      <c r="K36" s="476">
        <f>'סיכום לועדה- הזנת נתונים'!K36</f>
        <v>580327740</v>
      </c>
      <c r="L36" s="442" t="str">
        <f>'סיכום לועדה- הזנת נתונים'!L36</f>
        <v>המרכז למוסיקה ע"ש פיליציה בלומנטל (</v>
      </c>
      <c r="M36" s="443" t="str">
        <f>'סיכום לועדה- הזנת נתונים'!M36</f>
        <v>הפרויקט הקאמרי הישראלי</v>
      </c>
      <c r="N36" s="444">
        <f>'סיכום לועדה- הזנת נתונים'!N36</f>
        <v>95000</v>
      </c>
      <c r="O36" s="444">
        <f>'סיכום לועדה- הזנת נתונים'!O36</f>
        <v>87848</v>
      </c>
      <c r="P36" s="444">
        <f>'סיכום לועדה- הזנת נתונים'!P36</f>
        <v>85314.896794804052</v>
      </c>
      <c r="Q36" s="479">
        <f>'סיכום לועדה- הזנת נתונים'!Q36</f>
        <v>-2.8835069724933438E-2</v>
      </c>
      <c r="R36" s="441">
        <f>'סיכום לועדה- הזנת נתונים'!R36</f>
        <v>0</v>
      </c>
      <c r="S36" s="441" t="str">
        <f>'סיכום לועדה- הזנת נתונים'!S36</f>
        <v>עומד בתנאי סף האמנותי ובתנאי הסף הכמותיים כקבוצה מוסיקלית.</v>
      </c>
      <c r="T36" s="18"/>
      <c r="U36" s="19"/>
      <c r="V36" s="21"/>
      <c r="W36" s="21"/>
      <c r="X36" s="20"/>
      <c r="AU36" s="21"/>
      <c r="AV36" s="21"/>
      <c r="AW36" s="22"/>
    </row>
    <row r="37" spans="2:49" ht="45" customHeight="1" x14ac:dyDescent="0.25">
      <c r="B37" s="23">
        <f t="shared" si="0"/>
        <v>7</v>
      </c>
      <c r="C37" s="440" t="str">
        <f>'סיכום לועדה- הזנת נתונים'!C37</f>
        <v>מארש דונדורמה</v>
      </c>
      <c r="D37" s="440">
        <f>'סיכום לועדה- הזנת נתונים'!D37</f>
        <v>1001908665</v>
      </c>
      <c r="E37" s="440">
        <f>'סיכום לועדה- הזנת נתונים'!E37</f>
        <v>1001735296</v>
      </c>
      <c r="F37" s="440">
        <f>'סיכום לועדה- הזנת נתונים'!F37</f>
        <v>2020</v>
      </c>
      <c r="G37" s="441">
        <f>'סיכום לועדה- הזנת נתונים'!G37</f>
        <v>1</v>
      </c>
      <c r="H37" s="441" t="str">
        <f>'סיכום לועדה- הזנת נתונים'!H37</f>
        <v/>
      </c>
      <c r="I37" s="476">
        <f>'סיכום לועדה- הזנת נתונים'!I37</f>
        <v>2025</v>
      </c>
      <c r="J37" s="476">
        <f>'סיכום לועדה- הזנת נתונים'!J37</f>
        <v>40221541</v>
      </c>
      <c r="K37" s="476">
        <f>'סיכום לועדה- הזנת נתונים'!K37</f>
        <v>580327740</v>
      </c>
      <c r="L37" s="442" t="str">
        <f>'סיכום לועדה- הזנת נתונים'!L37</f>
        <v>המרכז למוסיקה ע"ש פיליציה בלומנטל (</v>
      </c>
      <c r="M37" s="443" t="str">
        <f>'סיכום לועדה- הזנת נתונים'!M37</f>
        <v>מארש דונדורמה</v>
      </c>
      <c r="N37" s="444">
        <f>'סיכום לועדה- הזנת נתונים'!N37</f>
        <v>130000</v>
      </c>
      <c r="O37" s="444">
        <f>'סיכום לועדה- הזנת נתונים'!O37</f>
        <v>130000</v>
      </c>
      <c r="P37" s="444">
        <f>'סיכום לועדה- הזנת נתונים'!P37</f>
        <v>129999.99999999994</v>
      </c>
      <c r="Q37" s="479">
        <f>'סיכום לועדה- הזנת נתונים'!Q37</f>
        <v>-4.4408920985006262E-16</v>
      </c>
      <c r="R37" s="441">
        <f>'סיכום לועדה- הזנת נתונים'!R37</f>
        <v>0</v>
      </c>
      <c r="S37" s="441" t="str">
        <f>'סיכום לועדה- הזנת נתונים'!S37</f>
        <v>עומד בתנאי סף האמנותי ובתנאי הסף הכמותיים כקבוצה מוסיקלית.</v>
      </c>
      <c r="T37" s="18"/>
      <c r="U37" s="19"/>
      <c r="V37" s="21"/>
      <c r="W37" s="21"/>
      <c r="X37" s="20"/>
      <c r="AU37" s="21"/>
      <c r="AV37" s="21"/>
      <c r="AW37" s="22"/>
    </row>
    <row r="38" spans="2:49" ht="92.25" customHeight="1" x14ac:dyDescent="0.25">
      <c r="B38" s="23">
        <f t="shared" si="0"/>
        <v>8</v>
      </c>
      <c r="C38" s="440" t="str">
        <f>'סיכום לועדה- הזנת נתונים'!C38</f>
        <v>להקת מורין נהדר</v>
      </c>
      <c r="D38" s="440">
        <f>'סיכום לועדה- הזנת נתונים'!D38</f>
        <v>1001908626</v>
      </c>
      <c r="E38" s="440">
        <f>'סיכום לועדה- הזנת נתונים'!E38</f>
        <v>1001735297</v>
      </c>
      <c r="F38" s="440">
        <f>'סיכום לועדה- הזנת נתונים'!F38</f>
        <v>2020</v>
      </c>
      <c r="G38" s="441">
        <f>'סיכום לועדה- הזנת נתונים'!G38</f>
        <v>1</v>
      </c>
      <c r="H38" s="441" t="str">
        <f>'סיכום לועדה- הזנת נתונים'!H38</f>
        <v/>
      </c>
      <c r="I38" s="476">
        <f>'סיכום לועדה- הזנת נתונים'!I38</f>
        <v>2025</v>
      </c>
      <c r="J38" s="476">
        <f>'סיכום לועדה- הזנת נתונים'!J38</f>
        <v>40221541</v>
      </c>
      <c r="K38" s="476">
        <f>'סיכום לועדה- הזנת נתונים'!K38</f>
        <v>580327740</v>
      </c>
      <c r="L38" s="442" t="str">
        <f>'סיכום לועדה- הזנת נתונים'!L38</f>
        <v>המרכז למוסיקה ע"ש פיליציה בלומנטל (</v>
      </c>
      <c r="M38" s="443" t="str">
        <f>'סיכום לועדה- הזנת נתונים'!M38</f>
        <v>להקת מורין נהדר</v>
      </c>
      <c r="N38" s="444">
        <f>'סיכום לועדה- הזנת נתונים'!N38</f>
        <v>50000</v>
      </c>
      <c r="O38" s="444">
        <f>'סיכום לועדה- הזנת נתונים'!O38</f>
        <v>38495</v>
      </c>
      <c r="P38" s="444">
        <f>'סיכום לועדה- הזנת נתונים'!P38</f>
        <v>32830.438409345188</v>
      </c>
      <c r="Q38" s="479">
        <f>'סיכום לועדה- הזנת נתונים'!Q38</f>
        <v>-0.14715058035211881</v>
      </c>
      <c r="R38" s="441">
        <f>'סיכום לועדה- הזנת נתונים'!R38</f>
        <v>0</v>
      </c>
      <c r="S38" s="441" t="str">
        <f>'סיכום לועדה- הזנת נתונים'!S38</f>
        <v>עומד בתנאי סף האמנותי. לא עומד בהיקף מינמלי של תקציב 44,838 ₪ במקום  54,389 ₪. המדור המליץ על מתן הקלה לפי סעיף 9.(ב) הואיל ומדובר בהרכב ייחודי והתקציב של ההרכב עומד בשיעור ההקלה של 80%.</v>
      </c>
      <c r="T38" s="18"/>
      <c r="U38" s="19"/>
      <c r="V38" s="21"/>
      <c r="W38" s="21"/>
      <c r="X38" s="20"/>
      <c r="AU38" s="21"/>
      <c r="AV38" s="21"/>
      <c r="AW38" s="22"/>
    </row>
    <row r="39" spans="2:49" ht="39" hidden="1" customHeight="1" x14ac:dyDescent="0.25">
      <c r="B39" s="23" t="str">
        <f t="shared" si="0"/>
        <v/>
      </c>
      <c r="C39" s="440" t="str">
        <f>'סיכום לועדה- הזנת נתונים'!C39</f>
        <v/>
      </c>
      <c r="D39" s="440">
        <f>'סיכום לועדה- הזנת נתונים'!D39</f>
        <v>0</v>
      </c>
      <c r="E39" s="440">
        <f>'סיכום לועדה- הזנת נתונים'!E39</f>
        <v>0</v>
      </c>
      <c r="F39" s="440">
        <f>'סיכום לועדה- הזנת נתונים'!F39</f>
        <v>0</v>
      </c>
      <c r="G39" s="441" t="str">
        <f>'סיכום לועדה- הזנת נתונים'!G39</f>
        <v/>
      </c>
      <c r="H39" s="441" t="str">
        <f>'סיכום לועדה- הזנת נתונים'!H39</f>
        <v/>
      </c>
      <c r="I39" s="476" t="str">
        <f>'סיכום לועדה- הזנת נתונים'!I39</f>
        <v/>
      </c>
      <c r="J39" s="476" t="str">
        <f>'סיכום לועדה- הזנת נתונים'!J39</f>
        <v/>
      </c>
      <c r="K39" s="476" t="str">
        <f>'סיכום לועדה- הזנת נתונים'!K39</f>
        <v/>
      </c>
      <c r="L39" s="442" t="str">
        <f>'סיכום לועדה- הזנת נתונים'!L39</f>
        <v/>
      </c>
      <c r="M39" s="443" t="str">
        <f>'סיכום לועדה- הזנת נתונים'!M39</f>
        <v/>
      </c>
      <c r="N39" s="444" t="str">
        <f>'סיכום לועדה- הזנת נתונים'!N39</f>
        <v/>
      </c>
      <c r="O39" s="444">
        <f>'סיכום לועדה- הזנת נתונים'!O39</f>
        <v>0</v>
      </c>
      <c r="P39" s="444" t="str">
        <f>'סיכום לועדה- הזנת נתונים'!P39</f>
        <v/>
      </c>
      <c r="Q39" s="479" t="str">
        <f>'סיכום לועדה- הזנת נתונים'!Q39</f>
        <v/>
      </c>
      <c r="R39" s="441">
        <f>'סיכום לועדה- הזנת נתונים'!R39</f>
        <v>0</v>
      </c>
      <c r="S39" s="441">
        <f>'סיכום לועדה- הזנת נתונים'!S39</f>
        <v>0</v>
      </c>
      <c r="T39" s="18"/>
      <c r="U39" s="19"/>
      <c r="V39" s="21"/>
      <c r="W39" s="21"/>
      <c r="X39" s="20"/>
      <c r="AU39" s="21"/>
      <c r="AV39" s="21"/>
      <c r="AW39" s="22"/>
    </row>
    <row r="40" spans="2:49" ht="63" customHeight="1" x14ac:dyDescent="0.25">
      <c r="B40" s="23">
        <f t="shared" si="0"/>
        <v>10</v>
      </c>
      <c r="C40" s="440" t="str">
        <f>'סיכום לועדה- הזנת נתונים'!C40</f>
        <v>אנסמבל גלעד אפרת</v>
      </c>
      <c r="D40" s="440">
        <f>'סיכום לועדה- הזנת נתונים'!D40</f>
        <v>1001908692</v>
      </c>
      <c r="E40" s="440">
        <f>'סיכום לועדה- הזנת נתונים'!E40</f>
        <v>1001735307</v>
      </c>
      <c r="F40" s="440">
        <f>'סיכום לועדה- הזנת נתונים'!F40</f>
        <v>2020</v>
      </c>
      <c r="G40" s="441">
        <f>'סיכום לועדה- הזנת נתונים'!G40</f>
        <v>1</v>
      </c>
      <c r="H40" s="441" t="str">
        <f>'סיכום לועדה- הזנת נתונים'!H40</f>
        <v/>
      </c>
      <c r="I40" s="476">
        <f>'סיכום לועדה- הזנת נתונים'!I40</f>
        <v>2025</v>
      </c>
      <c r="J40" s="476">
        <f>'סיכום לועדה- הזנת נתונים'!J40</f>
        <v>40221541</v>
      </c>
      <c r="K40" s="476">
        <f>'סיכום לועדה- הזנת נתונים'!K40</f>
        <v>580327740</v>
      </c>
      <c r="L40" s="442" t="str">
        <f>'סיכום לועדה- הזנת נתונים'!L40</f>
        <v>המרכז למוסיקה ע"ש פיליציה בלומנטל (</v>
      </c>
      <c r="M40" s="443" t="str">
        <f>'סיכום לועדה- הזנת נתונים'!M40</f>
        <v>אנסמבל גלעד אפרת</v>
      </c>
      <c r="N40" s="444">
        <f>'סיכום לועדה- הזנת נתונים'!N40</f>
        <v>65000</v>
      </c>
      <c r="O40" s="444">
        <f>'סיכום לועדה- הזנת נתונים'!O40</f>
        <v>53364</v>
      </c>
      <c r="P40" s="444">
        <f>'סיכום לועדה- הזנת נתונים'!P40</f>
        <v>64999.999999999971</v>
      </c>
      <c r="Q40" s="479">
        <f>'סיכום לועדה- הזנת נתונים'!Q40</f>
        <v>0.2180496214676555</v>
      </c>
      <c r="R40" s="441" t="str">
        <f>'סיכום לועדה- הזנת נתונים'!R40</f>
        <v>עליה בנתונים וברמה האמנותית</v>
      </c>
      <c r="S40" s="441" t="str">
        <f>'סיכום לועדה- הזנת נתונים'!S40</f>
        <v>עומד בתנאי סף האמנותי .לא עומד במספר ההרצות: 7 במקום 8. המדור המליץ על מתן הקלה לפי סעיף 9.(ב) הואיל ועומד בכל תנאי הסף האחרים.</v>
      </c>
      <c r="T40" s="18"/>
      <c r="U40" s="19"/>
      <c r="V40" s="21"/>
      <c r="W40" s="21"/>
      <c r="X40" s="20"/>
      <c r="AU40" s="21"/>
      <c r="AV40" s="21"/>
      <c r="AW40" s="22"/>
    </row>
    <row r="41" spans="2:49" ht="39" customHeight="1" x14ac:dyDescent="0.25">
      <c r="B41" s="23">
        <f t="shared" si="0"/>
        <v>11</v>
      </c>
      <c r="C41" s="440" t="str">
        <f>'סיכום לועדה- הזנת נתונים'!C41</f>
        <v>רביעיית כרמל</v>
      </c>
      <c r="D41" s="440">
        <f>'סיכום לועדה- הזנת נתונים'!D41</f>
        <v>1001908629</v>
      </c>
      <c r="E41" s="440">
        <f>'סיכום לועדה- הזנת נתונים'!E41</f>
        <v>1001735295</v>
      </c>
      <c r="F41" s="440">
        <f>'סיכום לועדה- הזנת נתונים'!F41</f>
        <v>2020</v>
      </c>
      <c r="G41" s="441">
        <f>'סיכום לועדה- הזנת נתונים'!G41</f>
        <v>1</v>
      </c>
      <c r="H41" s="441" t="str">
        <f>'סיכום לועדה- הזנת נתונים'!H41</f>
        <v/>
      </c>
      <c r="I41" s="476">
        <f>'סיכום לועדה- הזנת נתונים'!I41</f>
        <v>2025</v>
      </c>
      <c r="J41" s="476">
        <f>'סיכום לועדה- הזנת נתונים'!J41</f>
        <v>40221541</v>
      </c>
      <c r="K41" s="476">
        <f>'סיכום לועדה- הזנת נתונים'!K41</f>
        <v>580327740</v>
      </c>
      <c r="L41" s="442" t="str">
        <f>'סיכום לועדה- הזנת נתונים'!L41</f>
        <v>המרכז למוסיקה ע"ש פיליציה בלומנטל (</v>
      </c>
      <c r="M41" s="443" t="str">
        <f>'סיכום לועדה- הזנת נתונים'!M41</f>
        <v>רביעיית כרמל</v>
      </c>
      <c r="N41" s="444">
        <f>'סיכום לועדה- הזנת נתונים'!N41</f>
        <v>128000</v>
      </c>
      <c r="O41" s="444">
        <f>'סיכום לועדה- הזנת נתונים'!O41</f>
        <v>119821</v>
      </c>
      <c r="P41" s="444">
        <f>'סיכום לועדה- הזנת נתונים'!P41</f>
        <v>127999.99999999994</v>
      </c>
      <c r="Q41" s="479">
        <f>'סיכום לועדה- הזנת נתונים'!Q41</f>
        <v>6.8260154730806377E-2</v>
      </c>
      <c r="R41" s="441">
        <f>'סיכום לועדה- הזנת נתונים'!R41</f>
        <v>0</v>
      </c>
      <c r="S41" s="441" t="str">
        <f>'סיכום לועדה- הזנת נתונים'!S41</f>
        <v>עומד בתנאי סף האמנותי ובתנאי הסף הכמותיים כקבוצה מוסיקלית.</v>
      </c>
      <c r="T41" s="18"/>
      <c r="U41" s="19"/>
      <c r="V41" s="21"/>
      <c r="W41" s="21"/>
      <c r="X41" s="20"/>
      <c r="AU41" s="21"/>
      <c r="AV41" s="21"/>
      <c r="AW41" s="22"/>
    </row>
    <row r="42" spans="2:49" ht="39" customHeight="1" x14ac:dyDescent="0.25">
      <c r="B42" s="23">
        <f t="shared" si="0"/>
        <v>12</v>
      </c>
      <c r="C42" s="440" t="str">
        <f>'סיכום לועדה- הזנת נתונים'!C42</f>
        <v>שורולה</v>
      </c>
      <c r="D42" s="440">
        <f>'סיכום לועדה- הזנת נתונים'!D42</f>
        <v>1001908664</v>
      </c>
      <c r="E42" s="440">
        <f>'סיכום לועדה- הזנת נתונים'!E42</f>
        <v>1001735293</v>
      </c>
      <c r="F42" s="440">
        <f>'סיכום לועדה- הזנת נתונים'!F42</f>
        <v>2020</v>
      </c>
      <c r="G42" s="441">
        <f>'סיכום לועדה- הזנת נתונים'!G42</f>
        <v>1</v>
      </c>
      <c r="H42" s="441" t="str">
        <f>'סיכום לועדה- הזנת נתונים'!H42</f>
        <v/>
      </c>
      <c r="I42" s="476">
        <f>'סיכום לועדה- הזנת נתונים'!I42</f>
        <v>2025</v>
      </c>
      <c r="J42" s="476">
        <f>'סיכום לועדה- הזנת נתונים'!J42</f>
        <v>40221541</v>
      </c>
      <c r="K42" s="476">
        <f>'סיכום לועדה- הזנת נתונים'!K42</f>
        <v>580327740</v>
      </c>
      <c r="L42" s="442" t="str">
        <f>'סיכום לועדה- הזנת נתונים'!L42</f>
        <v>המרכז למוסיקה ע"ש פיליציה בלומנטל (</v>
      </c>
      <c r="M42" s="443" t="str">
        <f>'סיכום לועדה- הזנת נתונים'!M42</f>
        <v>שורולה</v>
      </c>
      <c r="N42" s="444">
        <f>'סיכום לועדה- הזנת נתונים'!N42</f>
        <v>55000</v>
      </c>
      <c r="O42" s="444">
        <f>'סיכום לועדה- הזנת נתונים'!O42</f>
        <v>35739</v>
      </c>
      <c r="P42" s="444">
        <f>'סיכום לועדה- הזנת נתונים'!P42</f>
        <v>39804.281679595129</v>
      </c>
      <c r="Q42" s="479">
        <f>'סיכום לועדה- הזנת נתונים'!Q42</f>
        <v>0.11374917260122364</v>
      </c>
      <c r="R42" s="441">
        <f>'סיכום לועדה- הזנת נתונים'!R42</f>
        <v>0</v>
      </c>
      <c r="S42" s="441" t="str">
        <f>'סיכום לועדה- הזנת נתונים'!S42</f>
        <v>עומד בתנאי סף האמנותי ובתנאי הסף הכמותיים כקבוצה מוסיקלית.</v>
      </c>
      <c r="T42" s="18"/>
      <c r="U42" s="19"/>
      <c r="V42" s="21"/>
      <c r="W42" s="21"/>
      <c r="X42" s="20"/>
      <c r="AU42" s="21"/>
      <c r="AV42" s="21"/>
      <c r="AW42" s="22"/>
    </row>
    <row r="43" spans="2:49" ht="39" hidden="1" customHeight="1" x14ac:dyDescent="0.25">
      <c r="B43" s="23" t="str">
        <f t="shared" si="0"/>
        <v/>
      </c>
      <c r="C43" s="440" t="str">
        <f>'סיכום לועדה- הזנת נתונים'!C43</f>
        <v/>
      </c>
      <c r="D43" s="440">
        <f>'סיכום לועדה- הזנת נתונים'!D43</f>
        <v>0</v>
      </c>
      <c r="E43" s="440">
        <f>'סיכום לועדה- הזנת נתונים'!E43</f>
        <v>0</v>
      </c>
      <c r="F43" s="440">
        <f>'סיכום לועדה- הזנת נתונים'!F43</f>
        <v>0</v>
      </c>
      <c r="G43" s="441" t="str">
        <f>'סיכום לועדה- הזנת נתונים'!G43</f>
        <v/>
      </c>
      <c r="H43" s="441" t="str">
        <f>'סיכום לועדה- הזנת נתונים'!H43</f>
        <v/>
      </c>
      <c r="I43" s="476" t="str">
        <f>'סיכום לועדה- הזנת נתונים'!I43</f>
        <v/>
      </c>
      <c r="J43" s="476" t="str">
        <f>'סיכום לועדה- הזנת נתונים'!J43</f>
        <v/>
      </c>
      <c r="K43" s="476" t="str">
        <f>'סיכום לועדה- הזנת נתונים'!K43</f>
        <v/>
      </c>
      <c r="L43" s="442" t="str">
        <f>'סיכום לועדה- הזנת נתונים'!L43</f>
        <v/>
      </c>
      <c r="M43" s="443" t="str">
        <f>'סיכום לועדה- הזנת נתונים'!M43</f>
        <v/>
      </c>
      <c r="N43" s="444" t="str">
        <f>'סיכום לועדה- הזנת נתונים'!N43</f>
        <v/>
      </c>
      <c r="O43" s="444">
        <f>'סיכום לועדה- הזנת נתונים'!O43</f>
        <v>0</v>
      </c>
      <c r="P43" s="444" t="str">
        <f>'סיכום לועדה- הזנת נתונים'!P43</f>
        <v/>
      </c>
      <c r="Q43" s="479" t="str">
        <f>'סיכום לועדה- הזנת נתונים'!Q43</f>
        <v/>
      </c>
      <c r="R43" s="441">
        <f>'סיכום לועדה- הזנת נתונים'!R43</f>
        <v>0</v>
      </c>
      <c r="S43" s="441">
        <f>'סיכום לועדה- הזנת נתונים'!S43</f>
        <v>0</v>
      </c>
      <c r="T43" s="18"/>
      <c r="U43" s="19"/>
      <c r="V43" s="21"/>
      <c r="W43" s="21"/>
      <c r="X43" s="20"/>
      <c r="AU43" s="21"/>
      <c r="AV43" s="21"/>
      <c r="AW43" s="22"/>
    </row>
    <row r="44" spans="2:49" ht="39" hidden="1" customHeight="1" x14ac:dyDescent="0.25">
      <c r="B44" s="23" t="str">
        <f t="shared" si="0"/>
        <v/>
      </c>
      <c r="C44" s="440" t="str">
        <f>'סיכום לועדה- הזנת נתונים'!C44</f>
        <v/>
      </c>
      <c r="D44" s="440">
        <f>'סיכום לועדה- הזנת נתונים'!D44</f>
        <v>0</v>
      </c>
      <c r="E44" s="440">
        <f>'סיכום לועדה- הזנת נתונים'!E44</f>
        <v>0</v>
      </c>
      <c r="F44" s="440">
        <f>'סיכום לועדה- הזנת נתונים'!F44</f>
        <v>0</v>
      </c>
      <c r="G44" s="441" t="str">
        <f>'סיכום לועדה- הזנת נתונים'!G44</f>
        <v/>
      </c>
      <c r="H44" s="441" t="str">
        <f>'סיכום לועדה- הזנת נתונים'!H44</f>
        <v/>
      </c>
      <c r="I44" s="476" t="str">
        <f>'סיכום לועדה- הזנת נתונים'!I44</f>
        <v/>
      </c>
      <c r="J44" s="476" t="str">
        <f>'סיכום לועדה- הזנת נתונים'!J44</f>
        <v/>
      </c>
      <c r="K44" s="476" t="str">
        <f>'סיכום לועדה- הזנת נתונים'!K44</f>
        <v/>
      </c>
      <c r="L44" s="442" t="str">
        <f>'סיכום לועדה- הזנת נתונים'!L44</f>
        <v/>
      </c>
      <c r="M44" s="443" t="str">
        <f>'סיכום לועדה- הזנת נתונים'!M44</f>
        <v/>
      </c>
      <c r="N44" s="444" t="str">
        <f>'סיכום לועדה- הזנת נתונים'!N44</f>
        <v/>
      </c>
      <c r="O44" s="444">
        <f>'סיכום לועדה- הזנת נתונים'!O44</f>
        <v>0</v>
      </c>
      <c r="P44" s="444" t="str">
        <f>'סיכום לועדה- הזנת נתונים'!P44</f>
        <v/>
      </c>
      <c r="Q44" s="479" t="str">
        <f>'סיכום לועדה- הזנת נתונים'!Q44</f>
        <v/>
      </c>
      <c r="R44" s="441">
        <f>'סיכום לועדה- הזנת נתונים'!R44</f>
        <v>0</v>
      </c>
      <c r="S44" s="441">
        <f>'סיכום לועדה- הזנת נתונים'!S44</f>
        <v>0</v>
      </c>
      <c r="T44" s="18"/>
      <c r="U44" s="19"/>
      <c r="V44" s="21"/>
      <c r="W44" s="21"/>
      <c r="X44" s="20"/>
      <c r="AU44" s="21"/>
      <c r="AV44" s="21"/>
      <c r="AW44" s="22"/>
    </row>
    <row r="45" spans="2:49" ht="39" hidden="1" customHeight="1" x14ac:dyDescent="0.25">
      <c r="B45" s="23" t="str">
        <f t="shared" si="0"/>
        <v/>
      </c>
      <c r="C45" s="440" t="str">
        <f>'סיכום לועדה- הזנת נתונים'!C45</f>
        <v/>
      </c>
      <c r="D45" s="440">
        <f>'סיכום לועדה- הזנת נתונים'!D45</f>
        <v>0</v>
      </c>
      <c r="E45" s="440">
        <f>'סיכום לועדה- הזנת נתונים'!E45</f>
        <v>0</v>
      </c>
      <c r="F45" s="440">
        <f>'סיכום לועדה- הזנת נתונים'!F45</f>
        <v>0</v>
      </c>
      <c r="G45" s="441" t="str">
        <f>'סיכום לועדה- הזנת נתונים'!G45</f>
        <v/>
      </c>
      <c r="H45" s="441" t="str">
        <f>'סיכום לועדה- הזנת נתונים'!H45</f>
        <v/>
      </c>
      <c r="I45" s="476" t="str">
        <f>'סיכום לועדה- הזנת נתונים'!I45</f>
        <v/>
      </c>
      <c r="J45" s="476" t="str">
        <f>'סיכום לועדה- הזנת נתונים'!J45</f>
        <v/>
      </c>
      <c r="K45" s="476" t="str">
        <f>'סיכום לועדה- הזנת נתונים'!K45</f>
        <v/>
      </c>
      <c r="L45" s="442" t="str">
        <f>'סיכום לועדה- הזנת נתונים'!L45</f>
        <v/>
      </c>
      <c r="M45" s="443" t="str">
        <f>'סיכום לועדה- הזנת נתונים'!M45</f>
        <v/>
      </c>
      <c r="N45" s="444" t="str">
        <f>'סיכום לועדה- הזנת נתונים'!N45</f>
        <v/>
      </c>
      <c r="O45" s="444">
        <f>'סיכום לועדה- הזנת נתונים'!O45</f>
        <v>0</v>
      </c>
      <c r="P45" s="444" t="str">
        <f>'סיכום לועדה- הזנת נתונים'!P45</f>
        <v/>
      </c>
      <c r="Q45" s="479" t="str">
        <f>'סיכום לועדה- הזנת נתונים'!Q45</f>
        <v/>
      </c>
      <c r="R45" s="441">
        <f>'סיכום לועדה- הזנת נתונים'!R45</f>
        <v>0</v>
      </c>
      <c r="S45" s="441">
        <f>'סיכום לועדה- הזנת נתונים'!S45</f>
        <v>0</v>
      </c>
      <c r="T45" s="18"/>
      <c r="U45" s="19"/>
      <c r="V45" s="21"/>
      <c r="W45" s="21"/>
      <c r="X45" s="20"/>
      <c r="AU45" s="21"/>
      <c r="AV45" s="21"/>
      <c r="AW45" s="22"/>
    </row>
    <row r="46" spans="2:49" ht="39" hidden="1" customHeight="1" x14ac:dyDescent="0.25">
      <c r="B46" s="23" t="str">
        <f t="shared" si="0"/>
        <v/>
      </c>
      <c r="C46" s="440" t="str">
        <f>'סיכום לועדה- הזנת נתונים'!C46</f>
        <v/>
      </c>
      <c r="D46" s="440">
        <f>'סיכום לועדה- הזנת נתונים'!D46</f>
        <v>0</v>
      </c>
      <c r="E46" s="440">
        <f>'סיכום לועדה- הזנת נתונים'!E46</f>
        <v>0</v>
      </c>
      <c r="F46" s="440">
        <f>'סיכום לועדה- הזנת נתונים'!F46</f>
        <v>0</v>
      </c>
      <c r="G46" s="441" t="str">
        <f>'סיכום לועדה- הזנת נתונים'!G46</f>
        <v/>
      </c>
      <c r="H46" s="441" t="str">
        <f>'סיכום לועדה- הזנת נתונים'!H46</f>
        <v/>
      </c>
      <c r="I46" s="476" t="str">
        <f>'סיכום לועדה- הזנת נתונים'!I46</f>
        <v/>
      </c>
      <c r="J46" s="476" t="str">
        <f>'סיכום לועדה- הזנת נתונים'!J46</f>
        <v/>
      </c>
      <c r="K46" s="476" t="str">
        <f>'סיכום לועדה- הזנת נתונים'!K46</f>
        <v/>
      </c>
      <c r="L46" s="442" t="str">
        <f>'סיכום לועדה- הזנת נתונים'!L46</f>
        <v/>
      </c>
      <c r="M46" s="443" t="str">
        <f>'סיכום לועדה- הזנת נתונים'!M46</f>
        <v/>
      </c>
      <c r="N46" s="444" t="str">
        <f>'סיכום לועדה- הזנת נתונים'!N46</f>
        <v/>
      </c>
      <c r="O46" s="444">
        <f>'סיכום לועדה- הזנת נתונים'!O46</f>
        <v>0</v>
      </c>
      <c r="P46" s="444" t="str">
        <f>'סיכום לועדה- הזנת נתונים'!P46</f>
        <v/>
      </c>
      <c r="Q46" s="479" t="str">
        <f>'סיכום לועדה- הזנת נתונים'!Q46</f>
        <v/>
      </c>
      <c r="R46" s="441">
        <f>'סיכום לועדה- הזנת נתונים'!R46</f>
        <v>0</v>
      </c>
      <c r="S46" s="441">
        <f>'סיכום לועדה- הזנת נתונים'!S46</f>
        <v>0</v>
      </c>
      <c r="T46" s="18"/>
      <c r="U46" s="19"/>
      <c r="V46" s="21"/>
      <c r="W46" s="21"/>
      <c r="X46" s="20"/>
      <c r="AU46" s="21"/>
      <c r="AV46" s="21"/>
      <c r="AW46" s="22"/>
    </row>
    <row r="47" spans="2:49" ht="39" customHeight="1" x14ac:dyDescent="0.25">
      <c r="B47" s="23">
        <f t="shared" si="0"/>
        <v>17</v>
      </c>
      <c r="C47" s="440" t="str">
        <f>'סיכום לועדה- הזנת נתונים'!C47</f>
        <v>הרכב עמית פרידמן</v>
      </c>
      <c r="D47" s="440">
        <f>'סיכום לועדה- הזנת נתונים'!D47</f>
        <v>1001908668</v>
      </c>
      <c r="E47" s="440">
        <f>'סיכום לועדה- הזנת נתונים'!E47</f>
        <v>1001735301</v>
      </c>
      <c r="F47" s="440">
        <f>'סיכום לועדה- הזנת נתונים'!F47</f>
        <v>2020</v>
      </c>
      <c r="G47" s="441">
        <f>'סיכום לועדה- הזנת נתונים'!G47</f>
        <v>1</v>
      </c>
      <c r="H47" s="441" t="str">
        <f>'סיכום לועדה- הזנת נתונים'!H47</f>
        <v/>
      </c>
      <c r="I47" s="476">
        <f>'סיכום לועדה- הזנת נתונים'!I47</f>
        <v>2025</v>
      </c>
      <c r="J47" s="476">
        <f>'סיכום לועדה- הזנת נתונים'!J47</f>
        <v>40221541</v>
      </c>
      <c r="K47" s="476">
        <f>'סיכום לועדה- הזנת נתונים'!K47</f>
        <v>580327740</v>
      </c>
      <c r="L47" s="442" t="str">
        <f>'סיכום לועדה- הזנת נתונים'!L47</f>
        <v>המרכז למוסיקה ע"ש פיליציה בלומנטל (</v>
      </c>
      <c r="M47" s="443" t="str">
        <f>'סיכום לועדה- הזנת נתונים'!M47</f>
        <v>הרכב עמית פרידמן</v>
      </c>
      <c r="N47" s="444">
        <f>'סיכום לועדה- הזנת נתונים'!N47</f>
        <v>70000</v>
      </c>
      <c r="O47" s="444">
        <f>'סיכום לועדה- הזנת נתונים'!O47</f>
        <v>65000</v>
      </c>
      <c r="P47" s="444">
        <f>'סיכום לועדה- הזנת נתונים'!P47</f>
        <v>69999.999999999956</v>
      </c>
      <c r="Q47" s="479">
        <f>'סיכום לועדה- הזנת נתונים'!Q47</f>
        <v>7.6923076923076206E-2</v>
      </c>
      <c r="R47" s="441">
        <f>'סיכום לועדה- הזנת נתונים'!R47</f>
        <v>0</v>
      </c>
      <c r="S47" s="441" t="str">
        <f>'סיכום לועדה- הזנת נתונים'!S47</f>
        <v>עומד בתנאי סף האמנותי ובתנאי הסף הכמותיים כקבוצה מוסיקלית.</v>
      </c>
      <c r="T47" s="18"/>
      <c r="U47" s="19"/>
      <c r="V47" s="21"/>
      <c r="W47" s="21"/>
      <c r="X47" s="20"/>
      <c r="AU47" s="21"/>
      <c r="AV47" s="21"/>
      <c r="AW47" s="22"/>
    </row>
    <row r="48" spans="2:49" ht="39" hidden="1" customHeight="1" x14ac:dyDescent="0.25">
      <c r="B48" s="23" t="str">
        <f t="shared" si="0"/>
        <v/>
      </c>
      <c r="C48" s="440" t="str">
        <f>'סיכום לועדה- הזנת נתונים'!C48</f>
        <v/>
      </c>
      <c r="D48" s="440">
        <f>'סיכום לועדה- הזנת נתונים'!D48</f>
        <v>0</v>
      </c>
      <c r="E48" s="440">
        <f>'סיכום לועדה- הזנת נתונים'!E48</f>
        <v>0</v>
      </c>
      <c r="F48" s="440">
        <f>'סיכום לועדה- הזנת נתונים'!F48</f>
        <v>0</v>
      </c>
      <c r="G48" s="441" t="str">
        <f>'סיכום לועדה- הזנת נתונים'!G48</f>
        <v/>
      </c>
      <c r="H48" s="441" t="str">
        <f>'סיכום לועדה- הזנת נתונים'!H48</f>
        <v/>
      </c>
      <c r="I48" s="476" t="str">
        <f>'סיכום לועדה- הזנת נתונים'!I48</f>
        <v/>
      </c>
      <c r="J48" s="476" t="str">
        <f>'סיכום לועדה- הזנת נתונים'!J48</f>
        <v/>
      </c>
      <c r="K48" s="476" t="str">
        <f>'סיכום לועדה- הזנת נתונים'!K48</f>
        <v/>
      </c>
      <c r="L48" s="442" t="str">
        <f>'סיכום לועדה- הזנת נתונים'!L48</f>
        <v/>
      </c>
      <c r="M48" s="443" t="str">
        <f>'סיכום לועדה- הזנת נתונים'!M48</f>
        <v/>
      </c>
      <c r="N48" s="444" t="str">
        <f>'סיכום לועדה- הזנת נתונים'!N48</f>
        <v/>
      </c>
      <c r="O48" s="444">
        <f>'סיכום לועדה- הזנת נתונים'!O48</f>
        <v>0</v>
      </c>
      <c r="P48" s="444" t="str">
        <f>'סיכום לועדה- הזנת נתונים'!P48</f>
        <v/>
      </c>
      <c r="Q48" s="479" t="str">
        <f>'סיכום לועדה- הזנת נתונים'!Q48</f>
        <v/>
      </c>
      <c r="R48" s="441">
        <f>'סיכום לועדה- הזנת נתונים'!R48</f>
        <v>0</v>
      </c>
      <c r="S48" s="441">
        <f>'סיכום לועדה- הזנת נתונים'!S48</f>
        <v>0</v>
      </c>
      <c r="T48" s="18"/>
      <c r="U48" s="19"/>
      <c r="V48" s="21"/>
      <c r="W48" s="21"/>
      <c r="X48" s="20"/>
      <c r="AU48" s="21"/>
      <c r="AV48" s="21"/>
      <c r="AW48" s="22"/>
    </row>
    <row r="49" spans="2:49" ht="39" hidden="1" customHeight="1" x14ac:dyDescent="0.25">
      <c r="B49" s="23" t="str">
        <f t="shared" si="0"/>
        <v/>
      </c>
      <c r="C49" s="440" t="str">
        <f>'סיכום לועדה- הזנת נתונים'!C49</f>
        <v/>
      </c>
      <c r="D49" s="440">
        <f>'סיכום לועדה- הזנת נתונים'!D49</f>
        <v>0</v>
      </c>
      <c r="E49" s="440">
        <f>'סיכום לועדה- הזנת נתונים'!E49</f>
        <v>0</v>
      </c>
      <c r="F49" s="440">
        <f>'סיכום לועדה- הזנת נתונים'!F49</f>
        <v>0</v>
      </c>
      <c r="G49" s="441" t="str">
        <f>'סיכום לועדה- הזנת נתונים'!G49</f>
        <v/>
      </c>
      <c r="H49" s="441" t="str">
        <f>'סיכום לועדה- הזנת נתונים'!H49</f>
        <v/>
      </c>
      <c r="I49" s="476" t="str">
        <f>'סיכום לועדה- הזנת נתונים'!I49</f>
        <v/>
      </c>
      <c r="J49" s="476" t="str">
        <f>'סיכום לועדה- הזנת נתונים'!J49</f>
        <v/>
      </c>
      <c r="K49" s="476" t="str">
        <f>'סיכום לועדה- הזנת נתונים'!K49</f>
        <v/>
      </c>
      <c r="L49" s="442" t="str">
        <f>'סיכום לועדה- הזנת נתונים'!L49</f>
        <v/>
      </c>
      <c r="M49" s="443" t="str">
        <f>'סיכום לועדה- הזנת נתונים'!M49</f>
        <v/>
      </c>
      <c r="N49" s="444" t="str">
        <f>'סיכום לועדה- הזנת נתונים'!N49</f>
        <v/>
      </c>
      <c r="O49" s="444">
        <f>'סיכום לועדה- הזנת נתונים'!O49</f>
        <v>0</v>
      </c>
      <c r="P49" s="444" t="str">
        <f>'סיכום לועדה- הזנת נתונים'!P49</f>
        <v/>
      </c>
      <c r="Q49" s="479" t="str">
        <f>'סיכום לועדה- הזנת נתונים'!Q49</f>
        <v/>
      </c>
      <c r="R49" s="441">
        <f>'סיכום לועדה- הזנת נתונים'!R49</f>
        <v>0</v>
      </c>
      <c r="S49" s="441">
        <f>'סיכום לועדה- הזנת נתונים'!S49</f>
        <v>0</v>
      </c>
      <c r="T49" s="18"/>
      <c r="U49" s="19"/>
      <c r="V49" s="21"/>
      <c r="W49" s="21"/>
      <c r="X49" s="20"/>
      <c r="AU49" s="21"/>
      <c r="AV49" s="21"/>
      <c r="AW49" s="22"/>
    </row>
    <row r="50" spans="2:49" ht="39" hidden="1" customHeight="1" x14ac:dyDescent="0.25">
      <c r="B50" s="23" t="str">
        <f t="shared" si="0"/>
        <v/>
      </c>
      <c r="C50" s="440" t="str">
        <f>'סיכום לועדה- הזנת נתונים'!C50</f>
        <v/>
      </c>
      <c r="D50" s="440">
        <f>'סיכום לועדה- הזנת נתונים'!D50</f>
        <v>0</v>
      </c>
      <c r="E50" s="440">
        <f>'סיכום לועדה- הזנת נתונים'!E50</f>
        <v>0</v>
      </c>
      <c r="F50" s="440">
        <f>'סיכום לועדה- הזנת נתונים'!F50</f>
        <v>0</v>
      </c>
      <c r="G50" s="441" t="str">
        <f>'סיכום לועדה- הזנת נתונים'!G50</f>
        <v/>
      </c>
      <c r="H50" s="441" t="str">
        <f>'סיכום לועדה- הזנת נתונים'!H50</f>
        <v/>
      </c>
      <c r="I50" s="476" t="str">
        <f>'סיכום לועדה- הזנת נתונים'!I50</f>
        <v/>
      </c>
      <c r="J50" s="476" t="str">
        <f>'סיכום לועדה- הזנת נתונים'!J50</f>
        <v/>
      </c>
      <c r="K50" s="476" t="str">
        <f>'סיכום לועדה- הזנת נתונים'!K50</f>
        <v/>
      </c>
      <c r="L50" s="442" t="str">
        <f>'סיכום לועדה- הזנת נתונים'!L50</f>
        <v/>
      </c>
      <c r="M50" s="443" t="str">
        <f>'סיכום לועדה- הזנת נתונים'!M50</f>
        <v/>
      </c>
      <c r="N50" s="444" t="str">
        <f>'סיכום לועדה- הזנת נתונים'!N50</f>
        <v/>
      </c>
      <c r="O50" s="444">
        <f>'סיכום לועדה- הזנת נתונים'!O50</f>
        <v>0</v>
      </c>
      <c r="P50" s="444" t="str">
        <f>'סיכום לועדה- הזנת נתונים'!P50</f>
        <v/>
      </c>
      <c r="Q50" s="479" t="str">
        <f>'סיכום לועדה- הזנת נתונים'!Q50</f>
        <v/>
      </c>
      <c r="R50" s="441">
        <f>'סיכום לועדה- הזנת נתונים'!R50</f>
        <v>0</v>
      </c>
      <c r="S50" s="441">
        <f>'סיכום לועדה- הזנת נתונים'!S50</f>
        <v>0</v>
      </c>
      <c r="T50" s="18"/>
      <c r="U50" s="19"/>
      <c r="V50" s="21"/>
      <c r="W50" s="21"/>
      <c r="X50" s="20"/>
      <c r="AU50" s="21"/>
      <c r="AV50" s="21"/>
      <c r="AW50" s="22"/>
    </row>
    <row r="51" spans="2:49" ht="39" customHeight="1" x14ac:dyDescent="0.25">
      <c r="B51" s="23">
        <f t="shared" si="0"/>
        <v>21</v>
      </c>
      <c r="C51" s="440" t="str">
        <f>'סיכום לועדה- הזנת נתונים'!C51</f>
        <v>חמישיית תל אביב לכלי נשיפה</v>
      </c>
      <c r="D51" s="440">
        <f>'סיכום לועדה- הזנת נתונים'!D51</f>
        <v>1001908681</v>
      </c>
      <c r="E51" s="440">
        <f>'סיכום לועדה- הזנת נתונים'!E51</f>
        <v>1001735300</v>
      </c>
      <c r="F51" s="440">
        <f>'סיכום לועדה- הזנת נתונים'!F51</f>
        <v>2020</v>
      </c>
      <c r="G51" s="441">
        <f>'סיכום לועדה- הזנת נתונים'!G51</f>
        <v>1</v>
      </c>
      <c r="H51" s="441" t="str">
        <f>'סיכום לועדה- הזנת נתונים'!H51</f>
        <v/>
      </c>
      <c r="I51" s="476">
        <f>'סיכום לועדה- הזנת נתונים'!I51</f>
        <v>2025</v>
      </c>
      <c r="J51" s="476">
        <f>'סיכום לועדה- הזנת נתונים'!J51</f>
        <v>40221541</v>
      </c>
      <c r="K51" s="476">
        <f>'סיכום לועדה- הזנת נתונים'!K51</f>
        <v>580327740</v>
      </c>
      <c r="L51" s="442" t="str">
        <f>'סיכום לועדה- הזנת נתונים'!L51</f>
        <v>המרכז למוסיקה ע"ש פיליציה בלומנטל (</v>
      </c>
      <c r="M51" s="443" t="str">
        <f>'סיכום לועדה- הזנת נתונים'!M51</f>
        <v>חמישיית תל אביב</v>
      </c>
      <c r="N51" s="444">
        <f>'סיכום לועדה- הזנת נתונים'!N51</f>
        <v>90000</v>
      </c>
      <c r="O51" s="444">
        <f>'סיכום לועדה- הזנת נתונים'!O51</f>
        <v>80000</v>
      </c>
      <c r="P51" s="444">
        <f>'סיכום לועדה- הזנת נתונים'!P51</f>
        <v>89999.999999999956</v>
      </c>
      <c r="Q51" s="479">
        <f>'סיכום לועדה- הזנת נתונים'!Q51</f>
        <v>0.12499999999999956</v>
      </c>
      <c r="R51" s="441">
        <f>'סיכום לועדה- הזנת נתונים'!R51</f>
        <v>0</v>
      </c>
      <c r="S51" s="441" t="str">
        <f>'סיכום לועדה- הזנת נתונים'!S51</f>
        <v>עומד בתנאי סף האמנותי ובתנאי הסף הכמותיים כקבוצה מוסיקלית.</v>
      </c>
      <c r="T51" s="18"/>
      <c r="U51" s="19"/>
      <c r="V51" s="21"/>
      <c r="W51" s="21"/>
      <c r="X51" s="20"/>
      <c r="AU51" s="21"/>
      <c r="AV51" s="21"/>
      <c r="AW51" s="22"/>
    </row>
    <row r="52" spans="2:49" ht="39" customHeight="1" x14ac:dyDescent="0.25">
      <c r="B52" s="23">
        <f t="shared" si="0"/>
        <v>22</v>
      </c>
      <c r="C52" s="440" t="str">
        <f>'סיכום לועדה- הזנת נתונים'!C52</f>
        <v>הרכב אקוט</v>
      </c>
      <c r="D52" s="440">
        <f>'סיכום לועדה- הזנת נתונים'!D52</f>
        <v>1001908660</v>
      </c>
      <c r="E52" s="440">
        <f>'סיכום לועדה- הזנת נתונים'!E52</f>
        <v>1001735290</v>
      </c>
      <c r="F52" s="440">
        <f>'סיכום לועדה- הזנת נתונים'!F52</f>
        <v>2020</v>
      </c>
      <c r="G52" s="441">
        <f>'סיכום לועדה- הזנת נתונים'!G52</f>
        <v>1</v>
      </c>
      <c r="H52" s="441" t="str">
        <f>'סיכום לועדה- הזנת נתונים'!H52</f>
        <v/>
      </c>
      <c r="I52" s="476">
        <f>'סיכום לועדה- הזנת נתונים'!I52</f>
        <v>2025</v>
      </c>
      <c r="J52" s="476">
        <f>'סיכום לועדה- הזנת נתונים'!J52</f>
        <v>40221541</v>
      </c>
      <c r="K52" s="476">
        <f>'סיכום לועדה- הזנת נתונים'!K52</f>
        <v>580327740</v>
      </c>
      <c r="L52" s="442" t="str">
        <f>'סיכום לועדה- הזנת נתונים'!L52</f>
        <v>המרכז למוסיקה ע"ש פיליציה בלומנטל (</v>
      </c>
      <c r="M52" s="443" t="str">
        <f>'סיכום לועדה- הזנת נתונים'!M52</f>
        <v>הרכב אקוט</v>
      </c>
      <c r="N52" s="444">
        <f>'סיכום לועדה- הזנת נתונים'!N52</f>
        <v>120000</v>
      </c>
      <c r="O52" s="444">
        <f>'סיכום לועדה- הזנת נתונים'!O52</f>
        <v>110000</v>
      </c>
      <c r="P52" s="444">
        <f>'סיכום לועדה- הזנת נתונים'!P52</f>
        <v>119999.99999999996</v>
      </c>
      <c r="Q52" s="479">
        <f>'סיכום לועדה- הזנת נתונים'!Q52</f>
        <v>9.0909090909090606E-2</v>
      </c>
      <c r="R52" s="441">
        <f>'סיכום לועדה- הזנת נתונים'!R52</f>
        <v>0</v>
      </c>
      <c r="S52" s="441" t="str">
        <f>'סיכום לועדה- הזנת נתונים'!S52</f>
        <v>עומד בתנאי סף האמנותי ובתנאי הסף הכמותיים כקבוצה מוסיקלית.</v>
      </c>
      <c r="T52" s="18"/>
      <c r="U52" s="19"/>
      <c r="V52" s="21"/>
      <c r="W52" s="21"/>
      <c r="X52" s="20"/>
      <c r="AU52" s="21"/>
      <c r="AV52" s="21"/>
      <c r="AW52" s="22"/>
    </row>
    <row r="53" spans="2:49" ht="39" customHeight="1" x14ac:dyDescent="0.25">
      <c r="B53" s="23">
        <f t="shared" si="0"/>
        <v>23</v>
      </c>
      <c r="C53" s="440" t="str">
        <f>'סיכום לועדה- הזנת נתונים'!C53</f>
        <v>שלישיית עתר</v>
      </c>
      <c r="D53" s="440">
        <f>'סיכום לועדה- הזנת נתונים'!D53</f>
        <v>1001908625</v>
      </c>
      <c r="E53" s="440">
        <f>'סיכום לועדה- הזנת נתונים'!E53</f>
        <v>1001735289</v>
      </c>
      <c r="F53" s="440">
        <f>'סיכום לועדה- הזנת נתונים'!F53</f>
        <v>2020</v>
      </c>
      <c r="G53" s="441">
        <f>'סיכום לועדה- הזנת נתונים'!G53</f>
        <v>1</v>
      </c>
      <c r="H53" s="441" t="str">
        <f>'סיכום לועדה- הזנת נתונים'!H53</f>
        <v/>
      </c>
      <c r="I53" s="476">
        <f>'סיכום לועדה- הזנת נתונים'!I53</f>
        <v>2025</v>
      </c>
      <c r="J53" s="476">
        <f>'סיכום לועדה- הזנת נתונים'!J53</f>
        <v>40221541</v>
      </c>
      <c r="K53" s="476">
        <f>'סיכום לועדה- הזנת נתונים'!K53</f>
        <v>580327740</v>
      </c>
      <c r="L53" s="442" t="str">
        <f>'סיכום לועדה- הזנת נתונים'!L53</f>
        <v>המרכז למוסיקה ע"ש פיליציה בלומנטל (</v>
      </c>
      <c r="M53" s="443" t="str">
        <f>'סיכום לועדה- הזנת נתונים'!M53</f>
        <v>שלישיית עתר</v>
      </c>
      <c r="N53" s="444">
        <f>'סיכום לועדה- הזנת נתונים'!N53</f>
        <v>75000</v>
      </c>
      <c r="O53" s="444">
        <f>'סיכום לועדה- הזנת נתונים'!O53</f>
        <v>70000</v>
      </c>
      <c r="P53" s="444">
        <f>'סיכום לועדה- הזנת נתונים'!P53</f>
        <v>74999.999999999956</v>
      </c>
      <c r="Q53" s="479">
        <f>'סיכום לועדה- הזנת נתונים'!Q53</f>
        <v>7.1428571428570731E-2</v>
      </c>
      <c r="R53" s="441">
        <f>'סיכום לועדה- הזנת נתונים'!R53</f>
        <v>0</v>
      </c>
      <c r="S53" s="441" t="str">
        <f>'סיכום לועדה- הזנת נתונים'!S53</f>
        <v>עומד בתנאי סף האמנותי ובתנאי הסף הכמותיים כקבוצה מוסיקלית.</v>
      </c>
      <c r="T53" s="18"/>
      <c r="U53" s="19"/>
      <c r="V53" s="21"/>
      <c r="W53" s="21"/>
      <c r="X53" s="20"/>
      <c r="AU53" s="21"/>
      <c r="AV53" s="21"/>
      <c r="AW53" s="22"/>
    </row>
    <row r="54" spans="2:49" ht="39" hidden="1" customHeight="1" x14ac:dyDescent="0.25">
      <c r="B54" s="23" t="str">
        <f t="shared" si="0"/>
        <v/>
      </c>
      <c r="C54" s="440" t="str">
        <f>'סיכום לועדה- הזנת נתונים'!C54</f>
        <v/>
      </c>
      <c r="D54" s="440">
        <f>'סיכום לועדה- הזנת נתונים'!D54</f>
        <v>0</v>
      </c>
      <c r="E54" s="440">
        <f>'סיכום לועדה- הזנת נתונים'!E54</f>
        <v>0</v>
      </c>
      <c r="F54" s="440">
        <f>'סיכום לועדה- הזנת נתונים'!F54</f>
        <v>0</v>
      </c>
      <c r="G54" s="441" t="str">
        <f>'סיכום לועדה- הזנת נתונים'!G54</f>
        <v/>
      </c>
      <c r="H54" s="441" t="str">
        <f>'סיכום לועדה- הזנת נתונים'!H54</f>
        <v/>
      </c>
      <c r="I54" s="476" t="str">
        <f>'סיכום לועדה- הזנת נתונים'!I54</f>
        <v/>
      </c>
      <c r="J54" s="476" t="str">
        <f>'סיכום לועדה- הזנת נתונים'!J54</f>
        <v/>
      </c>
      <c r="K54" s="476" t="str">
        <f>'סיכום לועדה- הזנת נתונים'!K54</f>
        <v/>
      </c>
      <c r="L54" s="442" t="str">
        <f>'סיכום לועדה- הזנת נתונים'!L54</f>
        <v/>
      </c>
      <c r="M54" s="443" t="str">
        <f>'סיכום לועדה- הזנת נתונים'!M54</f>
        <v/>
      </c>
      <c r="N54" s="444" t="str">
        <f>'סיכום לועדה- הזנת נתונים'!N54</f>
        <v/>
      </c>
      <c r="O54" s="444">
        <f>'סיכום לועדה- הזנת נתונים'!O54</f>
        <v>0</v>
      </c>
      <c r="P54" s="444" t="str">
        <f>'סיכום לועדה- הזנת נתונים'!P54</f>
        <v/>
      </c>
      <c r="Q54" s="479" t="str">
        <f>'סיכום לועדה- הזנת נתונים'!Q54</f>
        <v/>
      </c>
      <c r="R54" s="441">
        <f>'סיכום לועדה- הזנת נתונים'!R54</f>
        <v>0</v>
      </c>
      <c r="S54" s="441">
        <f>'סיכום לועדה- הזנת נתונים'!S54</f>
        <v>0</v>
      </c>
      <c r="T54" s="18"/>
      <c r="U54" s="19"/>
      <c r="V54" s="21"/>
      <c r="W54" s="21"/>
      <c r="X54" s="20"/>
      <c r="AU54" s="21"/>
      <c r="AV54" s="21"/>
      <c r="AW54" s="22"/>
    </row>
    <row r="55" spans="2:49" ht="39" hidden="1" customHeight="1" x14ac:dyDescent="0.25">
      <c r="B55" s="23" t="str">
        <f t="shared" si="0"/>
        <v/>
      </c>
      <c r="C55" s="440" t="str">
        <f>'סיכום לועדה- הזנת נתונים'!C55</f>
        <v/>
      </c>
      <c r="D55" s="440">
        <f>'סיכום לועדה- הזנת נתונים'!D55</f>
        <v>0</v>
      </c>
      <c r="E55" s="440">
        <f>'סיכום לועדה- הזנת נתונים'!E55</f>
        <v>0</v>
      </c>
      <c r="F55" s="440">
        <f>'סיכום לועדה- הזנת נתונים'!F55</f>
        <v>0</v>
      </c>
      <c r="G55" s="441" t="str">
        <f>'סיכום לועדה- הזנת נתונים'!G55</f>
        <v/>
      </c>
      <c r="H55" s="441" t="str">
        <f>'סיכום לועדה- הזנת נתונים'!H55</f>
        <v/>
      </c>
      <c r="I55" s="476" t="str">
        <f>'סיכום לועדה- הזנת נתונים'!I55</f>
        <v/>
      </c>
      <c r="J55" s="476" t="str">
        <f>'סיכום לועדה- הזנת נתונים'!J55</f>
        <v/>
      </c>
      <c r="K55" s="476" t="str">
        <f>'סיכום לועדה- הזנת נתונים'!K55</f>
        <v/>
      </c>
      <c r="L55" s="442" t="str">
        <f>'סיכום לועדה- הזנת נתונים'!L55</f>
        <v/>
      </c>
      <c r="M55" s="443" t="str">
        <f>'סיכום לועדה- הזנת נתונים'!M55</f>
        <v/>
      </c>
      <c r="N55" s="444" t="str">
        <f>'סיכום לועדה- הזנת נתונים'!N55</f>
        <v/>
      </c>
      <c r="O55" s="444">
        <f>'סיכום לועדה- הזנת נתונים'!O55</f>
        <v>0</v>
      </c>
      <c r="P55" s="444" t="str">
        <f>'סיכום לועדה- הזנת נתונים'!P55</f>
        <v/>
      </c>
      <c r="Q55" s="479" t="str">
        <f>'סיכום לועדה- הזנת נתונים'!Q55</f>
        <v/>
      </c>
      <c r="R55" s="441">
        <f>'סיכום לועדה- הזנת נתונים'!R55</f>
        <v>0</v>
      </c>
      <c r="S55" s="441">
        <f>'סיכום לועדה- הזנת נתונים'!S55</f>
        <v>0</v>
      </c>
      <c r="T55" s="18"/>
      <c r="U55" s="19"/>
      <c r="V55" s="21"/>
      <c r="W55" s="21"/>
      <c r="X55" s="20"/>
      <c r="AU55" s="21"/>
      <c r="AV55" s="21"/>
      <c r="AW55" s="22"/>
    </row>
    <row r="56" spans="2:49" ht="39" customHeight="1" x14ac:dyDescent="0.25">
      <c r="B56" s="23">
        <f t="shared" si="0"/>
        <v>26</v>
      </c>
      <c r="C56" s="440" t="str">
        <f>'סיכום לועדה- הזנת נתונים'!C56</f>
        <v>אנסמבל מצו</v>
      </c>
      <c r="D56" s="440">
        <f>'סיכום לועדה- הזנת נתונים'!D56</f>
        <v>1001908661</v>
      </c>
      <c r="E56" s="440">
        <f>'סיכום לועדה- הזנת נתונים'!E56</f>
        <v>1001735292</v>
      </c>
      <c r="F56" s="440">
        <f>'סיכום לועדה- הזנת נתונים'!F56</f>
        <v>2020</v>
      </c>
      <c r="G56" s="441">
        <f>'סיכום לועדה- הזנת נתונים'!G56</f>
        <v>1</v>
      </c>
      <c r="H56" s="441" t="str">
        <f>'סיכום לועדה- הזנת נתונים'!H56</f>
        <v/>
      </c>
      <c r="I56" s="476">
        <f>'סיכום לועדה- הזנת נתונים'!I56</f>
        <v>2025</v>
      </c>
      <c r="J56" s="476">
        <f>'סיכום לועדה- הזנת נתונים'!J56</f>
        <v>40221541</v>
      </c>
      <c r="K56" s="476">
        <f>'סיכום לועדה- הזנת נתונים'!K56</f>
        <v>580327740</v>
      </c>
      <c r="L56" s="442" t="str">
        <f>'סיכום לועדה- הזנת נתונים'!L56</f>
        <v>המרכז למוסיקה ע"ש פיליציה בלומנטל (</v>
      </c>
      <c r="M56" s="443" t="str">
        <f>'סיכום לועדה- הזנת נתונים'!M56</f>
        <v>אנסמבל מצו</v>
      </c>
      <c r="N56" s="444">
        <f>'סיכום לועדה- הזנת נתונים'!N56</f>
        <v>130000</v>
      </c>
      <c r="O56" s="444">
        <f>'סיכום לועדה- הזנת נתונים'!O56</f>
        <v>75000</v>
      </c>
      <c r="P56" s="444">
        <f>'סיכום לועדה- הזנת נתונים'!P56</f>
        <v>94996.732183776621</v>
      </c>
      <c r="Q56" s="479">
        <f>'סיכום לועדה- הזנת נתונים'!Q56</f>
        <v>0.26662309578368837</v>
      </c>
      <c r="R56" s="441" t="str">
        <f>'סיכום לועדה- הזנת נתונים'!R56</f>
        <v>עליה בנתונים</v>
      </c>
      <c r="S56" s="441" t="str">
        <f>'סיכום לועדה- הזנת נתונים'!S56</f>
        <v>עומד בתנאי סף האמנותי ובתנאי הסף הכמותיים כקבוצה מוסיקלית.</v>
      </c>
      <c r="T56" s="18"/>
      <c r="U56" s="19"/>
      <c r="V56" s="21"/>
      <c r="W56" s="21"/>
      <c r="X56" s="20"/>
      <c r="AU56" s="21"/>
      <c r="AV56" s="21"/>
      <c r="AW56" s="22"/>
    </row>
    <row r="57" spans="2:49" ht="39" customHeight="1" x14ac:dyDescent="0.25">
      <c r="B57" s="23">
        <f t="shared" si="0"/>
        <v>27</v>
      </c>
      <c r="C57" s="440" t="str">
        <f>'סיכום לועדה- הזנת נתונים'!C57</f>
        <v>תזמורת ארמון בזמן</v>
      </c>
      <c r="D57" s="440">
        <f>'סיכום לועדה- הזנת נתונים'!D57</f>
        <v>1001908687</v>
      </c>
      <c r="E57" s="440">
        <f>'סיכום לועדה- הזנת נתונים'!E57</f>
        <v>1001735322</v>
      </c>
      <c r="F57" s="440">
        <f>'סיכום לועדה- הזנת נתונים'!F57</f>
        <v>2020</v>
      </c>
      <c r="G57" s="441">
        <f>'סיכום לועדה- הזנת נתונים'!G57</f>
        <v>1</v>
      </c>
      <c r="H57" s="441" t="str">
        <f>'סיכום לועדה- הזנת נתונים'!H57</f>
        <v/>
      </c>
      <c r="I57" s="476">
        <f>'סיכום לועדה- הזנת נתונים'!I57</f>
        <v>2025</v>
      </c>
      <c r="J57" s="476">
        <f>'סיכום לועדה- הזנת נתונים'!J57</f>
        <v>40221541</v>
      </c>
      <c r="K57" s="476">
        <f>'סיכום לועדה- הזנת נתונים'!K57</f>
        <v>580327740</v>
      </c>
      <c r="L57" s="442" t="str">
        <f>'סיכום לועדה- הזנת נתונים'!L57</f>
        <v>המרכז למוסיקה ע"ש פיליציה בלומנטל (</v>
      </c>
      <c r="M57" s="443" t="str">
        <f>'סיכום לועדה- הזנת נתונים'!M57</f>
        <v>תזמורת ארמון בזמן</v>
      </c>
      <c r="N57" s="444">
        <f>'סיכום לועדה- הזנת נתונים'!N57</f>
        <v>250000</v>
      </c>
      <c r="O57" s="444">
        <f>'סיכום לועדה- הזנת נתונים'!O57</f>
        <v>65924</v>
      </c>
      <c r="P57" s="444" t="str">
        <f>'סיכום לועדה- הזנת נתונים'!P57</f>
        <v/>
      </c>
      <c r="Q57" s="479" t="str">
        <f>'סיכום לועדה- הזנת נתונים'!Q57</f>
        <v/>
      </c>
      <c r="R57" s="441">
        <f>'סיכום לועדה- הזנת נתונים'!R57</f>
        <v>0</v>
      </c>
      <c r="S57" s="441" t="str">
        <f>'סיכום לועדה- הזנת נתונים'!S57</f>
        <v>בקשה כפולה. בקשה זאת מבוטלת על ידי הגוף. התזמורת הגישה בקשה תקינה כעמותה עצמאית: העמותה לתרבות רב תחומית</v>
      </c>
      <c r="T57" s="18"/>
      <c r="U57" s="19"/>
      <c r="V57" s="21"/>
      <c r="W57" s="21"/>
      <c r="X57" s="20"/>
      <c r="AU57" s="21"/>
      <c r="AV57" s="21"/>
      <c r="AW57" s="22"/>
    </row>
    <row r="58" spans="2:49" ht="39" customHeight="1" x14ac:dyDescent="0.25">
      <c r="B58" s="23">
        <f t="shared" si="0"/>
        <v>28</v>
      </c>
      <c r="C58" s="440" t="str">
        <f>'סיכום לועדה- הזנת נתונים'!C58</f>
        <v>תמיכה שותפת- קבוצת מוסיקה נובה</v>
      </c>
      <c r="D58" s="440">
        <f>'סיכום לועדה- הזנת נתונים'!D58</f>
        <v>1001907787</v>
      </c>
      <c r="E58" s="440">
        <f>'סיכום לועדה- הזנת נתונים'!E58</f>
        <v>1001748074</v>
      </c>
      <c r="F58" s="440">
        <f>'סיכום לועדה- הזנת נתונים'!F58</f>
        <v>2020</v>
      </c>
      <c r="G58" s="441">
        <f>'סיכום לועדה- הזנת נתונים'!G58</f>
        <v>1</v>
      </c>
      <c r="H58" s="441" t="str">
        <f>'סיכום לועדה- הזנת נתונים'!H58</f>
        <v/>
      </c>
      <c r="I58" s="476">
        <f>'סיכום לועדה- הזנת נתונים'!I58</f>
        <v>2025</v>
      </c>
      <c r="J58" s="476">
        <f>'סיכום לועדה- הזנת נתונים'!J58</f>
        <v>40000161</v>
      </c>
      <c r="K58" s="476">
        <f>'סיכום לועדה- הזנת נתונים'!K58</f>
        <v>580164325</v>
      </c>
      <c r="L58" s="442" t="str">
        <f>'סיכום לועדה- הזנת נתונים'!L58</f>
        <v>קבוצת מוסיקה נובה (ע"ר)</v>
      </c>
      <c r="M58" s="443" t="str">
        <f>'סיכום לועדה- הזנת נתונים'!M58</f>
        <v>תמיכה שוטפת</v>
      </c>
      <c r="N58" s="444">
        <f>'סיכום לועדה- הזנת נתונים'!N58</f>
        <v>150000</v>
      </c>
      <c r="O58" s="444">
        <f>'סיכום לועדה- הזנת נתונים'!O58</f>
        <v>93743</v>
      </c>
      <c r="P58" s="444">
        <f>'סיכום לועדה- הזנת נתונים'!P58</f>
        <v>90285.497612872947</v>
      </c>
      <c r="Q58" s="479">
        <f>'סיכום לועדה- הזנת נתונים'!Q58</f>
        <v>-3.6882779376882002E-2</v>
      </c>
      <c r="R58" s="441">
        <f>'סיכום לועדה- הזנת נתונים'!R58</f>
        <v>0</v>
      </c>
      <c r="S58" s="441" t="str">
        <f>'סיכום לועדה- הזנת נתונים'!S58</f>
        <v>עומד בתנאי סף האמנותי ובתנאי הסף הכמותיים כקבוצה מוסיקלית.</v>
      </c>
      <c r="T58" s="18"/>
      <c r="U58" s="19"/>
      <c r="V58" s="21"/>
      <c r="W58" s="21"/>
      <c r="X58" s="20"/>
      <c r="AU58" s="21"/>
      <c r="AV58" s="21"/>
      <c r="AW58" s="22"/>
    </row>
    <row r="59" spans="2:49" ht="39" hidden="1" customHeight="1" x14ac:dyDescent="0.25">
      <c r="B59" s="23" t="str">
        <f t="shared" si="0"/>
        <v/>
      </c>
      <c r="C59" s="440" t="str">
        <f>'סיכום לועדה- הזנת נתונים'!C59</f>
        <v/>
      </c>
      <c r="D59" s="440">
        <f>'סיכום לועדה- הזנת נתונים'!D59</f>
        <v>0</v>
      </c>
      <c r="E59" s="440">
        <f>'סיכום לועדה- הזנת נתונים'!E59</f>
        <v>0</v>
      </c>
      <c r="F59" s="440">
        <f>'סיכום לועדה- הזנת נתונים'!F59</f>
        <v>0</v>
      </c>
      <c r="G59" s="441" t="str">
        <f>'סיכום לועדה- הזנת נתונים'!G59</f>
        <v/>
      </c>
      <c r="H59" s="441" t="str">
        <f>'סיכום לועדה- הזנת נתונים'!H59</f>
        <v/>
      </c>
      <c r="I59" s="476" t="str">
        <f>'סיכום לועדה- הזנת נתונים'!I59</f>
        <v/>
      </c>
      <c r="J59" s="476" t="str">
        <f>'סיכום לועדה- הזנת נתונים'!J59</f>
        <v/>
      </c>
      <c r="K59" s="476" t="str">
        <f>'סיכום לועדה- הזנת נתונים'!K59</f>
        <v/>
      </c>
      <c r="L59" s="442" t="str">
        <f>'סיכום לועדה- הזנת נתונים'!L59</f>
        <v/>
      </c>
      <c r="M59" s="443" t="str">
        <f>'סיכום לועדה- הזנת נתונים'!M59</f>
        <v/>
      </c>
      <c r="N59" s="444" t="str">
        <f>'סיכום לועדה- הזנת נתונים'!N59</f>
        <v/>
      </c>
      <c r="O59" s="444">
        <f>'סיכום לועדה- הזנת נתונים'!O59</f>
        <v>0</v>
      </c>
      <c r="P59" s="444" t="str">
        <f>'סיכום לועדה- הזנת נתונים'!P59</f>
        <v/>
      </c>
      <c r="Q59" s="479" t="str">
        <f>'סיכום לועדה- הזנת נתונים'!Q59</f>
        <v/>
      </c>
      <c r="R59" s="441">
        <f>'סיכום לועדה- הזנת נתונים'!R59</f>
        <v>0</v>
      </c>
      <c r="S59" s="441">
        <f>'סיכום לועדה- הזנת נתונים'!S59</f>
        <v>0</v>
      </c>
      <c r="T59" s="18"/>
      <c r="U59" s="19"/>
      <c r="V59" s="21"/>
      <c r="W59" s="21"/>
      <c r="X59" s="20"/>
      <c r="AU59" s="21"/>
      <c r="AV59" s="21"/>
      <c r="AW59" s="22"/>
    </row>
    <row r="60" spans="2:49" ht="39" hidden="1" customHeight="1" x14ac:dyDescent="0.25">
      <c r="B60" s="23" t="str">
        <f t="shared" si="0"/>
        <v/>
      </c>
      <c r="C60" s="440" t="str">
        <f>'סיכום לועדה- הזנת נתונים'!C60</f>
        <v/>
      </c>
      <c r="D60" s="440">
        <f>'סיכום לועדה- הזנת נתונים'!D60</f>
        <v>0</v>
      </c>
      <c r="E60" s="440">
        <f>'סיכום לועדה- הזנת נתונים'!E60</f>
        <v>0</v>
      </c>
      <c r="F60" s="440">
        <f>'סיכום לועדה- הזנת נתונים'!F60</f>
        <v>0</v>
      </c>
      <c r="G60" s="441" t="str">
        <f>'סיכום לועדה- הזנת נתונים'!G60</f>
        <v/>
      </c>
      <c r="H60" s="441" t="str">
        <f>'סיכום לועדה- הזנת נתונים'!H60</f>
        <v/>
      </c>
      <c r="I60" s="476" t="str">
        <f>'סיכום לועדה- הזנת נתונים'!I60</f>
        <v/>
      </c>
      <c r="J60" s="476" t="str">
        <f>'סיכום לועדה- הזנת נתונים'!J60</f>
        <v/>
      </c>
      <c r="K60" s="476" t="str">
        <f>'סיכום לועדה- הזנת נתונים'!K60</f>
        <v/>
      </c>
      <c r="L60" s="442" t="str">
        <f>'סיכום לועדה- הזנת נתונים'!L60</f>
        <v/>
      </c>
      <c r="M60" s="443" t="str">
        <f>'סיכום לועדה- הזנת נתונים'!M60</f>
        <v/>
      </c>
      <c r="N60" s="444" t="str">
        <f>'סיכום לועדה- הזנת נתונים'!N60</f>
        <v/>
      </c>
      <c r="O60" s="444">
        <f>'סיכום לועדה- הזנת נתונים'!O60</f>
        <v>0</v>
      </c>
      <c r="P60" s="444" t="str">
        <f>'סיכום לועדה- הזנת נתונים'!P60</f>
        <v/>
      </c>
      <c r="Q60" s="479" t="str">
        <f>'סיכום לועדה- הזנת נתונים'!Q60</f>
        <v/>
      </c>
      <c r="R60" s="441">
        <f>'סיכום לועדה- הזנת נתונים'!R60</f>
        <v>0</v>
      </c>
      <c r="S60" s="441">
        <f>'סיכום לועדה- הזנת נתונים'!S60</f>
        <v>0</v>
      </c>
      <c r="T60" s="18"/>
      <c r="U60" s="19"/>
      <c r="V60" s="21"/>
      <c r="W60" s="21"/>
      <c r="X60" s="20"/>
      <c r="AU60" s="21"/>
      <c r="AV60" s="21"/>
      <c r="AW60" s="22"/>
    </row>
    <row r="61" spans="2:49" ht="39" hidden="1" customHeight="1" x14ac:dyDescent="0.25">
      <c r="B61" s="23" t="str">
        <f t="shared" si="0"/>
        <v/>
      </c>
      <c r="C61" s="440" t="str">
        <f>'סיכום לועדה- הזנת נתונים'!C61</f>
        <v/>
      </c>
      <c r="D61" s="440">
        <f>'סיכום לועדה- הזנת נתונים'!D61</f>
        <v>0</v>
      </c>
      <c r="E61" s="440">
        <f>'סיכום לועדה- הזנת נתונים'!E61</f>
        <v>0</v>
      </c>
      <c r="F61" s="440">
        <f>'סיכום לועדה- הזנת נתונים'!F61</f>
        <v>0</v>
      </c>
      <c r="G61" s="441" t="str">
        <f>'סיכום לועדה- הזנת נתונים'!G61</f>
        <v/>
      </c>
      <c r="H61" s="441" t="str">
        <f>'סיכום לועדה- הזנת נתונים'!H61</f>
        <v/>
      </c>
      <c r="I61" s="476" t="str">
        <f>'סיכום לועדה- הזנת נתונים'!I61</f>
        <v/>
      </c>
      <c r="J61" s="476" t="str">
        <f>'סיכום לועדה- הזנת נתונים'!J61</f>
        <v/>
      </c>
      <c r="K61" s="476" t="str">
        <f>'סיכום לועדה- הזנת נתונים'!K61</f>
        <v/>
      </c>
      <c r="L61" s="442" t="str">
        <f>'סיכום לועדה- הזנת נתונים'!L61</f>
        <v/>
      </c>
      <c r="M61" s="443" t="str">
        <f>'סיכום לועדה- הזנת נתונים'!M61</f>
        <v/>
      </c>
      <c r="N61" s="444" t="str">
        <f>'סיכום לועדה- הזנת נתונים'!N61</f>
        <v/>
      </c>
      <c r="O61" s="444">
        <f>'סיכום לועדה- הזנת נתונים'!O61</f>
        <v>0</v>
      </c>
      <c r="P61" s="444" t="str">
        <f>'סיכום לועדה- הזנת נתונים'!P61</f>
        <v/>
      </c>
      <c r="Q61" s="479" t="str">
        <f>'סיכום לועדה- הזנת נתונים'!Q61</f>
        <v/>
      </c>
      <c r="R61" s="441">
        <f>'סיכום לועדה- הזנת נתונים'!R61</f>
        <v>0</v>
      </c>
      <c r="S61" s="441">
        <f>'סיכום לועדה- הזנת נתונים'!S61</f>
        <v>0</v>
      </c>
      <c r="T61" s="18"/>
      <c r="U61" s="19"/>
      <c r="V61" s="21"/>
      <c r="W61" s="21"/>
      <c r="X61" s="20"/>
      <c r="AU61" s="21"/>
      <c r="AV61" s="21"/>
      <c r="AW61" s="22"/>
    </row>
    <row r="62" spans="2:49" ht="39" hidden="1" customHeight="1" x14ac:dyDescent="0.25">
      <c r="B62" s="23" t="str">
        <f t="shared" si="0"/>
        <v/>
      </c>
      <c r="C62" s="440" t="str">
        <f>'סיכום לועדה- הזנת נתונים'!C62</f>
        <v/>
      </c>
      <c r="D62" s="440">
        <f>'סיכום לועדה- הזנת נתונים'!D62</f>
        <v>0</v>
      </c>
      <c r="E62" s="440">
        <f>'סיכום לועדה- הזנת נתונים'!E62</f>
        <v>0</v>
      </c>
      <c r="F62" s="440">
        <f>'סיכום לועדה- הזנת נתונים'!F62</f>
        <v>0</v>
      </c>
      <c r="G62" s="441" t="str">
        <f>'סיכום לועדה- הזנת נתונים'!G62</f>
        <v/>
      </c>
      <c r="H62" s="441" t="str">
        <f>'סיכום לועדה- הזנת נתונים'!H62</f>
        <v/>
      </c>
      <c r="I62" s="476" t="str">
        <f>'סיכום לועדה- הזנת נתונים'!I62</f>
        <v/>
      </c>
      <c r="J62" s="476" t="str">
        <f>'סיכום לועדה- הזנת נתונים'!J62</f>
        <v/>
      </c>
      <c r="K62" s="476" t="str">
        <f>'סיכום לועדה- הזנת נתונים'!K62</f>
        <v/>
      </c>
      <c r="L62" s="442" t="str">
        <f>'סיכום לועדה- הזנת נתונים'!L62</f>
        <v/>
      </c>
      <c r="M62" s="443" t="str">
        <f>'סיכום לועדה- הזנת נתונים'!M62</f>
        <v/>
      </c>
      <c r="N62" s="444" t="str">
        <f>'סיכום לועדה- הזנת נתונים'!N62</f>
        <v/>
      </c>
      <c r="O62" s="444">
        <f>'סיכום לועדה- הזנת נתונים'!O62</f>
        <v>0</v>
      </c>
      <c r="P62" s="444" t="str">
        <f>'סיכום לועדה- הזנת נתונים'!P62</f>
        <v/>
      </c>
      <c r="Q62" s="479" t="str">
        <f>'סיכום לועדה- הזנת נתונים'!Q62</f>
        <v/>
      </c>
      <c r="R62" s="441">
        <f>'סיכום לועדה- הזנת נתונים'!R62</f>
        <v>0</v>
      </c>
      <c r="S62" s="441">
        <f>'סיכום לועדה- הזנת נתונים'!S62</f>
        <v>0</v>
      </c>
      <c r="T62" s="18"/>
      <c r="U62" s="19"/>
      <c r="V62" s="21"/>
      <c r="W62" s="21"/>
      <c r="X62" s="20"/>
      <c r="AU62" s="21"/>
      <c r="AV62" s="21"/>
      <c r="AW62" s="22"/>
    </row>
    <row r="63" spans="2:49" ht="39" hidden="1" customHeight="1" x14ac:dyDescent="0.25">
      <c r="B63" s="23" t="str">
        <f t="shared" si="0"/>
        <v/>
      </c>
      <c r="C63" s="440" t="str">
        <f>'סיכום לועדה- הזנת נתונים'!C63</f>
        <v/>
      </c>
      <c r="D63" s="440">
        <f>'סיכום לועדה- הזנת נתונים'!D63</f>
        <v>0</v>
      </c>
      <c r="E63" s="440">
        <f>'סיכום לועדה- הזנת נתונים'!E63</f>
        <v>0</v>
      </c>
      <c r="F63" s="440">
        <f>'סיכום לועדה- הזנת נתונים'!F63</f>
        <v>0</v>
      </c>
      <c r="G63" s="441" t="str">
        <f>'סיכום לועדה- הזנת נתונים'!G63</f>
        <v/>
      </c>
      <c r="H63" s="441" t="str">
        <f>'סיכום לועדה- הזנת נתונים'!H63</f>
        <v/>
      </c>
      <c r="I63" s="476" t="str">
        <f>'סיכום לועדה- הזנת נתונים'!I63</f>
        <v/>
      </c>
      <c r="J63" s="476" t="str">
        <f>'סיכום לועדה- הזנת נתונים'!J63</f>
        <v/>
      </c>
      <c r="K63" s="476" t="str">
        <f>'סיכום לועדה- הזנת נתונים'!K63</f>
        <v/>
      </c>
      <c r="L63" s="442" t="str">
        <f>'סיכום לועדה- הזנת נתונים'!L63</f>
        <v/>
      </c>
      <c r="M63" s="443" t="str">
        <f>'סיכום לועדה- הזנת נתונים'!M63</f>
        <v/>
      </c>
      <c r="N63" s="444" t="str">
        <f>'סיכום לועדה- הזנת נתונים'!N63</f>
        <v/>
      </c>
      <c r="O63" s="444">
        <f>'סיכום לועדה- הזנת נתונים'!O63</f>
        <v>0</v>
      </c>
      <c r="P63" s="444" t="str">
        <f>'סיכום לועדה- הזנת נתונים'!P63</f>
        <v/>
      </c>
      <c r="Q63" s="479" t="str">
        <f>'סיכום לועדה- הזנת נתונים'!Q63</f>
        <v/>
      </c>
      <c r="R63" s="441">
        <f>'סיכום לועדה- הזנת נתונים'!R63</f>
        <v>0</v>
      </c>
      <c r="S63" s="441">
        <f>'סיכום לועדה- הזנת נתונים'!S63</f>
        <v>0</v>
      </c>
      <c r="T63" s="18"/>
      <c r="U63" s="19"/>
      <c r="V63" s="21"/>
      <c r="W63" s="21"/>
      <c r="X63" s="20"/>
      <c r="AU63" s="21"/>
      <c r="AV63" s="21"/>
      <c r="AW63" s="22"/>
    </row>
    <row r="64" spans="2:49" ht="39" hidden="1" customHeight="1" x14ac:dyDescent="0.25">
      <c r="B64" s="23" t="str">
        <f t="shared" si="0"/>
        <v/>
      </c>
      <c r="C64" s="440" t="str">
        <f>'סיכום לועדה- הזנת נתונים'!C64</f>
        <v/>
      </c>
      <c r="D64" s="440">
        <f>'סיכום לועדה- הזנת נתונים'!D64</f>
        <v>0</v>
      </c>
      <c r="E64" s="440">
        <f>'סיכום לועדה- הזנת נתונים'!E64</f>
        <v>0</v>
      </c>
      <c r="F64" s="440">
        <f>'סיכום לועדה- הזנת נתונים'!F64</f>
        <v>0</v>
      </c>
      <c r="G64" s="441" t="str">
        <f>'סיכום לועדה- הזנת נתונים'!G64</f>
        <v/>
      </c>
      <c r="H64" s="441" t="str">
        <f>'סיכום לועדה- הזנת נתונים'!H64</f>
        <v/>
      </c>
      <c r="I64" s="476" t="str">
        <f>'סיכום לועדה- הזנת נתונים'!I64</f>
        <v/>
      </c>
      <c r="J64" s="476" t="str">
        <f>'סיכום לועדה- הזנת נתונים'!J64</f>
        <v/>
      </c>
      <c r="K64" s="476" t="str">
        <f>'סיכום לועדה- הזנת נתונים'!K64</f>
        <v/>
      </c>
      <c r="L64" s="442" t="str">
        <f>'סיכום לועדה- הזנת נתונים'!L64</f>
        <v/>
      </c>
      <c r="M64" s="443" t="str">
        <f>'סיכום לועדה- הזנת נתונים'!M64</f>
        <v/>
      </c>
      <c r="N64" s="444" t="str">
        <f>'סיכום לועדה- הזנת נתונים'!N64</f>
        <v/>
      </c>
      <c r="O64" s="444">
        <f>'סיכום לועדה- הזנת נתונים'!O64</f>
        <v>0</v>
      </c>
      <c r="P64" s="444" t="str">
        <f>'סיכום לועדה- הזנת נתונים'!P64</f>
        <v/>
      </c>
      <c r="Q64" s="479" t="str">
        <f>'סיכום לועדה- הזנת נתונים'!Q64</f>
        <v/>
      </c>
      <c r="R64" s="441">
        <f>'סיכום לועדה- הזנת נתונים'!R64</f>
        <v>0</v>
      </c>
      <c r="S64" s="441">
        <f>'סיכום לועדה- הזנת נתונים'!S64</f>
        <v>0</v>
      </c>
      <c r="T64" s="18"/>
      <c r="U64" s="19"/>
      <c r="V64" s="21"/>
      <c r="W64" s="21"/>
      <c r="X64" s="20"/>
      <c r="AU64" s="21"/>
      <c r="AV64" s="21"/>
      <c r="AW64" s="22"/>
    </row>
    <row r="65" spans="2:49" ht="49.5" customHeight="1" x14ac:dyDescent="0.25">
      <c r="B65" s="23">
        <f t="shared" si="0"/>
        <v>35</v>
      </c>
      <c r="C65" s="440" t="str">
        <f>'סיכום לועדה- הזנת נתונים'!C65</f>
        <v>אנסמבל מיתר</v>
      </c>
      <c r="D65" s="440">
        <f>'סיכום לועדה- הזנת נתונים'!D65</f>
        <v>1001907429</v>
      </c>
      <c r="E65" s="440">
        <f>'סיכום לועדה- הזנת נתונים'!E65</f>
        <v>1001754448</v>
      </c>
      <c r="F65" s="440">
        <f>'סיכום לועדה- הזנת נתונים'!F65</f>
        <v>2020</v>
      </c>
      <c r="G65" s="441">
        <f>'סיכום לועדה- הזנת נתונים'!G65</f>
        <v>1</v>
      </c>
      <c r="H65" s="441" t="str">
        <f>'סיכום לועדה- הזנת נתונים'!H65</f>
        <v>no</v>
      </c>
      <c r="I65" s="476">
        <f>'סיכום לועדה- הזנת נתונים'!I65</f>
        <v>2025</v>
      </c>
      <c r="J65" s="476">
        <f>'סיכום לועדה- הזנת נתונים'!J65</f>
        <v>42871405</v>
      </c>
      <c r="K65" s="476">
        <f>'סיכום לועדה- הזנת נתונים'!K65</f>
        <v>580676252</v>
      </c>
      <c r="L65" s="442" t="str">
        <f>'סיכום לועדה- הזנת נתונים'!L65</f>
        <v>מיתר עמותה לקידום מוסיקה ישראלית וע</v>
      </c>
      <c r="M65" s="443" t="str">
        <f>'סיכום לועדה- הזנת נתונים'!M65</f>
        <v>בקשה לתקציב לתמיכה שנתית באנסמבל מיתר</v>
      </c>
      <c r="N65" s="444">
        <f>'סיכום לועדה- הזנת נתונים'!N65</f>
        <v>298738</v>
      </c>
      <c r="O65" s="444">
        <f>'סיכום לועדה- הזנת נתונים'!O65</f>
        <v>167540</v>
      </c>
      <c r="P65" s="444">
        <f>'סיכום לועדה- הזנת נתונים'!P65</f>
        <v>210804.2648913592</v>
      </c>
      <c r="Q65" s="479">
        <f>'סיכום לועדה- הזנת נתונים'!Q65</f>
        <v>0.25823245130332584</v>
      </c>
      <c r="R65" s="441" t="str">
        <f>'סיכום לועדה- הזנת נתונים'!R65</f>
        <v>עליה בנתונים בעיקר ביצוע יצירה ישראלית</v>
      </c>
      <c r="S65" s="441" t="str">
        <f>'סיכום לועדה- הזנת נתונים'!S65</f>
        <v>עומד בתנאי סף האמנותי ובתנאי הסף הכמותיים כקבוצה מוסיקלית.</v>
      </c>
      <c r="T65" s="18"/>
      <c r="U65" s="19"/>
      <c r="V65" s="21"/>
      <c r="W65" s="21"/>
      <c r="X65" s="20"/>
      <c r="AU65" s="21"/>
      <c r="AV65" s="21"/>
      <c r="AW65" s="22"/>
    </row>
    <row r="66" spans="2:49" ht="39" hidden="1" customHeight="1" x14ac:dyDescent="0.25">
      <c r="B66" s="23" t="str">
        <f t="shared" si="0"/>
        <v/>
      </c>
      <c r="C66" s="440" t="str">
        <f>'סיכום לועדה- הזנת נתונים'!C66</f>
        <v/>
      </c>
      <c r="D66" s="440">
        <f>'סיכום לועדה- הזנת נתונים'!D66</f>
        <v>0</v>
      </c>
      <c r="E66" s="440">
        <f>'סיכום לועדה- הזנת נתונים'!E66</f>
        <v>0</v>
      </c>
      <c r="F66" s="440">
        <f>'סיכום לועדה- הזנת נתונים'!F66</f>
        <v>0</v>
      </c>
      <c r="G66" s="441" t="str">
        <f>'סיכום לועדה- הזנת נתונים'!G66</f>
        <v/>
      </c>
      <c r="H66" s="441" t="str">
        <f>'סיכום לועדה- הזנת נתונים'!H66</f>
        <v/>
      </c>
      <c r="I66" s="476" t="str">
        <f>'סיכום לועדה- הזנת נתונים'!I66</f>
        <v/>
      </c>
      <c r="J66" s="476" t="str">
        <f>'סיכום לועדה- הזנת נתונים'!J66</f>
        <v/>
      </c>
      <c r="K66" s="476" t="str">
        <f>'סיכום לועדה- הזנת נתונים'!K66</f>
        <v/>
      </c>
      <c r="L66" s="442" t="str">
        <f>'סיכום לועדה- הזנת נתונים'!L66</f>
        <v/>
      </c>
      <c r="M66" s="443" t="str">
        <f>'סיכום לועדה- הזנת נתונים'!M66</f>
        <v/>
      </c>
      <c r="N66" s="444" t="str">
        <f>'סיכום לועדה- הזנת נתונים'!N66</f>
        <v/>
      </c>
      <c r="O66" s="444">
        <f>'סיכום לועדה- הזנת נתונים'!O66</f>
        <v>0</v>
      </c>
      <c r="P66" s="444" t="str">
        <f>'סיכום לועדה- הזנת נתונים'!P66</f>
        <v/>
      </c>
      <c r="Q66" s="479" t="str">
        <f>'סיכום לועדה- הזנת נתונים'!Q66</f>
        <v/>
      </c>
      <c r="R66" s="441">
        <f>'סיכום לועדה- הזנת נתונים'!R66</f>
        <v>0</v>
      </c>
      <c r="S66" s="441">
        <f>'סיכום לועדה- הזנת נתונים'!S66</f>
        <v>0</v>
      </c>
      <c r="T66" s="18"/>
      <c r="U66" s="19"/>
      <c r="V66" s="21"/>
      <c r="W66" s="21"/>
      <c r="X66" s="20"/>
      <c r="AU66" s="21"/>
      <c r="AV66" s="21"/>
      <c r="AW66" s="22"/>
    </row>
    <row r="67" spans="2:49" ht="39" customHeight="1" x14ac:dyDescent="0.25">
      <c r="B67" s="23">
        <f t="shared" si="0"/>
        <v>37</v>
      </c>
      <c r="C67" s="440" t="str">
        <f>'סיכום לועדה- הזנת נתונים'!C67</f>
        <v>אנסמבל ארז נטף</v>
      </c>
      <c r="D67" s="440">
        <f>'סיכום לועדה- הזנת נתונים'!D67</f>
        <v>1001908683</v>
      </c>
      <c r="E67" s="440">
        <f>'סיכום לועדה- הזנת נתונים'!E67</f>
        <v>1001735320</v>
      </c>
      <c r="F67" s="440">
        <f>'סיכום לועדה- הזנת נתונים'!F67</f>
        <v>2020</v>
      </c>
      <c r="G67" s="441">
        <f>'סיכום לועדה- הזנת נתונים'!G67</f>
        <v>1</v>
      </c>
      <c r="H67" s="441" t="str">
        <f>'סיכום לועדה- הזנת נתונים'!H67</f>
        <v/>
      </c>
      <c r="I67" s="476">
        <f>'סיכום לועדה- הזנת נתונים'!I67</f>
        <v>2025</v>
      </c>
      <c r="J67" s="476">
        <f>'סיכום לועדה- הזנת נתונים'!J67</f>
        <v>40221541</v>
      </c>
      <c r="K67" s="476">
        <f>'סיכום לועדה- הזנת נתונים'!K67</f>
        <v>580327740</v>
      </c>
      <c r="L67" s="442" t="str">
        <f>'סיכום לועדה- הזנת נתונים'!L67</f>
        <v>המרכז למוסיקה ע"ש פיליציה בלומנטל (</v>
      </c>
      <c r="M67" s="443" t="str">
        <f>'סיכום לועדה- הזנת נתונים'!M67</f>
        <v>אנסמבל ארז נטף</v>
      </c>
      <c r="N67" s="444">
        <f>'סיכום לועדה- הזנת נתונים'!N67</f>
        <v>85000</v>
      </c>
      <c r="O67" s="444">
        <f>'סיכום לועדה- הזנת נתונים'!O67</f>
        <v>75166</v>
      </c>
      <c r="P67" s="444">
        <f>'סיכום לועדה- הזנת נתונים'!P67</f>
        <v>84999.999999999956</v>
      </c>
      <c r="Q67" s="479">
        <f>'סיכום לועדה- הזנת נתונים'!Q67</f>
        <v>0.13083042865125138</v>
      </c>
      <c r="R67" s="441">
        <f>'סיכום לועדה- הזנת נתונים'!R67</f>
        <v>0</v>
      </c>
      <c r="S67" s="441" t="str">
        <f>'סיכום לועדה- הזנת נתונים'!S67</f>
        <v>עומד בתנאי סף האמנותי ובתנאי הסף הכמותיים כקבוצה מוסיקלית.</v>
      </c>
      <c r="T67" s="18"/>
      <c r="U67" s="19"/>
      <c r="V67" s="21"/>
      <c r="W67" s="21"/>
      <c r="X67" s="20"/>
      <c r="AU67" s="21"/>
      <c r="AV67" s="21"/>
      <c r="AW67" s="22"/>
    </row>
    <row r="68" spans="2:49" ht="39" hidden="1" customHeight="1" x14ac:dyDescent="0.25">
      <c r="B68" s="23" t="str">
        <f t="shared" si="0"/>
        <v/>
      </c>
      <c r="C68" s="440" t="str">
        <f>'סיכום לועדה- הזנת נתונים'!C68</f>
        <v/>
      </c>
      <c r="D68" s="440">
        <f>'סיכום לועדה- הזנת נתונים'!D68</f>
        <v>0</v>
      </c>
      <c r="E68" s="440">
        <f>'סיכום לועדה- הזנת נתונים'!E68</f>
        <v>0</v>
      </c>
      <c r="F68" s="440">
        <f>'סיכום לועדה- הזנת נתונים'!F68</f>
        <v>0</v>
      </c>
      <c r="G68" s="441" t="str">
        <f>'סיכום לועדה- הזנת נתונים'!G68</f>
        <v/>
      </c>
      <c r="H68" s="441" t="str">
        <f>'סיכום לועדה- הזנת נתונים'!H68</f>
        <v/>
      </c>
      <c r="I68" s="476" t="str">
        <f>'סיכום לועדה- הזנת נתונים'!I68</f>
        <v/>
      </c>
      <c r="J68" s="476" t="str">
        <f>'סיכום לועדה- הזנת נתונים'!J68</f>
        <v/>
      </c>
      <c r="K68" s="476" t="str">
        <f>'סיכום לועדה- הזנת נתונים'!K68</f>
        <v/>
      </c>
      <c r="L68" s="442" t="str">
        <f>'סיכום לועדה- הזנת נתונים'!L68</f>
        <v/>
      </c>
      <c r="M68" s="443" t="str">
        <f>'סיכום לועדה- הזנת נתונים'!M68</f>
        <v/>
      </c>
      <c r="N68" s="444" t="str">
        <f>'סיכום לועדה- הזנת נתונים'!N68</f>
        <v/>
      </c>
      <c r="O68" s="444">
        <f>'סיכום לועדה- הזנת נתונים'!O68</f>
        <v>0</v>
      </c>
      <c r="P68" s="444" t="str">
        <f>'סיכום לועדה- הזנת נתונים'!P68</f>
        <v/>
      </c>
      <c r="Q68" s="479" t="str">
        <f>'סיכום לועדה- הזנת נתונים'!Q68</f>
        <v/>
      </c>
      <c r="R68" s="441">
        <f>'סיכום לועדה- הזנת נתונים'!R68</f>
        <v>0</v>
      </c>
      <c r="S68" s="441">
        <f>'סיכום לועדה- הזנת נתונים'!S68</f>
        <v>0</v>
      </c>
      <c r="T68" s="18"/>
      <c r="U68" s="19"/>
      <c r="V68" s="21"/>
      <c r="W68" s="21"/>
      <c r="X68" s="20"/>
      <c r="AU68" s="21"/>
      <c r="AV68" s="21"/>
      <c r="AW68" s="22"/>
    </row>
    <row r="69" spans="2:49" ht="39" hidden="1" customHeight="1" x14ac:dyDescent="0.25">
      <c r="B69" s="23" t="str">
        <f t="shared" si="0"/>
        <v/>
      </c>
      <c r="C69" s="440" t="str">
        <f>'סיכום לועדה- הזנת נתונים'!C69</f>
        <v/>
      </c>
      <c r="D69" s="440">
        <f>'סיכום לועדה- הזנת נתונים'!D69</f>
        <v>0</v>
      </c>
      <c r="E69" s="440">
        <f>'סיכום לועדה- הזנת נתונים'!E69</f>
        <v>0</v>
      </c>
      <c r="F69" s="440">
        <f>'סיכום לועדה- הזנת נתונים'!F69</f>
        <v>0</v>
      </c>
      <c r="G69" s="441" t="str">
        <f>'סיכום לועדה- הזנת נתונים'!G69</f>
        <v/>
      </c>
      <c r="H69" s="441" t="str">
        <f>'סיכום לועדה- הזנת נתונים'!H69</f>
        <v/>
      </c>
      <c r="I69" s="476" t="str">
        <f>'סיכום לועדה- הזנת נתונים'!I69</f>
        <v/>
      </c>
      <c r="J69" s="476" t="str">
        <f>'סיכום לועדה- הזנת נתונים'!J69</f>
        <v/>
      </c>
      <c r="K69" s="476" t="str">
        <f>'סיכום לועדה- הזנת נתונים'!K69</f>
        <v/>
      </c>
      <c r="L69" s="442" t="str">
        <f>'סיכום לועדה- הזנת נתונים'!L69</f>
        <v/>
      </c>
      <c r="M69" s="443" t="str">
        <f>'סיכום לועדה- הזנת נתונים'!M69</f>
        <v/>
      </c>
      <c r="N69" s="444" t="str">
        <f>'סיכום לועדה- הזנת נתונים'!N69</f>
        <v/>
      </c>
      <c r="O69" s="444">
        <f>'סיכום לועדה- הזנת נתונים'!O69</f>
        <v>0</v>
      </c>
      <c r="P69" s="444" t="str">
        <f>'סיכום לועדה- הזנת נתונים'!P69</f>
        <v/>
      </c>
      <c r="Q69" s="479" t="str">
        <f>'סיכום לועדה- הזנת נתונים'!Q69</f>
        <v/>
      </c>
      <c r="R69" s="441">
        <f>'סיכום לועדה- הזנת נתונים'!R69</f>
        <v>0</v>
      </c>
      <c r="S69" s="441">
        <f>'סיכום לועדה- הזנת נתונים'!S69</f>
        <v>0</v>
      </c>
      <c r="T69" s="18"/>
      <c r="U69" s="19"/>
      <c r="V69" s="21"/>
      <c r="W69" s="21"/>
      <c r="X69" s="20"/>
      <c r="AU69" s="21"/>
      <c r="AV69" s="21"/>
      <c r="AW69" s="22"/>
    </row>
    <row r="70" spans="2:49" ht="39" customHeight="1" x14ac:dyDescent="0.25">
      <c r="B70" s="23">
        <f t="shared" si="0"/>
        <v>40</v>
      </c>
      <c r="C70" s="440" t="str">
        <f>'סיכום לועדה- הזנת נתונים'!C70</f>
        <v>תו המשווה (ע"ר)</v>
      </c>
      <c r="D70" s="440">
        <f>'סיכום לועדה- הזנת נתונים'!D70</f>
        <v>1001908300</v>
      </c>
      <c r="E70" s="440">
        <f>'סיכום לועדה- הזנת נתונים'!E70</f>
        <v>1001778694</v>
      </c>
      <c r="F70" s="440">
        <f>'סיכום לועדה- הזנת נתונים'!F70</f>
        <v>2020</v>
      </c>
      <c r="G70" s="441">
        <f>'סיכום לועדה- הזנת נתונים'!G70</f>
        <v>1</v>
      </c>
      <c r="H70" s="441" t="str">
        <f>'סיכום לועדה- הזנת נתונים'!H70</f>
        <v/>
      </c>
      <c r="I70" s="476">
        <f>'סיכום לועדה- הזנת נתונים'!I70</f>
        <v>2025</v>
      </c>
      <c r="J70" s="476">
        <f>'סיכום לועדה- הזנת נתונים'!J70</f>
        <v>41914867</v>
      </c>
      <c r="K70" s="476">
        <f>'סיכום לועדה- הזנת נתונים'!K70</f>
        <v>580666717</v>
      </c>
      <c r="L70" s="442" t="str">
        <f>'סיכום לועדה- הזנת נתונים'!L70</f>
        <v>תו המשווה (ע"ר)</v>
      </c>
      <c r="M70" s="443" t="str">
        <f>'סיכום לועדה- הזנת נתונים'!M70</f>
        <v>תו המשווה- אנסמבל 2025</v>
      </c>
      <c r="N70" s="444">
        <f>'סיכום לועדה- הזנת נתונים'!N70</f>
        <v>400000</v>
      </c>
      <c r="O70" s="444">
        <f>'סיכום לועדה- הזנת נתונים'!O70</f>
        <v>101872</v>
      </c>
      <c r="P70" s="444">
        <f>'סיכום לועדה- הזנת נתונים'!P70</f>
        <v>114404.20944372902</v>
      </c>
      <c r="Q70" s="479">
        <f>'סיכום לועדה- הזנת נתונים'!Q70</f>
        <v>0.12301917547244612</v>
      </c>
      <c r="R70" s="441">
        <f>'סיכום לועדה- הזנת נתונים'!R70</f>
        <v>0</v>
      </c>
      <c r="S70" s="441" t="str">
        <f>'סיכום לועדה- הזנת נתונים'!S70</f>
        <v>עומד בתנאי סף האמנותי ובתנאי הסף הכמותיים כקבוצה מוסיקלית.</v>
      </c>
      <c r="T70" s="18"/>
      <c r="U70" s="19"/>
      <c r="V70" s="21"/>
      <c r="W70" s="21"/>
      <c r="X70" s="20"/>
      <c r="AU70" s="21"/>
      <c r="AV70" s="21"/>
      <c r="AW70" s="22"/>
    </row>
    <row r="71" spans="2:49" ht="39" hidden="1" customHeight="1" x14ac:dyDescent="0.25">
      <c r="B71" s="23" t="str">
        <f t="shared" si="0"/>
        <v/>
      </c>
      <c r="C71" s="440" t="str">
        <f>'סיכום לועדה- הזנת נתונים'!C71</f>
        <v/>
      </c>
      <c r="D71" s="440">
        <f>'סיכום לועדה- הזנת נתונים'!D71</f>
        <v>0</v>
      </c>
      <c r="E71" s="440">
        <f>'סיכום לועדה- הזנת נתונים'!E71</f>
        <v>0</v>
      </c>
      <c r="F71" s="440">
        <f>'סיכום לועדה- הזנת נתונים'!F71</f>
        <v>0</v>
      </c>
      <c r="G71" s="441" t="str">
        <f>'סיכום לועדה- הזנת נתונים'!G71</f>
        <v/>
      </c>
      <c r="H71" s="441" t="str">
        <f>'סיכום לועדה- הזנת נתונים'!H71</f>
        <v/>
      </c>
      <c r="I71" s="476" t="str">
        <f>'סיכום לועדה- הזנת נתונים'!I71</f>
        <v/>
      </c>
      <c r="J71" s="476" t="str">
        <f>'סיכום לועדה- הזנת נתונים'!J71</f>
        <v/>
      </c>
      <c r="K71" s="476" t="str">
        <f>'סיכום לועדה- הזנת נתונים'!K71</f>
        <v/>
      </c>
      <c r="L71" s="442" t="str">
        <f>'סיכום לועדה- הזנת נתונים'!L71</f>
        <v/>
      </c>
      <c r="M71" s="443" t="str">
        <f>'סיכום לועדה- הזנת נתונים'!M71</f>
        <v/>
      </c>
      <c r="N71" s="444" t="str">
        <f>'סיכום לועדה- הזנת נתונים'!N71</f>
        <v/>
      </c>
      <c r="O71" s="444">
        <f>'סיכום לועדה- הזנת נתונים'!O71</f>
        <v>0</v>
      </c>
      <c r="P71" s="444" t="str">
        <f>'סיכום לועדה- הזנת נתונים'!P71</f>
        <v/>
      </c>
      <c r="Q71" s="479" t="str">
        <f>'סיכום לועדה- הזנת נתונים'!Q71</f>
        <v/>
      </c>
      <c r="R71" s="441">
        <f>'סיכום לועדה- הזנת נתונים'!R71</f>
        <v>0</v>
      </c>
      <c r="S71" s="441">
        <f>'סיכום לועדה- הזנת נתונים'!S71</f>
        <v>0</v>
      </c>
      <c r="T71" s="18"/>
      <c r="U71" s="19"/>
      <c r="V71" s="21"/>
      <c r="W71" s="21"/>
      <c r="X71" s="20"/>
      <c r="AU71" s="21"/>
      <c r="AV71" s="21"/>
      <c r="AW71" s="22"/>
    </row>
    <row r="72" spans="2:49" ht="39" hidden="1" customHeight="1" x14ac:dyDescent="0.25">
      <c r="B72" s="23" t="str">
        <f t="shared" si="0"/>
        <v/>
      </c>
      <c r="C72" s="440" t="str">
        <f>'סיכום לועדה- הזנת נתונים'!C72</f>
        <v/>
      </c>
      <c r="D72" s="440">
        <f>'סיכום לועדה- הזנת נתונים'!D72</f>
        <v>0</v>
      </c>
      <c r="E72" s="440">
        <f>'סיכום לועדה- הזנת נתונים'!E72</f>
        <v>0</v>
      </c>
      <c r="F72" s="440">
        <f>'סיכום לועדה- הזנת נתונים'!F72</f>
        <v>0</v>
      </c>
      <c r="G72" s="441" t="str">
        <f>'סיכום לועדה- הזנת נתונים'!G72</f>
        <v/>
      </c>
      <c r="H72" s="441" t="str">
        <f>'סיכום לועדה- הזנת נתונים'!H72</f>
        <v/>
      </c>
      <c r="I72" s="476" t="str">
        <f>'סיכום לועדה- הזנת נתונים'!I72</f>
        <v/>
      </c>
      <c r="J72" s="476" t="str">
        <f>'סיכום לועדה- הזנת נתונים'!J72</f>
        <v/>
      </c>
      <c r="K72" s="476" t="str">
        <f>'סיכום לועדה- הזנת נתונים'!K72</f>
        <v/>
      </c>
      <c r="L72" s="442" t="str">
        <f>'סיכום לועדה- הזנת נתונים'!L72</f>
        <v/>
      </c>
      <c r="M72" s="443" t="str">
        <f>'סיכום לועדה- הזנת נתונים'!M72</f>
        <v/>
      </c>
      <c r="N72" s="444" t="str">
        <f>'סיכום לועדה- הזנת נתונים'!N72</f>
        <v/>
      </c>
      <c r="O72" s="444">
        <f>'סיכום לועדה- הזנת נתונים'!O72</f>
        <v>0</v>
      </c>
      <c r="P72" s="444" t="str">
        <f>'סיכום לועדה- הזנת נתונים'!P72</f>
        <v/>
      </c>
      <c r="Q72" s="479" t="str">
        <f>'סיכום לועדה- הזנת נתונים'!Q72</f>
        <v/>
      </c>
      <c r="R72" s="441">
        <f>'סיכום לועדה- הזנת נתונים'!R72</f>
        <v>0</v>
      </c>
      <c r="S72" s="441">
        <f>'סיכום לועדה- הזנת נתונים'!S72</f>
        <v>0</v>
      </c>
      <c r="T72" s="18"/>
      <c r="U72" s="19"/>
      <c r="V72" s="21"/>
      <c r="W72" s="21"/>
      <c r="X72" s="20"/>
      <c r="AU72" s="21"/>
      <c r="AV72" s="21"/>
      <c r="AW72" s="22"/>
    </row>
    <row r="73" spans="2:49" ht="39" customHeight="1" x14ac:dyDescent="0.25">
      <c r="B73" s="23">
        <f t="shared" si="0"/>
        <v>43</v>
      </c>
      <c r="C73" s="440" t="str">
        <f>'סיכום לועדה- הזנת נתונים'!C73</f>
        <v>בר קיימא ואקלקוטנטקט</v>
      </c>
      <c r="D73" s="440">
        <f>'סיכום לועדה- הזנת נתונים'!D73</f>
        <v>1001906944</v>
      </c>
      <c r="E73" s="440">
        <f>'סיכום לועדה- הזנת נתונים'!E73</f>
        <v>1001734690</v>
      </c>
      <c r="F73" s="440">
        <f>'סיכום לועדה- הזנת נתונים'!F73</f>
        <v>2020</v>
      </c>
      <c r="G73" s="441">
        <f>'סיכום לועדה- הזנת נתונים'!G73</f>
        <v>1</v>
      </c>
      <c r="H73" s="441" t="str">
        <f>'סיכום לועדה- הזנת נתונים'!H73</f>
        <v/>
      </c>
      <c r="I73" s="476">
        <f>'סיכום לועדה- הזנת נתונים'!I73</f>
        <v>2025</v>
      </c>
      <c r="J73" s="476">
        <f>'סיכום לועדה- הזנת נתונים'!J73</f>
        <v>41099000</v>
      </c>
      <c r="K73" s="476">
        <f>'סיכום לועדה- הזנת נתונים'!K73</f>
        <v>580450898</v>
      </c>
      <c r="L73" s="442" t="str">
        <f>'סיכום לועדה- הזנת נתונים'!L73</f>
        <v>בר-קיימא לתרבות, אמנות, מוסיקה ושלו</v>
      </c>
      <c r="M73" s="443" t="str">
        <f>'סיכום לועדה- הזנת נתונים'!M73</f>
        <v>וואקלקונטקט 2025</v>
      </c>
      <c r="N73" s="444">
        <f>'סיכום לועדה- הזנת נתונים'!N73</f>
        <v>200000</v>
      </c>
      <c r="O73" s="444">
        <f>'סיכום לועדה- הזנת נתונים'!O73</f>
        <v>120651</v>
      </c>
      <c r="P73" s="444">
        <f>'סיכום לועדה- הזנת נתונים'!P73</f>
        <v>134079.05030349543</v>
      </c>
      <c r="Q73" s="479">
        <f>'סיכום לועדה- הזנת נתונים'!Q73</f>
        <v>0.11129663495118503</v>
      </c>
      <c r="R73" s="441">
        <f>'סיכום לועדה- הזנת נתונים'!R73</f>
        <v>0</v>
      </c>
      <c r="S73" s="441" t="str">
        <f>'סיכום לועדה- הזנת נתונים'!S73</f>
        <v>עומד בתנאי סף האמנותי ובתנאי הסף הכמותיים כקבוצה מוסיקלית.</v>
      </c>
      <c r="T73" s="18"/>
      <c r="U73" s="19"/>
      <c r="V73" s="21"/>
      <c r="W73" s="21"/>
      <c r="X73" s="20"/>
      <c r="AU73" s="21"/>
      <c r="AV73" s="21"/>
      <c r="AW73" s="22"/>
    </row>
    <row r="74" spans="2:49" ht="39" hidden="1" customHeight="1" x14ac:dyDescent="0.25">
      <c r="B74" s="23" t="str">
        <f t="shared" si="0"/>
        <v/>
      </c>
      <c r="C74" s="440" t="str">
        <f>'סיכום לועדה- הזנת נתונים'!C74</f>
        <v/>
      </c>
      <c r="D74" s="440">
        <f>'סיכום לועדה- הזנת נתונים'!D74</f>
        <v>0</v>
      </c>
      <c r="E74" s="440">
        <f>'סיכום לועדה- הזנת נתונים'!E74</f>
        <v>0</v>
      </c>
      <c r="F74" s="440">
        <f>'סיכום לועדה- הזנת נתונים'!F74</f>
        <v>0</v>
      </c>
      <c r="G74" s="441" t="str">
        <f>'סיכום לועדה- הזנת נתונים'!G74</f>
        <v/>
      </c>
      <c r="H74" s="441" t="str">
        <f>'סיכום לועדה- הזנת נתונים'!H74</f>
        <v/>
      </c>
      <c r="I74" s="476" t="str">
        <f>'סיכום לועדה- הזנת נתונים'!I74</f>
        <v/>
      </c>
      <c r="J74" s="476" t="str">
        <f>'סיכום לועדה- הזנת נתונים'!J74</f>
        <v/>
      </c>
      <c r="K74" s="476" t="str">
        <f>'סיכום לועדה- הזנת נתונים'!K74</f>
        <v/>
      </c>
      <c r="L74" s="442" t="str">
        <f>'סיכום לועדה- הזנת נתונים'!L74</f>
        <v/>
      </c>
      <c r="M74" s="443" t="str">
        <f>'סיכום לועדה- הזנת נתונים'!M74</f>
        <v/>
      </c>
      <c r="N74" s="444" t="str">
        <f>'סיכום לועדה- הזנת נתונים'!N74</f>
        <v/>
      </c>
      <c r="O74" s="444">
        <f>'סיכום לועדה- הזנת נתונים'!O74</f>
        <v>0</v>
      </c>
      <c r="P74" s="444" t="str">
        <f>'סיכום לועדה- הזנת נתונים'!P74</f>
        <v/>
      </c>
      <c r="Q74" s="479" t="str">
        <f>'סיכום לועדה- הזנת נתונים'!Q74</f>
        <v/>
      </c>
      <c r="R74" s="441">
        <f>'סיכום לועדה- הזנת נתונים'!R74</f>
        <v>0</v>
      </c>
      <c r="S74" s="441">
        <f>'סיכום לועדה- הזנת נתונים'!S74</f>
        <v>0</v>
      </c>
      <c r="T74" s="18"/>
      <c r="U74" s="19"/>
      <c r="V74" s="21"/>
      <c r="W74" s="21"/>
      <c r="X74" s="20"/>
      <c r="AU74" s="21"/>
      <c r="AV74" s="21"/>
      <c r="AW74" s="22"/>
    </row>
    <row r="75" spans="2:49" ht="39" customHeight="1" x14ac:dyDescent="0.25">
      <c r="B75" s="23">
        <f t="shared" si="0"/>
        <v>45</v>
      </c>
      <c r="C75" s="440" t="str">
        <f>'סיכום לועדה- הזנת נתונים'!C75</f>
        <v>אלקאת התזמורת התימנית</v>
      </c>
      <c r="D75" s="440">
        <f>'סיכום לועדה- הזנת נתונים'!D75</f>
        <v>1001906941</v>
      </c>
      <c r="E75" s="440">
        <f>'סיכום לועדה- הזנת נתונים'!E75</f>
        <v>1001734501</v>
      </c>
      <c r="F75" s="440">
        <f>'סיכום לועדה- הזנת נתונים'!F75</f>
        <v>2020</v>
      </c>
      <c r="G75" s="441">
        <f>'סיכום לועדה- הזנת נתונים'!G75</f>
        <v>1</v>
      </c>
      <c r="H75" s="441" t="str">
        <f>'סיכום לועדה- הזנת נתונים'!H75</f>
        <v/>
      </c>
      <c r="I75" s="476">
        <f>'סיכום לועדה- הזנת נתונים'!I75</f>
        <v>2025</v>
      </c>
      <c r="J75" s="476">
        <f>'סיכום לועדה- הזנת נתונים'!J75</f>
        <v>40000333</v>
      </c>
      <c r="K75" s="476">
        <f>'סיכום לועדה- הזנת נתונים'!K75</f>
        <v>580013522</v>
      </c>
      <c r="L75" s="442" t="str">
        <f>'סיכום לועדה- הזנת נתונים'!L75</f>
        <v>האגודה לטיפוח חברה ותרבות, תיעוד ומ</v>
      </c>
      <c r="M75" s="443" t="str">
        <f>'סיכום לועדה- הזנת נתונים'!M75</f>
        <v>תמיכה בתזמורת התימנית (אלקאת)</v>
      </c>
      <c r="N75" s="444">
        <f>'סיכום לועדה- הזנת נתונים'!N75</f>
        <v>500000</v>
      </c>
      <c r="O75" s="444">
        <f>'סיכום לועדה- הזנת נתונים'!O75</f>
        <v>57326</v>
      </c>
      <c r="P75" s="444">
        <f>'סיכום לועדה- הזנת נתונים'!P75</f>
        <v>71593.155601257749</v>
      </c>
      <c r="Q75" s="479">
        <f>'סיכום לועדה- הזנת נתונים'!Q75</f>
        <v>0.24887757040885017</v>
      </c>
      <c r="R75" s="441" t="str">
        <f>'סיכום לועדה- הזנת נתונים'!R75</f>
        <v>עליה בנתונים</v>
      </c>
      <c r="S75" s="441" t="str">
        <f>'סיכום לועדה- הזנת נתונים'!S75</f>
        <v>עומד בתנאי סף האמנותי ובתנאי הסף הכמותיים כקבוצה מוסיקלית.</v>
      </c>
      <c r="T75" s="18"/>
      <c r="U75" s="19"/>
      <c r="V75" s="21"/>
      <c r="W75" s="21"/>
      <c r="X75" s="20"/>
      <c r="AU75" s="21"/>
      <c r="AV75" s="21"/>
      <c r="AW75" s="22"/>
    </row>
    <row r="76" spans="2:49" ht="39" hidden="1" customHeight="1" x14ac:dyDescent="0.25">
      <c r="B76" s="23" t="str">
        <f t="shared" si="0"/>
        <v/>
      </c>
      <c r="C76" s="440" t="str">
        <f>'סיכום לועדה- הזנת נתונים'!C76</f>
        <v/>
      </c>
      <c r="D76" s="440">
        <f>'סיכום לועדה- הזנת נתונים'!D76</f>
        <v>0</v>
      </c>
      <c r="E76" s="440">
        <f>'סיכום לועדה- הזנת נתונים'!E76</f>
        <v>0</v>
      </c>
      <c r="F76" s="440">
        <f>'סיכום לועדה- הזנת נתונים'!F76</f>
        <v>0</v>
      </c>
      <c r="G76" s="441" t="str">
        <f>'סיכום לועדה- הזנת נתונים'!G76</f>
        <v/>
      </c>
      <c r="H76" s="441" t="str">
        <f>'סיכום לועדה- הזנת נתונים'!H76</f>
        <v/>
      </c>
      <c r="I76" s="476" t="str">
        <f>'סיכום לועדה- הזנת נתונים'!I76</f>
        <v/>
      </c>
      <c r="J76" s="476" t="str">
        <f>'סיכום לועדה- הזנת נתונים'!J76</f>
        <v/>
      </c>
      <c r="K76" s="476" t="str">
        <f>'סיכום לועדה- הזנת נתונים'!K76</f>
        <v/>
      </c>
      <c r="L76" s="442" t="str">
        <f>'סיכום לועדה- הזנת נתונים'!L76</f>
        <v/>
      </c>
      <c r="M76" s="443" t="str">
        <f>'סיכום לועדה- הזנת נתונים'!M76</f>
        <v/>
      </c>
      <c r="N76" s="444" t="str">
        <f>'סיכום לועדה- הזנת נתונים'!N76</f>
        <v/>
      </c>
      <c r="O76" s="444">
        <f>'סיכום לועדה- הזנת נתונים'!O76</f>
        <v>0</v>
      </c>
      <c r="P76" s="444" t="str">
        <f>'סיכום לועדה- הזנת נתונים'!P76</f>
        <v/>
      </c>
      <c r="Q76" s="479" t="str">
        <f>'סיכום לועדה- הזנת נתונים'!Q76</f>
        <v/>
      </c>
      <c r="R76" s="441">
        <f>'סיכום לועדה- הזנת נתונים'!R76</f>
        <v>0</v>
      </c>
      <c r="S76" s="441">
        <f>'סיכום לועדה- הזנת נתונים'!S76</f>
        <v>0</v>
      </c>
      <c r="T76" s="18"/>
      <c r="U76" s="19"/>
      <c r="V76" s="21"/>
      <c r="W76" s="21"/>
      <c r="X76" s="20"/>
      <c r="AU76" s="21"/>
      <c r="AV76" s="21"/>
      <c r="AW76" s="22"/>
    </row>
    <row r="77" spans="2:49" ht="39" hidden="1" customHeight="1" x14ac:dyDescent="0.25">
      <c r="B77" s="23" t="str">
        <f t="shared" si="0"/>
        <v/>
      </c>
      <c r="C77" s="440" t="str">
        <f>'סיכום לועדה- הזנת נתונים'!C77</f>
        <v/>
      </c>
      <c r="D77" s="440">
        <f>'סיכום לועדה- הזנת נתונים'!D77</f>
        <v>0</v>
      </c>
      <c r="E77" s="440">
        <f>'סיכום לועדה- הזנת נתונים'!E77</f>
        <v>0</v>
      </c>
      <c r="F77" s="440">
        <f>'סיכום לועדה- הזנת נתונים'!F77</f>
        <v>0</v>
      </c>
      <c r="G77" s="441" t="str">
        <f>'סיכום לועדה- הזנת נתונים'!G77</f>
        <v/>
      </c>
      <c r="H77" s="441" t="str">
        <f>'סיכום לועדה- הזנת נתונים'!H77</f>
        <v/>
      </c>
      <c r="I77" s="476" t="str">
        <f>'סיכום לועדה- הזנת נתונים'!I77</f>
        <v/>
      </c>
      <c r="J77" s="476" t="str">
        <f>'סיכום לועדה- הזנת נתונים'!J77</f>
        <v/>
      </c>
      <c r="K77" s="476" t="str">
        <f>'סיכום לועדה- הזנת נתונים'!K77</f>
        <v/>
      </c>
      <c r="L77" s="442" t="str">
        <f>'סיכום לועדה- הזנת נתונים'!L77</f>
        <v/>
      </c>
      <c r="M77" s="443" t="str">
        <f>'סיכום לועדה- הזנת נתונים'!M77</f>
        <v/>
      </c>
      <c r="N77" s="444" t="str">
        <f>'סיכום לועדה- הזנת נתונים'!N77</f>
        <v/>
      </c>
      <c r="O77" s="444">
        <f>'סיכום לועדה- הזנת נתונים'!O77</f>
        <v>0</v>
      </c>
      <c r="P77" s="444" t="str">
        <f>'סיכום לועדה- הזנת נתונים'!P77</f>
        <v/>
      </c>
      <c r="Q77" s="479" t="str">
        <f>'סיכום לועדה- הזנת נתונים'!Q77</f>
        <v/>
      </c>
      <c r="R77" s="441">
        <f>'סיכום לועדה- הזנת נתונים'!R77</f>
        <v>0</v>
      </c>
      <c r="S77" s="441">
        <f>'סיכום לועדה- הזנת נתונים'!S77</f>
        <v>0</v>
      </c>
      <c r="T77" s="18"/>
      <c r="U77" s="19"/>
      <c r="V77" s="21"/>
      <c r="W77" s="21"/>
      <c r="X77" s="20"/>
      <c r="AU77" s="21"/>
      <c r="AV77" s="21"/>
      <c r="AW77" s="22"/>
    </row>
    <row r="78" spans="2:49" ht="56.25" customHeight="1" x14ac:dyDescent="0.25">
      <c r="B78" s="23">
        <f t="shared" si="0"/>
        <v>48</v>
      </c>
      <c r="C78" s="440" t="str">
        <f>'סיכום לועדה- הזנת נתונים'!C78</f>
        <v>גיא מינטוס- טריו</v>
      </c>
      <c r="D78" s="440">
        <f>'סיכום לועדה- הזנת נתונים'!D78</f>
        <v>1001908685</v>
      </c>
      <c r="E78" s="440">
        <f>'סיכום לועדה- הזנת נתונים'!E78</f>
        <v>1001735323</v>
      </c>
      <c r="F78" s="440">
        <f>'סיכום לועדה- הזנת נתונים'!F78</f>
        <v>2020</v>
      </c>
      <c r="G78" s="441">
        <f>'סיכום לועדה- הזנת נתונים'!G78</f>
        <v>1</v>
      </c>
      <c r="H78" s="441" t="str">
        <f>'סיכום לועדה- הזנת נתונים'!H78</f>
        <v/>
      </c>
      <c r="I78" s="476">
        <f>'סיכום לועדה- הזנת נתונים'!I78</f>
        <v>2025</v>
      </c>
      <c r="J78" s="476">
        <f>'סיכום לועדה- הזנת נתונים'!J78</f>
        <v>40221541</v>
      </c>
      <c r="K78" s="476">
        <f>'סיכום לועדה- הזנת נתונים'!K78</f>
        <v>580327740</v>
      </c>
      <c r="L78" s="442" t="str">
        <f>'סיכום לועדה- הזנת נתונים'!L78</f>
        <v>המרכז למוסיקה ע"ש פיליציה בלומנטל (</v>
      </c>
      <c r="M78" s="443" t="str">
        <f>'סיכום לועדה- הזנת נתונים'!M78</f>
        <v>גיא מינטוס טריו</v>
      </c>
      <c r="N78" s="444">
        <f>'סיכום לועדה- הזנת נתונים'!N78</f>
        <v>85000</v>
      </c>
      <c r="O78" s="444">
        <f>'סיכום לועדה- הזנת נתונים'!O78</f>
        <v>70000</v>
      </c>
      <c r="P78" s="444">
        <f>'סיכום לועדה- הזנת נתונים'!P78</f>
        <v>84999.999999999956</v>
      </c>
      <c r="Q78" s="479">
        <f>'סיכום לועדה- הזנת נתונים'!Q78</f>
        <v>0.21428571428571375</v>
      </c>
      <c r="R78" s="441" t="str">
        <f>'סיכום לועדה- הזנת נתונים'!R78</f>
        <v>בשנה שעברה הוגבלה התמיכה לסכום המבוקש</v>
      </c>
      <c r="S78" s="441" t="str">
        <f>'סיכום לועדה- הזנת נתונים'!S78</f>
        <v>עומד בתנאי סף האמנותי ובתנאי הסף הכמותיים כקבוצה מוסיקלית.</v>
      </c>
      <c r="T78" s="18"/>
      <c r="U78" s="19"/>
      <c r="V78" s="21"/>
      <c r="W78" s="21"/>
      <c r="X78" s="20"/>
      <c r="AU78" s="21"/>
      <c r="AV78" s="21"/>
      <c r="AW78" s="22"/>
    </row>
    <row r="79" spans="2:49" ht="39" hidden="1" customHeight="1" x14ac:dyDescent="0.25">
      <c r="B79" s="23" t="str">
        <f t="shared" si="0"/>
        <v/>
      </c>
      <c r="C79" s="440" t="str">
        <f>'סיכום לועדה- הזנת נתונים'!C79</f>
        <v/>
      </c>
      <c r="D79" s="440">
        <f>'סיכום לועדה- הזנת נתונים'!D79</f>
        <v>0</v>
      </c>
      <c r="E79" s="440">
        <f>'סיכום לועדה- הזנת נתונים'!E79</f>
        <v>0</v>
      </c>
      <c r="F79" s="440">
        <f>'סיכום לועדה- הזנת נתונים'!F79</f>
        <v>0</v>
      </c>
      <c r="G79" s="441" t="str">
        <f>'סיכום לועדה- הזנת נתונים'!G79</f>
        <v/>
      </c>
      <c r="H79" s="441" t="str">
        <f>'סיכום לועדה- הזנת נתונים'!H79</f>
        <v/>
      </c>
      <c r="I79" s="476" t="str">
        <f>'סיכום לועדה- הזנת נתונים'!I79</f>
        <v/>
      </c>
      <c r="J79" s="476" t="str">
        <f>'סיכום לועדה- הזנת נתונים'!J79</f>
        <v/>
      </c>
      <c r="K79" s="476" t="str">
        <f>'סיכום לועדה- הזנת נתונים'!K79</f>
        <v/>
      </c>
      <c r="L79" s="442" t="str">
        <f>'סיכום לועדה- הזנת נתונים'!L79</f>
        <v/>
      </c>
      <c r="M79" s="443" t="str">
        <f>'סיכום לועדה- הזנת נתונים'!M79</f>
        <v/>
      </c>
      <c r="N79" s="444" t="str">
        <f>'סיכום לועדה- הזנת נתונים'!N79</f>
        <v/>
      </c>
      <c r="O79" s="444">
        <f>'סיכום לועדה- הזנת נתונים'!O79</f>
        <v>0</v>
      </c>
      <c r="P79" s="444" t="str">
        <f>'סיכום לועדה- הזנת נתונים'!P79</f>
        <v/>
      </c>
      <c r="Q79" s="479" t="str">
        <f>'סיכום לועדה- הזנת נתונים'!Q79</f>
        <v/>
      </c>
      <c r="R79" s="441">
        <f>'סיכום לועדה- הזנת נתונים'!R79</f>
        <v>0</v>
      </c>
      <c r="S79" s="441">
        <f>'סיכום לועדה- הזנת נתונים'!S79</f>
        <v>0</v>
      </c>
      <c r="T79" s="18"/>
      <c r="U79" s="19"/>
      <c r="V79" s="21"/>
      <c r="W79" s="21"/>
      <c r="X79" s="20"/>
      <c r="AU79" s="21"/>
      <c r="AV79" s="21"/>
      <c r="AW79" s="22"/>
    </row>
    <row r="80" spans="2:49" ht="39" hidden="1" customHeight="1" x14ac:dyDescent="0.25">
      <c r="B80" s="23" t="str">
        <f t="shared" si="0"/>
        <v/>
      </c>
      <c r="C80" s="440" t="str">
        <f>'סיכום לועדה- הזנת נתונים'!C80</f>
        <v/>
      </c>
      <c r="D80" s="440">
        <f>'סיכום לועדה- הזנת נתונים'!D80</f>
        <v>0</v>
      </c>
      <c r="E80" s="440">
        <f>'סיכום לועדה- הזנת נתונים'!E80</f>
        <v>0</v>
      </c>
      <c r="F80" s="440">
        <f>'סיכום לועדה- הזנת נתונים'!F80</f>
        <v>0</v>
      </c>
      <c r="G80" s="441" t="str">
        <f>'סיכום לועדה- הזנת נתונים'!G80</f>
        <v/>
      </c>
      <c r="H80" s="441" t="str">
        <f>'סיכום לועדה- הזנת נתונים'!H80</f>
        <v/>
      </c>
      <c r="I80" s="476" t="str">
        <f>'סיכום לועדה- הזנת נתונים'!I80</f>
        <v/>
      </c>
      <c r="J80" s="476" t="str">
        <f>'סיכום לועדה- הזנת נתונים'!J80</f>
        <v/>
      </c>
      <c r="K80" s="476" t="str">
        <f>'סיכום לועדה- הזנת נתונים'!K80</f>
        <v/>
      </c>
      <c r="L80" s="442" t="str">
        <f>'סיכום לועדה- הזנת נתונים'!L80</f>
        <v/>
      </c>
      <c r="M80" s="443" t="str">
        <f>'סיכום לועדה- הזנת נתונים'!M80</f>
        <v/>
      </c>
      <c r="N80" s="444" t="str">
        <f>'סיכום לועדה- הזנת נתונים'!N80</f>
        <v/>
      </c>
      <c r="O80" s="444">
        <f>'סיכום לועדה- הזנת נתונים'!O80</f>
        <v>0</v>
      </c>
      <c r="P80" s="444" t="str">
        <f>'סיכום לועדה- הזנת נתונים'!P80</f>
        <v/>
      </c>
      <c r="Q80" s="479" t="str">
        <f>'סיכום לועדה- הזנת נתונים'!Q80</f>
        <v/>
      </c>
      <c r="R80" s="441">
        <f>'סיכום לועדה- הזנת נתונים'!R80</f>
        <v>0</v>
      </c>
      <c r="S80" s="441">
        <f>'סיכום לועדה- הזנת נתונים'!S80</f>
        <v>0</v>
      </c>
      <c r="T80" s="18"/>
      <c r="U80" s="19"/>
      <c r="V80" s="21"/>
      <c r="W80" s="21"/>
      <c r="X80" s="20"/>
      <c r="AU80" s="21"/>
      <c r="AV80" s="21"/>
      <c r="AW80" s="22"/>
    </row>
    <row r="81" spans="2:49" ht="39" hidden="1" customHeight="1" x14ac:dyDescent="0.25">
      <c r="B81" s="23" t="str">
        <f t="shared" si="0"/>
        <v/>
      </c>
      <c r="C81" s="440" t="str">
        <f>'סיכום לועדה- הזנת נתונים'!C81</f>
        <v/>
      </c>
      <c r="D81" s="440">
        <f>'סיכום לועדה- הזנת נתונים'!D81</f>
        <v>0</v>
      </c>
      <c r="E81" s="440">
        <f>'סיכום לועדה- הזנת נתונים'!E81</f>
        <v>0</v>
      </c>
      <c r="F81" s="440">
        <f>'סיכום לועדה- הזנת נתונים'!F81</f>
        <v>0</v>
      </c>
      <c r="G81" s="441" t="str">
        <f>'סיכום לועדה- הזנת נתונים'!G81</f>
        <v/>
      </c>
      <c r="H81" s="441" t="str">
        <f>'סיכום לועדה- הזנת נתונים'!H81</f>
        <v/>
      </c>
      <c r="I81" s="476" t="str">
        <f>'סיכום לועדה- הזנת נתונים'!I81</f>
        <v/>
      </c>
      <c r="J81" s="476" t="str">
        <f>'סיכום לועדה- הזנת נתונים'!J81</f>
        <v/>
      </c>
      <c r="K81" s="476" t="str">
        <f>'סיכום לועדה- הזנת נתונים'!K81</f>
        <v/>
      </c>
      <c r="L81" s="442" t="str">
        <f>'סיכום לועדה- הזנת נתונים'!L81</f>
        <v/>
      </c>
      <c r="M81" s="443" t="str">
        <f>'סיכום לועדה- הזנת נתונים'!M81</f>
        <v/>
      </c>
      <c r="N81" s="444" t="str">
        <f>'סיכום לועדה- הזנת נתונים'!N81</f>
        <v/>
      </c>
      <c r="O81" s="444">
        <f>'סיכום לועדה- הזנת נתונים'!O81</f>
        <v>0</v>
      </c>
      <c r="P81" s="444" t="str">
        <f>'סיכום לועדה- הזנת נתונים'!P81</f>
        <v/>
      </c>
      <c r="Q81" s="479" t="str">
        <f>'סיכום לועדה- הזנת נתונים'!Q81</f>
        <v/>
      </c>
      <c r="R81" s="441">
        <f>'סיכום לועדה- הזנת נתונים'!R81</f>
        <v>0</v>
      </c>
      <c r="S81" s="441">
        <f>'סיכום לועדה- הזנת נתונים'!S81</f>
        <v>0</v>
      </c>
      <c r="T81" s="18"/>
      <c r="U81" s="19"/>
      <c r="V81" s="21"/>
      <c r="W81" s="21"/>
      <c r="X81" s="20"/>
      <c r="AU81" s="21"/>
      <c r="AV81" s="21"/>
      <c r="AW81" s="22"/>
    </row>
    <row r="82" spans="2:49" ht="39" customHeight="1" x14ac:dyDescent="0.25">
      <c r="B82" s="23">
        <f t="shared" si="0"/>
        <v>52</v>
      </c>
      <c r="C82" s="440" t="str">
        <f>'סיכום לועדה- הזנת נתונים'!C82</f>
        <v xml:space="preserve">פולקעס - בר-קיימא לתרבות </v>
      </c>
      <c r="D82" s="440">
        <f>'סיכום לועדה- הזנת נתונים'!D82</f>
        <v>1001906947</v>
      </c>
      <c r="E82" s="440">
        <f>'סיכום לועדה- הזנת נתונים'!E82</f>
        <v>1001734691</v>
      </c>
      <c r="F82" s="440">
        <f>'סיכום לועדה- הזנת נתונים'!F82</f>
        <v>2020</v>
      </c>
      <c r="G82" s="441">
        <f>'סיכום לועדה- הזנת נתונים'!G82</f>
        <v>1</v>
      </c>
      <c r="H82" s="441" t="str">
        <f>'סיכום לועדה- הזנת נתונים'!H82</f>
        <v/>
      </c>
      <c r="I82" s="476">
        <f>'סיכום לועדה- הזנת נתונים'!I82</f>
        <v>2025</v>
      </c>
      <c r="J82" s="476">
        <f>'סיכום לועדה- הזנת נתונים'!J82</f>
        <v>41099000</v>
      </c>
      <c r="K82" s="476">
        <f>'סיכום לועדה- הזנת נתונים'!K82</f>
        <v>580450898</v>
      </c>
      <c r="L82" s="442" t="str">
        <f>'סיכום לועדה- הזנת נתונים'!L82</f>
        <v>בר-קיימא לתרבות, אמנות, מוסיקה ושלו</v>
      </c>
      <c r="M82" s="443" t="str">
        <f>'סיכום לועדה- הזנת נתונים'!M82</f>
        <v>פולקעס - 2025</v>
      </c>
      <c r="N82" s="444">
        <f>'סיכום לועדה- הזנת נתונים'!N82</f>
        <v>250000</v>
      </c>
      <c r="O82" s="444">
        <f>'סיכום לועדה- הזנת נתונים'!O82</f>
        <v>130173</v>
      </c>
      <c r="P82" s="444">
        <f>'סיכום לועדה- הזנת נתונים'!P82</f>
        <v>138814.93741556923</v>
      </c>
      <c r="Q82" s="479">
        <f>'סיכום לועדה- הזנת נתונים'!Q82</f>
        <v>6.6388094424874922E-2</v>
      </c>
      <c r="R82" s="441">
        <f>'סיכום לועדה- הזנת נתונים'!R82</f>
        <v>0</v>
      </c>
      <c r="S82" s="441" t="str">
        <f>'סיכום לועדה- הזנת נתונים'!S82</f>
        <v>עומד בתנאי סף האמנותי ובתנאי הסף הכמותיים כקבוצה מוסיקלית.</v>
      </c>
      <c r="T82" s="18"/>
      <c r="U82" s="19"/>
      <c r="V82" s="21"/>
      <c r="W82" s="21"/>
      <c r="X82" s="20"/>
      <c r="AU82" s="21"/>
      <c r="AV82" s="21"/>
      <c r="AW82" s="22"/>
    </row>
    <row r="83" spans="2:49" ht="39" hidden="1" customHeight="1" x14ac:dyDescent="0.25">
      <c r="B83" s="23" t="str">
        <f t="shared" si="0"/>
        <v/>
      </c>
      <c r="C83" s="440" t="str">
        <f>'סיכום לועדה- הזנת נתונים'!C83</f>
        <v/>
      </c>
      <c r="D83" s="440">
        <f>'סיכום לועדה- הזנת נתונים'!D83</f>
        <v>0</v>
      </c>
      <c r="E83" s="440">
        <f>'סיכום לועדה- הזנת נתונים'!E83</f>
        <v>0</v>
      </c>
      <c r="F83" s="440">
        <f>'סיכום לועדה- הזנת נתונים'!F83</f>
        <v>0</v>
      </c>
      <c r="G83" s="441" t="str">
        <f>'סיכום לועדה- הזנת נתונים'!G83</f>
        <v/>
      </c>
      <c r="H83" s="441" t="str">
        <f>'סיכום לועדה- הזנת נתונים'!H83</f>
        <v/>
      </c>
      <c r="I83" s="476" t="str">
        <f>'סיכום לועדה- הזנת נתונים'!I83</f>
        <v/>
      </c>
      <c r="J83" s="476" t="str">
        <f>'סיכום לועדה- הזנת נתונים'!J83</f>
        <v/>
      </c>
      <c r="K83" s="476" t="str">
        <f>'סיכום לועדה- הזנת נתונים'!K83</f>
        <v/>
      </c>
      <c r="L83" s="442" t="str">
        <f>'סיכום לועדה- הזנת נתונים'!L83</f>
        <v/>
      </c>
      <c r="M83" s="443" t="str">
        <f>'סיכום לועדה- הזנת נתונים'!M83</f>
        <v/>
      </c>
      <c r="N83" s="444" t="str">
        <f>'סיכום לועדה- הזנת נתונים'!N83</f>
        <v/>
      </c>
      <c r="O83" s="444">
        <f>'סיכום לועדה- הזנת נתונים'!O83</f>
        <v>0</v>
      </c>
      <c r="P83" s="444" t="str">
        <f>'סיכום לועדה- הזנת נתונים'!P83</f>
        <v/>
      </c>
      <c r="Q83" s="479" t="str">
        <f>'סיכום לועדה- הזנת נתונים'!Q83</f>
        <v/>
      </c>
      <c r="R83" s="441">
        <f>'סיכום לועדה- הזנת נתונים'!R83</f>
        <v>0</v>
      </c>
      <c r="S83" s="441">
        <f>'סיכום לועדה- הזנת נתונים'!S83</f>
        <v>0</v>
      </c>
      <c r="T83" s="18"/>
      <c r="U83" s="19"/>
      <c r="V83" s="21"/>
      <c r="W83" s="21"/>
      <c r="X83" s="20"/>
      <c r="AU83" s="21"/>
      <c r="AV83" s="21"/>
      <c r="AW83" s="22"/>
    </row>
    <row r="84" spans="2:49" ht="39" hidden="1" customHeight="1" x14ac:dyDescent="0.25">
      <c r="B84" s="23" t="str">
        <f t="shared" si="0"/>
        <v/>
      </c>
      <c r="C84" s="440" t="str">
        <f>'סיכום לועדה- הזנת נתונים'!C84</f>
        <v/>
      </c>
      <c r="D84" s="440">
        <f>'סיכום לועדה- הזנת נתונים'!D84</f>
        <v>0</v>
      </c>
      <c r="E84" s="440">
        <f>'סיכום לועדה- הזנת נתונים'!E84</f>
        <v>0</v>
      </c>
      <c r="F84" s="440">
        <f>'סיכום לועדה- הזנת נתונים'!F84</f>
        <v>0</v>
      </c>
      <c r="G84" s="441" t="str">
        <f>'סיכום לועדה- הזנת נתונים'!G84</f>
        <v/>
      </c>
      <c r="H84" s="441" t="str">
        <f>'סיכום לועדה- הזנת נתונים'!H84</f>
        <v/>
      </c>
      <c r="I84" s="476" t="str">
        <f>'סיכום לועדה- הזנת נתונים'!I84</f>
        <v/>
      </c>
      <c r="J84" s="476" t="str">
        <f>'סיכום לועדה- הזנת נתונים'!J84</f>
        <v/>
      </c>
      <c r="K84" s="476" t="str">
        <f>'סיכום לועדה- הזנת נתונים'!K84</f>
        <v/>
      </c>
      <c r="L84" s="442" t="str">
        <f>'סיכום לועדה- הזנת נתונים'!L84</f>
        <v/>
      </c>
      <c r="M84" s="443" t="str">
        <f>'סיכום לועדה- הזנת נתונים'!M84</f>
        <v/>
      </c>
      <c r="N84" s="444" t="str">
        <f>'סיכום לועדה- הזנת נתונים'!N84</f>
        <v/>
      </c>
      <c r="O84" s="444">
        <f>'סיכום לועדה- הזנת נתונים'!O84</f>
        <v>0</v>
      </c>
      <c r="P84" s="444" t="str">
        <f>'סיכום לועדה- הזנת נתונים'!P84</f>
        <v/>
      </c>
      <c r="Q84" s="479" t="str">
        <f>'סיכום לועדה- הזנת נתונים'!Q84</f>
        <v/>
      </c>
      <c r="R84" s="441">
        <f>'סיכום לועדה- הזנת נתונים'!R84</f>
        <v>0</v>
      </c>
      <c r="S84" s="441">
        <f>'סיכום לועדה- הזנת נתונים'!S84</f>
        <v>0</v>
      </c>
      <c r="T84" s="18"/>
      <c r="U84" s="19"/>
      <c r="V84" s="21"/>
      <c r="W84" s="21"/>
      <c r="X84" s="20"/>
      <c r="AU84" s="21"/>
      <c r="AV84" s="21"/>
      <c r="AW84" s="22"/>
    </row>
    <row r="85" spans="2:49" ht="39" customHeight="1" x14ac:dyDescent="0.25">
      <c r="B85" s="23">
        <f t="shared" si="0"/>
        <v>55</v>
      </c>
      <c r="C85" s="440" t="str">
        <f>'סיכום לועדה- הזנת נתונים'!C85</f>
        <v>מכון רננות</v>
      </c>
      <c r="D85" s="440">
        <f>'סיכום לועדה- הזנת נתונים'!D85</f>
        <v>1001912839</v>
      </c>
      <c r="E85" s="440">
        <f>'סיכום לועדה- הזנת נתונים'!E85</f>
        <v>1001779236</v>
      </c>
      <c r="F85" s="440">
        <f>'סיכום לועדה- הזנת נתונים'!F85</f>
        <v>2020</v>
      </c>
      <c r="G85" s="441">
        <f>'סיכום לועדה- הזנת נתונים'!G85</f>
        <v>1</v>
      </c>
      <c r="H85" s="441" t="str">
        <f>'סיכום לועדה- הזנת נתונים'!H85</f>
        <v/>
      </c>
      <c r="I85" s="476">
        <f>'סיכום לועדה- הזנת נתונים'!I85</f>
        <v>2025</v>
      </c>
      <c r="J85" s="476">
        <f>'סיכום לועדה- הזנת נתונים'!J85</f>
        <v>40000076</v>
      </c>
      <c r="K85" s="476">
        <f>'סיכום לועדה- הזנת נתונים'!K85</f>
        <v>580023968</v>
      </c>
      <c r="L85" s="442" t="str">
        <f>'סיכום לועדה- הזנת נתונים'!L85</f>
        <v>רננות - המכון למוסיקה יהודית</v>
      </c>
      <c r="M85" s="443" t="str">
        <f>'סיכום לועדה- הזנת נתונים'!M85</f>
        <v>תמיכה בתזמורת הלאדינו הישראלית</v>
      </c>
      <c r="N85" s="444">
        <f>'סיכום לועדה- הזנת נתונים'!N85</f>
        <v>60000</v>
      </c>
      <c r="O85" s="444">
        <f>'סיכום לועדה- הזנת נתונים'!O85</f>
        <v>45810</v>
      </c>
      <c r="P85" s="444">
        <f>'סיכום לועדה- הזנת נתונים'!P85</f>
        <v>59999.999999999978</v>
      </c>
      <c r="Q85" s="479">
        <f>'סיכום לועדה- הזנת נתונים'!Q85</f>
        <v>0.30975769482645665</v>
      </c>
      <c r="R85" s="441" t="str">
        <f>'סיכום לועדה- הזנת נתונים'!R85</f>
        <v>עליה בנתונים</v>
      </c>
      <c r="S85" s="441" t="str">
        <f>'סיכום לועדה- הזנת נתונים'!S85</f>
        <v>עומד בתנאי סף האמנותי ובתנאי הסף הכמותיים כקבוצה מוסיקלית.</v>
      </c>
      <c r="T85" s="18"/>
      <c r="U85" s="19"/>
      <c r="V85" s="21"/>
      <c r="W85" s="21"/>
      <c r="X85" s="20"/>
      <c r="AU85" s="21"/>
      <c r="AV85" s="21"/>
      <c r="AW85" s="22"/>
    </row>
    <row r="86" spans="2:49" ht="39" hidden="1" customHeight="1" x14ac:dyDescent="0.25">
      <c r="B86" s="23" t="str">
        <f t="shared" si="0"/>
        <v/>
      </c>
      <c r="C86" s="440" t="str">
        <f>'סיכום לועדה- הזנת נתונים'!C86</f>
        <v/>
      </c>
      <c r="D86" s="440">
        <f>'סיכום לועדה- הזנת נתונים'!D86</f>
        <v>0</v>
      </c>
      <c r="E86" s="440">
        <f>'סיכום לועדה- הזנת נתונים'!E86</f>
        <v>0</v>
      </c>
      <c r="F86" s="440">
        <f>'סיכום לועדה- הזנת נתונים'!F86</f>
        <v>0</v>
      </c>
      <c r="G86" s="441" t="str">
        <f>'סיכום לועדה- הזנת נתונים'!G86</f>
        <v/>
      </c>
      <c r="H86" s="441" t="str">
        <f>'סיכום לועדה- הזנת נתונים'!H86</f>
        <v/>
      </c>
      <c r="I86" s="476" t="str">
        <f>'סיכום לועדה- הזנת נתונים'!I86</f>
        <v/>
      </c>
      <c r="J86" s="476" t="str">
        <f>'סיכום לועדה- הזנת נתונים'!J86</f>
        <v/>
      </c>
      <c r="K86" s="476" t="str">
        <f>'סיכום לועדה- הזנת נתונים'!K86</f>
        <v/>
      </c>
      <c r="L86" s="442" t="str">
        <f>'סיכום לועדה- הזנת נתונים'!L86</f>
        <v/>
      </c>
      <c r="M86" s="443" t="str">
        <f>'סיכום לועדה- הזנת נתונים'!M86</f>
        <v/>
      </c>
      <c r="N86" s="444" t="str">
        <f>'סיכום לועדה- הזנת נתונים'!N86</f>
        <v/>
      </c>
      <c r="O86" s="444">
        <f>'סיכום לועדה- הזנת נתונים'!O86</f>
        <v>0</v>
      </c>
      <c r="P86" s="444" t="str">
        <f>'סיכום לועדה- הזנת נתונים'!P86</f>
        <v/>
      </c>
      <c r="Q86" s="479" t="str">
        <f>'סיכום לועדה- הזנת נתונים'!Q86</f>
        <v/>
      </c>
      <c r="R86" s="441">
        <f>'סיכום לועדה- הזנת נתונים'!R86</f>
        <v>0</v>
      </c>
      <c r="S86" s="441">
        <f>'סיכום לועדה- הזנת נתונים'!S86</f>
        <v>0</v>
      </c>
      <c r="T86" s="18"/>
      <c r="U86" s="19"/>
      <c r="V86" s="21"/>
      <c r="W86" s="21"/>
      <c r="X86" s="20"/>
      <c r="AU86" s="21"/>
      <c r="AV86" s="21"/>
      <c r="AW86" s="22"/>
    </row>
    <row r="87" spans="2:49" ht="39" customHeight="1" x14ac:dyDescent="0.25">
      <c r="B87" s="23">
        <f t="shared" si="0"/>
        <v>57</v>
      </c>
      <c r="C87" s="440" t="str">
        <f>'סיכום לועדה- הזנת נתונים'!C87</f>
        <v>עמותת מפעל המוזיקה צימבליסטה</v>
      </c>
      <c r="D87" s="440">
        <f>'סיכום לועדה- הזנת נתונים'!D87</f>
        <v>1001910307</v>
      </c>
      <c r="E87" s="440">
        <f>'סיכום לועדה- הזנת נתונים'!E87</f>
        <v>1001779086</v>
      </c>
      <c r="F87" s="440">
        <f>'סיכום לועדה- הזנת נתונים'!F87</f>
        <v>2020</v>
      </c>
      <c r="G87" s="441">
        <f>'סיכום לועדה- הזנת נתונים'!G87</f>
        <v>1</v>
      </c>
      <c r="H87" s="441" t="str">
        <f>'סיכום לועדה- הזנת נתונים'!H87</f>
        <v/>
      </c>
      <c r="I87" s="476">
        <f>'סיכום לועדה- הזנת נתונים'!I87</f>
        <v>2025</v>
      </c>
      <c r="J87" s="476">
        <f>'סיכום לועדה- הזנת נתונים'!J87</f>
        <v>41964624</v>
      </c>
      <c r="K87" s="476">
        <f>'סיכום לועדה- הזנת נתונים'!K87</f>
        <v>580637940</v>
      </c>
      <c r="L87" s="442" t="str">
        <f>'סיכום לועדה- הזנת נתונים'!L87</f>
        <v>מפעל המוסיקה של צימבליסטה (ע''ר)</v>
      </c>
      <c r="M87" s="443" t="str">
        <f>'סיכום לועדה- הזנת נתונים'!M87</f>
        <v>צימבליסטה - קבוצת מוסיקה 2025</v>
      </c>
      <c r="N87" s="444">
        <f>'סיכום לועדה- הזנת נתונים'!N87</f>
        <v>500000</v>
      </c>
      <c r="O87" s="444">
        <f>'סיכום לועדה- הזנת נתונים'!O87</f>
        <v>76074</v>
      </c>
      <c r="P87" s="444">
        <f>'סיכום לועדה- הזנת נתונים'!P87</f>
        <v>85948.962656008371</v>
      </c>
      <c r="Q87" s="479">
        <f>'סיכום לועדה- הזנת נתונים'!Q87</f>
        <v>0.12980732781250315</v>
      </c>
      <c r="R87" s="441">
        <f>'סיכום לועדה- הזנת נתונים'!R87</f>
        <v>0</v>
      </c>
      <c r="S87" s="441" t="str">
        <f>'סיכום לועדה- הזנת נתונים'!S87</f>
        <v>..  עומד בתנאי סף האמנותי ובתנאי הסף הכמותיים כקבוצה מוסיקלי</v>
      </c>
      <c r="T87" s="18"/>
      <c r="U87" s="19"/>
      <c r="V87" s="21"/>
      <c r="W87" s="21"/>
      <c r="X87" s="20"/>
      <c r="AU87" s="21"/>
      <c r="AV87" s="21"/>
      <c r="AW87" s="22"/>
    </row>
    <row r="88" spans="2:49" ht="39" hidden="1" customHeight="1" x14ac:dyDescent="0.25">
      <c r="B88" s="23" t="str">
        <f t="shared" si="0"/>
        <v/>
      </c>
      <c r="C88" s="440" t="str">
        <f>'סיכום לועדה- הזנת נתונים'!C88</f>
        <v/>
      </c>
      <c r="D88" s="440">
        <f>'סיכום לועדה- הזנת נתונים'!D88</f>
        <v>0</v>
      </c>
      <c r="E88" s="440">
        <f>'סיכום לועדה- הזנת נתונים'!E88</f>
        <v>0</v>
      </c>
      <c r="F88" s="440">
        <f>'סיכום לועדה- הזנת נתונים'!F88</f>
        <v>0</v>
      </c>
      <c r="G88" s="441" t="str">
        <f>'סיכום לועדה- הזנת נתונים'!G88</f>
        <v/>
      </c>
      <c r="H88" s="441" t="str">
        <f>'סיכום לועדה- הזנת נתונים'!H88</f>
        <v/>
      </c>
      <c r="I88" s="476" t="str">
        <f>'סיכום לועדה- הזנת נתונים'!I88</f>
        <v/>
      </c>
      <c r="J88" s="476" t="str">
        <f>'סיכום לועדה- הזנת נתונים'!J88</f>
        <v/>
      </c>
      <c r="K88" s="476" t="str">
        <f>'סיכום לועדה- הזנת נתונים'!K88</f>
        <v/>
      </c>
      <c r="L88" s="442" t="str">
        <f>'סיכום לועדה- הזנת נתונים'!L88</f>
        <v/>
      </c>
      <c r="M88" s="443" t="str">
        <f>'סיכום לועדה- הזנת נתונים'!M88</f>
        <v/>
      </c>
      <c r="N88" s="444" t="str">
        <f>'סיכום לועדה- הזנת נתונים'!N88</f>
        <v/>
      </c>
      <c r="O88" s="444">
        <f>'סיכום לועדה- הזנת נתונים'!O88</f>
        <v>0</v>
      </c>
      <c r="P88" s="444" t="str">
        <f>'סיכום לועדה- הזנת נתונים'!P88</f>
        <v/>
      </c>
      <c r="Q88" s="479" t="str">
        <f>'סיכום לועדה- הזנת נתונים'!Q88</f>
        <v/>
      </c>
      <c r="R88" s="441">
        <f>'סיכום לועדה- הזנת נתונים'!R88</f>
        <v>0</v>
      </c>
      <c r="S88" s="441">
        <f>'סיכום לועדה- הזנת נתונים'!S88</f>
        <v>0</v>
      </c>
      <c r="T88" s="18"/>
      <c r="U88" s="19"/>
      <c r="V88" s="21"/>
      <c r="W88" s="21"/>
      <c r="X88" s="20"/>
      <c r="AU88" s="21"/>
      <c r="AV88" s="21"/>
      <c r="AW88" s="22"/>
    </row>
    <row r="89" spans="2:49" ht="52.5" customHeight="1" x14ac:dyDescent="0.25">
      <c r="B89" s="23">
        <f t="shared" si="0"/>
        <v>59</v>
      </c>
      <c r="C89" s="440" t="str">
        <f>'סיכום לועדה- הזנת נתונים'!C89</f>
        <v>העמותה לקידום המוסיקה הערבית</v>
      </c>
      <c r="D89" s="440">
        <f>'סיכום לועדה- הזנת נתונים'!D89</f>
        <v>1001907394</v>
      </c>
      <c r="E89" s="440">
        <f>'סיכום לועדה- הזנת נתונים'!E89</f>
        <v>1001720689</v>
      </c>
      <c r="F89" s="440">
        <f>'סיכום לועדה- הזנת נתונים'!F89</f>
        <v>2022</v>
      </c>
      <c r="G89" s="441">
        <f>'סיכום לועדה- הזנת נתונים'!G89</f>
        <v>0</v>
      </c>
      <c r="H89" s="441" t="str">
        <f>'סיכום לועדה- הזנת נתונים'!H89</f>
        <v/>
      </c>
      <c r="I89" s="476">
        <f>'סיכום לועדה- הזנת נתונים'!I89</f>
        <v>2025</v>
      </c>
      <c r="J89" s="476">
        <f>'סיכום לועדה- הזנת נתונים'!J89</f>
        <v>40002884</v>
      </c>
      <c r="K89" s="476">
        <f>'סיכום לועדה- הזנת נתונים'!K89</f>
        <v>580269561</v>
      </c>
      <c r="L89" s="442" t="str">
        <f>'סיכום לועדה- הזנת נתונים'!L89</f>
        <v>עמותה לקידום וטיפוח המוסיקה הערבית</v>
      </c>
      <c r="M89" s="443" t="str">
        <f>'סיכום לועדה- הזנת נתונים'!M89</f>
        <v>קבוצות ואנסמבלים</v>
      </c>
      <c r="N89" s="444">
        <f>'סיכום לועדה- הזנת נתונים'!N89</f>
        <v>600000</v>
      </c>
      <c r="O89" s="444">
        <f>'סיכום לועדה- הזנת נתונים'!O89</f>
        <v>309687</v>
      </c>
      <c r="P89" s="444">
        <f>'סיכום לועדה- הזנת נתונים'!P89</f>
        <v>223702.4270773383</v>
      </c>
      <c r="Q89" s="479">
        <f>'סיכום לועדה- הזנת נתונים'!Q89</f>
        <v>-0.27764992693481383</v>
      </c>
      <c r="R89" s="441" t="str">
        <f>'סיכום לועדה- הזנת נתונים'!R89</f>
        <v>ירידה משמעותית בנתונים</v>
      </c>
      <c r="S89" s="441" t="str">
        <f>'סיכום לועדה- הזנת נתונים'!S89</f>
        <v>עומד בתנאי סף האמנותי ובתנאי הסף הכמותיים כקבוצה מוסיקלית</v>
      </c>
      <c r="T89" s="18"/>
      <c r="U89" s="19"/>
      <c r="V89" s="21"/>
      <c r="W89" s="21"/>
      <c r="X89" s="20"/>
      <c r="AU89" s="21"/>
      <c r="AV89" s="21"/>
      <c r="AW89" s="22"/>
    </row>
    <row r="90" spans="2:49" ht="53.25" customHeight="1" x14ac:dyDescent="0.25">
      <c r="B90" s="23">
        <f t="shared" si="0"/>
        <v>60</v>
      </c>
      <c r="C90" s="440" t="str">
        <f>'סיכום לועדה- הזנת נתונים'!C90</f>
        <v>תמיכה בתזמורת TLV (הערבית יהודית)</v>
      </c>
      <c r="D90" s="440">
        <f>'סיכום לועדה- הזנת נתונים'!D90</f>
        <v>1001907879</v>
      </c>
      <c r="E90" s="440">
        <f>'סיכום לועדה- הזנת נתונים'!E90</f>
        <v>1001775685</v>
      </c>
      <c r="F90" s="440">
        <f>'סיכום לועדה- הזנת נתונים'!F90</f>
        <v>2023</v>
      </c>
      <c r="G90" s="441">
        <f>'סיכום לועדה- הזנת נתונים'!G90</f>
        <v>0</v>
      </c>
      <c r="H90" s="441" t="str">
        <f>'סיכום לועדה- הזנת נתונים'!H90</f>
        <v/>
      </c>
      <c r="I90" s="476">
        <f>'סיכום לועדה- הזנת נתונים'!I90</f>
        <v>2025</v>
      </c>
      <c r="J90" s="476">
        <f>'סיכום לועדה- הזנת נתונים'!J90</f>
        <v>40000415</v>
      </c>
      <c r="K90" s="476">
        <f>'סיכום לועדה- הזנת נתונים'!K90</f>
        <v>580064103</v>
      </c>
      <c r="L90" s="442" t="str">
        <f>'סיכום לועדה- הזנת נתונים'!L90</f>
        <v>נוער מוסיקלי בישראל</v>
      </c>
      <c r="M90" s="443" t="str">
        <f>'סיכום לועדה- הזנת נתונים'!M90</f>
        <v>תזמורת TLV</v>
      </c>
      <c r="N90" s="444">
        <f>'סיכום לועדה- הזנת נתונים'!N90</f>
        <v>150000</v>
      </c>
      <c r="O90" s="444">
        <f>'סיכום לועדה- הזנת נתונים'!O90</f>
        <v>147540</v>
      </c>
      <c r="P90" s="444">
        <f>'סיכום לועדה- הזנת נתונים'!P90</f>
        <v>95484.981260582776</v>
      </c>
      <c r="Q90" s="479">
        <f>'סיכום לועדה- הזנת נתונים'!Q90</f>
        <v>-0.35281970136517027</v>
      </c>
      <c r="R90" s="441" t="str">
        <f>'סיכום לועדה- הזנת נתונים'!R90</f>
        <v>ירידה משמעותית בנתונים</v>
      </c>
      <c r="S90" s="441" t="str">
        <f>'סיכום לועדה- הזנת נתונים'!S90</f>
        <v>עומד בתנאי סף האמנותי ובתנאי הסף הכמותיים כקבוצה מוסיקלית</v>
      </c>
      <c r="T90" s="18"/>
      <c r="U90" s="19"/>
      <c r="V90" s="21"/>
      <c r="W90" s="21"/>
      <c r="X90" s="20"/>
      <c r="AU90" s="21"/>
      <c r="AV90" s="21"/>
      <c r="AW90" s="22"/>
    </row>
    <row r="91" spans="2:49" ht="60.75" customHeight="1" x14ac:dyDescent="0.25">
      <c r="B91" s="23">
        <f t="shared" si="0"/>
        <v>61</v>
      </c>
      <c r="C91" s="440" t="str">
        <f>'סיכום לועדה- הזנת נתונים'!C91</f>
        <v>אנסמבל גליל</v>
      </c>
      <c r="D91" s="440">
        <f>'סיכום לועדה- הזנת נתונים'!D91</f>
        <v>1001911726</v>
      </c>
      <c r="E91" s="440">
        <f>'סיכום לועדה- הזנת נתונים'!E91</f>
        <v>1001779817</v>
      </c>
      <c r="F91" s="440">
        <f>'סיכום לועדה- הזנת נתונים'!F91</f>
        <v>2020</v>
      </c>
      <c r="G91" s="441">
        <f>'סיכום לועדה- הזנת נתונים'!G91</f>
        <v>1</v>
      </c>
      <c r="H91" s="441" t="str">
        <f>'סיכום לועדה- הזנת נתונים'!H91</f>
        <v/>
      </c>
      <c r="I91" s="476">
        <f>'סיכום לועדה- הזנת נתונים'!I91</f>
        <v>2025</v>
      </c>
      <c r="J91" s="476">
        <f>'סיכום לועדה- הזנת נתונים'!J91</f>
        <v>42759321</v>
      </c>
      <c r="K91" s="476">
        <f>'סיכום לועדה- הזנת נתונים'!K91</f>
        <v>580485340</v>
      </c>
      <c r="L91" s="442" t="str">
        <f>'סיכום לועדה- הזנת נתונים'!L91</f>
        <v>העמותה לקידום מצויינות תרבותית בישר</v>
      </c>
      <c r="M91" s="443" t="str">
        <f>'סיכום לועדה- הזנת נתונים'!M91</f>
        <v>אנסמבל גליל תמיכה 2025</v>
      </c>
      <c r="N91" s="444">
        <f>'סיכום לועדה- הזנת נתונים'!N91</f>
        <v>60000</v>
      </c>
      <c r="O91" s="444">
        <f>'סיכום לועדה- הזנת נתונים'!O91</f>
        <v>30000</v>
      </c>
      <c r="P91" s="444">
        <f>'סיכום לועדה- הזנת נתונים'!P91</f>
        <v>59999.999999999978</v>
      </c>
      <c r="Q91" s="479">
        <f>'סיכום לועדה- הזנת נתונים'!Q91</f>
        <v>0.99999999999999933</v>
      </c>
      <c r="R91" s="441" t="str">
        <f>'סיכום לועדה- הזנת נתונים'!R91</f>
        <v>בשנה שעברה הוגבלה התמיכה לסכום המבוקש</v>
      </c>
      <c r="S91" s="441" t="str">
        <f>'סיכום לועדה- הזנת נתונים'!S91</f>
        <v>עומד בתנאי סף האמנותי ובתנאי הסף הכמותיים כקבוצה מוסיקלית</v>
      </c>
      <c r="T91" s="18"/>
      <c r="U91" s="19"/>
      <c r="V91" s="21"/>
      <c r="W91" s="21"/>
      <c r="X91" s="20"/>
      <c r="AU91" s="21"/>
      <c r="AV91" s="21"/>
      <c r="AW91" s="22"/>
    </row>
    <row r="92" spans="2:49" ht="39" customHeight="1" x14ac:dyDescent="0.25">
      <c r="B92" s="23">
        <f t="shared" si="0"/>
        <v>62</v>
      </c>
      <c r="C92" s="440" t="str">
        <f>'סיכום לועדה- הזנת נתונים'!C92</f>
        <v>דריה- הרכב אינסטרומנטלי</v>
      </c>
      <c r="D92" s="440">
        <f>'סיכום לועדה- הזנת נתונים'!D92</f>
        <v>1001908697</v>
      </c>
      <c r="E92" s="440">
        <f>'סיכום לועדה- הזנת נתונים'!E92</f>
        <v>1001746404</v>
      </c>
      <c r="F92" s="440">
        <f>'סיכום לועדה- הזנת נתונים'!F92</f>
        <v>2020</v>
      </c>
      <c r="G92" s="441">
        <f>'סיכום לועדה- הזנת נתונים'!G92</f>
        <v>1</v>
      </c>
      <c r="H92" s="441" t="str">
        <f>'סיכום לועדה- הזנת נתונים'!H92</f>
        <v/>
      </c>
      <c r="I92" s="476">
        <f>'סיכום לועדה- הזנת נתונים'!I92</f>
        <v>2025</v>
      </c>
      <c r="J92" s="476">
        <f>'סיכום לועדה- הזנת נתונים'!J92</f>
        <v>40221541</v>
      </c>
      <c r="K92" s="476">
        <f>'סיכום לועדה- הזנת נתונים'!K92</f>
        <v>580327740</v>
      </c>
      <c r="L92" s="442" t="str">
        <f>'סיכום לועדה- הזנת נתונים'!L92</f>
        <v>המרכז למוסיקה ע"ש פיליציה בלומנטל (</v>
      </c>
      <c r="M92" s="443" t="str">
        <f>'סיכום לועדה- הזנת נתונים'!M92</f>
        <v>דריה- הרכב אינסטרומנטלי</v>
      </c>
      <c r="N92" s="444">
        <f>'סיכום לועדה- הזנת נתונים'!N92</f>
        <v>50000</v>
      </c>
      <c r="O92" s="444">
        <f>'סיכום לועדה- הזנת נתונים'!O92</f>
        <v>38215</v>
      </c>
      <c r="P92" s="444">
        <f>'סיכום לועדה- הזנת נתונים'!P92</f>
        <v>43686.952954856002</v>
      </c>
      <c r="Q92" s="479">
        <f>'סיכום לועדה- הזנת נתונים'!Q92</f>
        <v>0.14318861585387932</v>
      </c>
      <c r="R92" s="441">
        <f>'סיכום לועדה- הזנת נתונים'!R92</f>
        <v>0</v>
      </c>
      <c r="S92" s="441" t="str">
        <f>'סיכום לועדה- הזנת נתונים'!S92</f>
        <v>עומד בתנאי סף האמנותי ובתנאי הסף הכמותיים כקבוצה מוסיקלית</v>
      </c>
      <c r="T92" s="18"/>
      <c r="U92" s="19"/>
      <c r="V92" s="21"/>
      <c r="W92" s="21"/>
      <c r="X92" s="20"/>
      <c r="AU92" s="21"/>
      <c r="AV92" s="21"/>
      <c r="AW92" s="22"/>
    </row>
    <row r="93" spans="2:49" ht="63.75" customHeight="1" x14ac:dyDescent="0.25">
      <c r="B93" s="23">
        <f t="shared" si="0"/>
        <v>63</v>
      </c>
      <c r="C93" s="440" t="str">
        <f>'סיכום לועדה- הזנת נתונים'!C93</f>
        <v>להקת שלוש</v>
      </c>
      <c r="D93" s="440">
        <f>'סיכום לועדה- הזנת נתונים'!D93</f>
        <v>1001908695</v>
      </c>
      <c r="E93" s="440">
        <f>'סיכום לועדה- הזנת נתונים'!E93</f>
        <v>1001746374</v>
      </c>
      <c r="F93" s="440">
        <f>'סיכום לועדה- הזנת נתונים'!F93</f>
        <v>2020</v>
      </c>
      <c r="G93" s="441">
        <f>'סיכום לועדה- הזנת נתונים'!G93</f>
        <v>1</v>
      </c>
      <c r="H93" s="441" t="str">
        <f>'סיכום לועדה- הזנת נתונים'!H93</f>
        <v/>
      </c>
      <c r="I93" s="476">
        <f>'סיכום לועדה- הזנת נתונים'!I93</f>
        <v>2025</v>
      </c>
      <c r="J93" s="476">
        <f>'סיכום לועדה- הזנת נתונים'!J93</f>
        <v>40221541</v>
      </c>
      <c r="K93" s="476">
        <f>'סיכום לועדה- הזנת נתונים'!K93</f>
        <v>580327740</v>
      </c>
      <c r="L93" s="442" t="str">
        <f>'סיכום לועדה- הזנת נתונים'!L93</f>
        <v>המרכז למוסיקה ע"ש פיליציה בלומנטל (</v>
      </c>
      <c r="M93" s="443" t="str">
        <f>'סיכום לועדה- הזנת נתונים'!M93</f>
        <v>להקת שלוש</v>
      </c>
      <c r="N93" s="444">
        <f>'סיכום לועדה- הזנת נתונים'!N93</f>
        <v>50000</v>
      </c>
      <c r="O93" s="444">
        <f>'סיכום לועדה- הזנת נתונים'!O93</f>
        <v>45000</v>
      </c>
      <c r="P93" s="444">
        <f>'סיכום לועדה- הזנת נתונים'!P93</f>
        <v>49999.999999999985</v>
      </c>
      <c r="Q93" s="479">
        <f>'סיכום לועדה- הזנת נתונים'!Q93</f>
        <v>0.11111111111111072</v>
      </c>
      <c r="R93" s="441">
        <f>'סיכום לועדה- הזנת נתונים'!R93</f>
        <v>0</v>
      </c>
      <c r="S93" s="441" t="str">
        <f>'סיכום לועדה- הזנת נתונים'!S93</f>
        <v>עומד בתנאי סף האמנותי ובתנאי הסף הכמותיים כקבוצה מוסיקלית</v>
      </c>
      <c r="T93" s="18"/>
      <c r="U93" s="19"/>
      <c r="V93" s="21"/>
      <c r="W93" s="21"/>
      <c r="X93" s="20"/>
      <c r="AU93" s="21"/>
      <c r="AV93" s="21"/>
      <c r="AW93" s="22"/>
    </row>
    <row r="94" spans="2:49" ht="39" customHeight="1" x14ac:dyDescent="0.25">
      <c r="B94" s="23">
        <f t="shared" si="0"/>
        <v>64</v>
      </c>
      <c r="C94" s="440" t="str">
        <f>'סיכום לועדה- הזנת נתונים'!C94</f>
        <v>רביעיית טוסקאניני</v>
      </c>
      <c r="D94" s="440">
        <f>'סיכום לועדה- הזנת נתונים'!D94</f>
        <v>1001908694</v>
      </c>
      <c r="E94" s="440">
        <f>'סיכום לועדה- הזנת נתונים'!E94</f>
        <v>1001746376</v>
      </c>
      <c r="F94" s="440">
        <f>'סיכום לועדה- הזנת נתונים'!F94</f>
        <v>2020</v>
      </c>
      <c r="G94" s="441">
        <f>'סיכום לועדה- הזנת נתונים'!G94</f>
        <v>1</v>
      </c>
      <c r="H94" s="441" t="str">
        <f>'סיכום לועדה- הזנת נתונים'!H94</f>
        <v/>
      </c>
      <c r="I94" s="476">
        <f>'סיכום לועדה- הזנת נתונים'!I94</f>
        <v>2025</v>
      </c>
      <c r="J94" s="476">
        <f>'סיכום לועדה- הזנת נתונים'!J94</f>
        <v>40221541</v>
      </c>
      <c r="K94" s="476">
        <f>'סיכום לועדה- הזנת נתונים'!K94</f>
        <v>580327740</v>
      </c>
      <c r="L94" s="442" t="str">
        <f>'סיכום לועדה- הזנת נתונים'!L94</f>
        <v>המרכז למוסיקה ע"ש פיליציה בלומנטל (</v>
      </c>
      <c r="M94" s="443" t="str">
        <f>'סיכום לועדה- הזנת נתונים'!M94</f>
        <v>רביעיית טוסקאניני</v>
      </c>
      <c r="N94" s="444">
        <f>'סיכום לועדה- הזנת נתונים'!N94</f>
        <v>50000</v>
      </c>
      <c r="O94" s="444">
        <f>'סיכום לועדה- הזנת נתונים'!O94</f>
        <v>33881</v>
      </c>
      <c r="P94" s="444">
        <f>'סיכום לועדה- הזנת נתונים'!P94</f>
        <v>38362.134176260908</v>
      </c>
      <c r="Q94" s="479">
        <f>'סיכום לועדה- הזנת נתונים'!Q94</f>
        <v>0.13226097742867404</v>
      </c>
      <c r="R94" s="441">
        <f>'סיכום לועדה- הזנת נתונים'!R94</f>
        <v>0</v>
      </c>
      <c r="S94" s="441" t="str">
        <f>'סיכום לועדה- הזנת נתונים'!S94</f>
        <v>עומד בתנאי סף האמנותי ובתנאי הסף הכמותיים כקבוצה מוסיקלית</v>
      </c>
      <c r="T94" s="18"/>
      <c r="U94" s="19"/>
      <c r="V94" s="21"/>
      <c r="W94" s="21"/>
      <c r="X94" s="20"/>
      <c r="AU94" s="21"/>
      <c r="AV94" s="21"/>
      <c r="AW94" s="22"/>
    </row>
    <row r="95" spans="2:49" ht="39" customHeight="1" x14ac:dyDescent="0.25">
      <c r="B95" s="23">
        <f t="shared" ref="B95:B130" si="1">IF(C95="","",ROW()-30)</f>
        <v>65</v>
      </c>
      <c r="C95" s="440" t="str">
        <f>'סיכום לועדה- הזנת נתונים'!C95</f>
        <v>תקוע-קבוצה מוזיקלית - 'דאפה' 2024</v>
      </c>
      <c r="D95" s="440">
        <f>'סיכום לועדה- הזנת נתונים'!D95</f>
        <v>1001907813</v>
      </c>
      <c r="E95" s="440">
        <f>'סיכום לועדה- הזנת נתונים'!E95</f>
        <v>1001722838</v>
      </c>
      <c r="F95" s="440">
        <f>'סיכום לועדה- הזנת נתונים'!F95</f>
        <v>2020</v>
      </c>
      <c r="G95" s="441">
        <f>'סיכום לועדה- הזנת נתונים'!G95</f>
        <v>1</v>
      </c>
      <c r="H95" s="441" t="str">
        <f>'סיכום לועדה- הזנת נתונים'!H95</f>
        <v/>
      </c>
      <c r="I95" s="476">
        <f>'סיכום לועדה- הזנת נתונים'!I95</f>
        <v>2025</v>
      </c>
      <c r="J95" s="476">
        <f>'סיכום לועדה- הזנת נתונים'!J95</f>
        <v>42446743</v>
      </c>
      <c r="K95" s="476">
        <f>'סיכום לועדה- הזנת נתונים'!K95</f>
        <v>580695484</v>
      </c>
      <c r="L95" s="442" t="str">
        <f>'סיכום לועדה- הזנת נתונים'!L95</f>
        <v>עמותה לקידום התרבות והאמנות תקוע (ע</v>
      </c>
      <c r="M95" s="443" t="str">
        <f>'סיכום לועדה- הזנת נתונים'!M95</f>
        <v>עמותת תקוע- קבוצת מוסיקה 2025</v>
      </c>
      <c r="N95" s="444">
        <f>'סיכום לועדה- הזנת נתונים'!N95</f>
        <v>350000</v>
      </c>
      <c r="O95" s="444">
        <f>'סיכום לועדה- הזנת נתונים'!O95</f>
        <v>85846</v>
      </c>
      <c r="P95" s="444">
        <f>'סיכום לועדה- הזנת נתונים'!P95</f>
        <v>104841.10811467087</v>
      </c>
      <c r="Q95" s="479">
        <f>'סיכום לועדה- הזנת נתונים'!Q95</f>
        <v>0.22126957708770201</v>
      </c>
      <c r="R95" s="441" t="str">
        <f>'סיכום לועדה- הזנת נתונים'!R95</f>
        <v>עליה בנתונים</v>
      </c>
      <c r="S95" s="441" t="str">
        <f>'סיכום לועדה- הזנת נתונים'!S95</f>
        <v>עומד בתנאי סף האמנותי ובתנאי הסף הכמותיים כקבוצה מוסיקלית</v>
      </c>
      <c r="T95" s="18"/>
      <c r="U95" s="19"/>
      <c r="V95" s="21"/>
      <c r="W95" s="21"/>
      <c r="X95" s="20"/>
      <c r="AU95" s="21"/>
      <c r="AV95" s="21"/>
      <c r="AW95" s="22"/>
    </row>
    <row r="96" spans="2:49" ht="69" customHeight="1" x14ac:dyDescent="0.25">
      <c r="B96" s="23">
        <f t="shared" si="1"/>
        <v>66</v>
      </c>
      <c r="C96" s="440" t="str">
        <f>'סיכום לועדה- הזנת נתונים'!C96</f>
        <v>טריו בן חיים</v>
      </c>
      <c r="D96" s="440">
        <f>'סיכום לועדה- הזנת נתונים'!D96</f>
        <v>1001908686</v>
      </c>
      <c r="E96" s="440">
        <f>'סיכום לועדה- הזנת נתונים'!E96</f>
        <v>1001746401</v>
      </c>
      <c r="F96" s="440">
        <f>'סיכום לועדה- הזנת נתונים'!F96</f>
        <v>2020</v>
      </c>
      <c r="G96" s="441">
        <f>'סיכום לועדה- הזנת נתונים'!G96</f>
        <v>1</v>
      </c>
      <c r="H96" s="441" t="str">
        <f>'סיכום לועדה- הזנת נתונים'!H96</f>
        <v/>
      </c>
      <c r="I96" s="476">
        <f>'סיכום לועדה- הזנת נתונים'!I96</f>
        <v>2025</v>
      </c>
      <c r="J96" s="476">
        <f>'סיכום לועדה- הזנת נתונים'!J96</f>
        <v>40221541</v>
      </c>
      <c r="K96" s="476">
        <f>'סיכום לועדה- הזנת נתונים'!K96</f>
        <v>580327740</v>
      </c>
      <c r="L96" s="442" t="str">
        <f>'סיכום לועדה- הזנת נתונים'!L96</f>
        <v>המרכז למוסיקה ע"ש פיליציה בלומנטל (</v>
      </c>
      <c r="M96" s="443" t="str">
        <f>'סיכום לועדה- הזנת נתונים'!M96</f>
        <v>טריו בן חיים</v>
      </c>
      <c r="N96" s="444">
        <f>'סיכום לועדה- הזנת נתונים'!N96</f>
        <v>55000</v>
      </c>
      <c r="O96" s="444">
        <f>'סיכום לועדה- הזנת נתונים'!O96</f>
        <v>47983</v>
      </c>
      <c r="P96" s="444">
        <f>'סיכום לועדה- הזנת נתונים'!P96</f>
        <v>44394.089758849455</v>
      </c>
      <c r="Q96" s="479">
        <f>'סיכום לועדה- הזנת נתונים'!Q96</f>
        <v>-7.4795453413720403E-2</v>
      </c>
      <c r="R96" s="441">
        <f>'סיכום לועדה- הזנת נתונים'!R96</f>
        <v>0</v>
      </c>
      <c r="S96" s="441" t="str">
        <f>'סיכום לועדה- הזנת נתונים'!S96</f>
        <v>עומד בתנאי סף האמנותי .לא עומד במספר ההרצות: 7 במקום 8. המדור המליץ על מתן הקלה לפי סעיף 9.(ב) הואיל ועומד בכל תנאי הסף האחרים</v>
      </c>
      <c r="T96" s="18"/>
      <c r="U96" s="19"/>
      <c r="V96" s="21"/>
      <c r="W96" s="21"/>
      <c r="X96" s="20"/>
      <c r="AU96" s="21"/>
      <c r="AV96" s="21"/>
      <c r="AW96" s="22"/>
    </row>
    <row r="97" spans="2:49" ht="39" hidden="1" customHeight="1" x14ac:dyDescent="0.25">
      <c r="B97" s="23" t="str">
        <f t="shared" si="1"/>
        <v/>
      </c>
      <c r="C97" s="440" t="str">
        <f>'סיכום לועדה- הזנת נתונים'!C97</f>
        <v/>
      </c>
      <c r="D97" s="440">
        <f>'סיכום לועדה- הזנת נתונים'!D97</f>
        <v>0</v>
      </c>
      <c r="E97" s="440">
        <f>'סיכום לועדה- הזנת נתונים'!E97</f>
        <v>0</v>
      </c>
      <c r="F97" s="440">
        <f>'סיכום לועדה- הזנת נתונים'!F97</f>
        <v>0</v>
      </c>
      <c r="G97" s="441" t="str">
        <f>'סיכום לועדה- הזנת נתונים'!G97</f>
        <v/>
      </c>
      <c r="H97" s="441" t="str">
        <f>'סיכום לועדה- הזנת נתונים'!H97</f>
        <v/>
      </c>
      <c r="I97" s="476" t="str">
        <f>'סיכום לועדה- הזנת נתונים'!I97</f>
        <v/>
      </c>
      <c r="J97" s="476" t="str">
        <f>'סיכום לועדה- הזנת נתונים'!J97</f>
        <v/>
      </c>
      <c r="K97" s="476" t="str">
        <f>'סיכום לועדה- הזנת נתונים'!K97</f>
        <v/>
      </c>
      <c r="L97" s="442" t="str">
        <f>'סיכום לועדה- הזנת נתונים'!L97</f>
        <v/>
      </c>
      <c r="M97" s="443" t="str">
        <f>'סיכום לועדה- הזנת נתונים'!M97</f>
        <v/>
      </c>
      <c r="N97" s="444" t="str">
        <f>'סיכום לועדה- הזנת נתונים'!N97</f>
        <v/>
      </c>
      <c r="O97" s="444">
        <f>'סיכום לועדה- הזנת נתונים'!O97</f>
        <v>0</v>
      </c>
      <c r="P97" s="444" t="str">
        <f>'סיכום לועדה- הזנת נתונים'!P97</f>
        <v/>
      </c>
      <c r="Q97" s="479" t="str">
        <f>'סיכום לועדה- הזנת נתונים'!Q97</f>
        <v/>
      </c>
      <c r="R97" s="441">
        <f>'סיכום לועדה- הזנת נתונים'!R97</f>
        <v>0</v>
      </c>
      <c r="S97" s="441">
        <f>'סיכום לועדה- הזנת נתונים'!S97</f>
        <v>0</v>
      </c>
      <c r="T97" s="18"/>
      <c r="U97" s="19"/>
      <c r="V97" s="21"/>
      <c r="W97" s="21"/>
      <c r="X97" s="20"/>
      <c r="AU97" s="21"/>
      <c r="AV97" s="21"/>
      <c r="AW97" s="22"/>
    </row>
    <row r="98" spans="2:49" ht="39" customHeight="1" x14ac:dyDescent="0.25">
      <c r="B98" s="23">
        <f t="shared" si="1"/>
        <v>68</v>
      </c>
      <c r="C98" s="440" t="str">
        <f>'סיכום לועדה- הזנת נתונים'!C98</f>
        <v>אמיתי אריכא והפרויקט D1</v>
      </c>
      <c r="D98" s="440">
        <f>'סיכום לועדה- הזנת נתונים'!D98</f>
        <v>1001910564</v>
      </c>
      <c r="E98" s="440">
        <f>'סיכום לועדה- הזנת נתונים'!E98</f>
        <v>1001746403</v>
      </c>
      <c r="F98" s="440">
        <f>'סיכום לועדה- הזנת נתונים'!F98</f>
        <v>2020</v>
      </c>
      <c r="G98" s="441">
        <f>'סיכום לועדה- הזנת נתונים'!G98</f>
        <v>1</v>
      </c>
      <c r="H98" s="441" t="str">
        <f>'סיכום לועדה- הזנת נתונים'!H98</f>
        <v/>
      </c>
      <c r="I98" s="476">
        <f>'סיכום לועדה- הזנת נתונים'!I98</f>
        <v>2025</v>
      </c>
      <c r="J98" s="476">
        <f>'סיכום לועדה- הזנת נתונים'!J98</f>
        <v>40221541</v>
      </c>
      <c r="K98" s="476">
        <f>'סיכום לועדה- הזנת נתונים'!K98</f>
        <v>580327740</v>
      </c>
      <c r="L98" s="442" t="str">
        <f>'סיכום לועדה- הזנת נתונים'!L98</f>
        <v>המרכז למוסיקה ע"ש פיליציה בלומנטל (</v>
      </c>
      <c r="M98" s="443" t="str">
        <f>'סיכום לועדה- הזנת נתונים'!M98</f>
        <v>אמיתי אריכא והפרויקט D1</v>
      </c>
      <c r="N98" s="444">
        <f>'סיכום לועדה- הזנת נתונים'!N98</f>
        <v>45000</v>
      </c>
      <c r="O98" s="444">
        <f>'סיכום לועדה- הזנת נתונים'!O98</f>
        <v>33612</v>
      </c>
      <c r="P98" s="444">
        <f>'סיכום לועדה- הזנת נתונים'!P98</f>
        <v>44999.999999999978</v>
      </c>
      <c r="Q98" s="479">
        <f>'סיכום לועדה- הזנת נתונים'!Q98</f>
        <v>0.33880756872545459</v>
      </c>
      <c r="R98" s="441" t="str">
        <f>'סיכום לועדה- הזנת נתונים'!R98</f>
        <v>עליה בנתונים</v>
      </c>
      <c r="S98" s="441" t="str">
        <f>'סיכום לועדה- הזנת נתונים'!S98</f>
        <v>עומד בתנאי סף האמנותי ובתנאי הסף הכמותיים כקבוצה מוסיקלית</v>
      </c>
      <c r="T98" s="18"/>
      <c r="U98" s="19"/>
      <c r="V98" s="21"/>
      <c r="W98" s="21"/>
      <c r="X98" s="20"/>
      <c r="AU98" s="21"/>
      <c r="AV98" s="21"/>
      <c r="AW98" s="22"/>
    </row>
    <row r="99" spans="2:49" ht="39" hidden="1" customHeight="1" x14ac:dyDescent="0.25">
      <c r="B99" s="23" t="str">
        <f t="shared" si="1"/>
        <v/>
      </c>
      <c r="C99" s="440" t="str">
        <f>'סיכום לועדה- הזנת נתונים'!C99</f>
        <v/>
      </c>
      <c r="D99" s="440">
        <f>'סיכום לועדה- הזנת נתונים'!D99</f>
        <v>0</v>
      </c>
      <c r="E99" s="440">
        <f>'סיכום לועדה- הזנת נתונים'!E99</f>
        <v>0</v>
      </c>
      <c r="F99" s="440">
        <f>'סיכום לועדה- הזנת נתונים'!F99</f>
        <v>0</v>
      </c>
      <c r="G99" s="441" t="str">
        <f>'סיכום לועדה- הזנת נתונים'!G99</f>
        <v/>
      </c>
      <c r="H99" s="441" t="str">
        <f>'סיכום לועדה- הזנת נתונים'!H99</f>
        <v/>
      </c>
      <c r="I99" s="476" t="str">
        <f>'סיכום לועדה- הזנת נתונים'!I99</f>
        <v/>
      </c>
      <c r="J99" s="476" t="str">
        <f>'סיכום לועדה- הזנת נתונים'!J99</f>
        <v/>
      </c>
      <c r="K99" s="476" t="str">
        <f>'סיכום לועדה- הזנת נתונים'!K99</f>
        <v/>
      </c>
      <c r="L99" s="442" t="str">
        <f>'סיכום לועדה- הזנת נתונים'!L99</f>
        <v/>
      </c>
      <c r="M99" s="443" t="str">
        <f>'סיכום לועדה- הזנת נתונים'!M99</f>
        <v/>
      </c>
      <c r="N99" s="444" t="str">
        <f>'סיכום לועדה- הזנת נתונים'!N99</f>
        <v/>
      </c>
      <c r="O99" s="444">
        <f>'סיכום לועדה- הזנת נתונים'!O99</f>
        <v>0</v>
      </c>
      <c r="P99" s="444" t="str">
        <f>'סיכום לועדה- הזנת נתונים'!P99</f>
        <v/>
      </c>
      <c r="Q99" s="479" t="str">
        <f>'סיכום לועדה- הזנת נתונים'!Q99</f>
        <v/>
      </c>
      <c r="R99" s="441">
        <f>'סיכום לועדה- הזנת נתונים'!R99</f>
        <v>0</v>
      </c>
      <c r="S99" s="441">
        <f>'סיכום לועדה- הזנת נתונים'!S99</f>
        <v>0</v>
      </c>
      <c r="T99" s="18"/>
      <c r="U99" s="19"/>
      <c r="V99" s="21"/>
      <c r="W99" s="21"/>
      <c r="X99" s="20"/>
      <c r="AU99" s="21"/>
      <c r="AV99" s="21"/>
      <c r="AW99" s="22"/>
    </row>
    <row r="100" spans="2:49" ht="39" hidden="1" customHeight="1" x14ac:dyDescent="0.25">
      <c r="B100" s="23" t="str">
        <f t="shared" si="1"/>
        <v/>
      </c>
      <c r="C100" s="440" t="str">
        <f>'סיכום לועדה- הזנת נתונים'!C100</f>
        <v/>
      </c>
      <c r="D100" s="440">
        <f>'סיכום לועדה- הזנת נתונים'!D100</f>
        <v>0</v>
      </c>
      <c r="E100" s="440">
        <f>'סיכום לועדה- הזנת נתונים'!E100</f>
        <v>0</v>
      </c>
      <c r="F100" s="440">
        <f>'סיכום לועדה- הזנת נתונים'!F100</f>
        <v>0</v>
      </c>
      <c r="G100" s="441" t="str">
        <f>'סיכום לועדה- הזנת נתונים'!G100</f>
        <v/>
      </c>
      <c r="H100" s="441" t="str">
        <f>'סיכום לועדה- הזנת נתונים'!H100</f>
        <v/>
      </c>
      <c r="I100" s="476" t="str">
        <f>'סיכום לועדה- הזנת נתונים'!I100</f>
        <v/>
      </c>
      <c r="J100" s="476" t="str">
        <f>'סיכום לועדה- הזנת נתונים'!J100</f>
        <v/>
      </c>
      <c r="K100" s="476" t="str">
        <f>'סיכום לועדה- הזנת נתונים'!K100</f>
        <v/>
      </c>
      <c r="L100" s="442" t="str">
        <f>'סיכום לועדה- הזנת נתונים'!L100</f>
        <v/>
      </c>
      <c r="M100" s="443" t="str">
        <f>'סיכום לועדה- הזנת נתונים'!M100</f>
        <v/>
      </c>
      <c r="N100" s="444" t="str">
        <f>'סיכום לועדה- הזנת נתונים'!N100</f>
        <v/>
      </c>
      <c r="O100" s="444">
        <f>'סיכום לועדה- הזנת נתונים'!O100</f>
        <v>0</v>
      </c>
      <c r="P100" s="444" t="str">
        <f>'סיכום לועדה- הזנת נתונים'!P100</f>
        <v/>
      </c>
      <c r="Q100" s="479" t="str">
        <f>'סיכום לועדה- הזנת נתונים'!Q100</f>
        <v/>
      </c>
      <c r="R100" s="441">
        <f>'סיכום לועדה- הזנת נתונים'!R100</f>
        <v>0</v>
      </c>
      <c r="S100" s="441">
        <f>'סיכום לועדה- הזנת נתונים'!S100</f>
        <v>0</v>
      </c>
      <c r="T100" s="18"/>
      <c r="U100" s="19"/>
      <c r="V100" s="21"/>
      <c r="W100" s="21"/>
      <c r="X100" s="20"/>
      <c r="AU100" s="21"/>
      <c r="AV100" s="21"/>
      <c r="AW100" s="22"/>
    </row>
    <row r="101" spans="2:49" ht="39" hidden="1" customHeight="1" x14ac:dyDescent="0.25">
      <c r="B101" s="23" t="str">
        <f t="shared" si="1"/>
        <v/>
      </c>
      <c r="C101" s="440" t="str">
        <f>'סיכום לועדה- הזנת נתונים'!C101</f>
        <v/>
      </c>
      <c r="D101" s="440">
        <f>'סיכום לועדה- הזנת נתונים'!D101</f>
        <v>0</v>
      </c>
      <c r="E101" s="440">
        <f>'סיכום לועדה- הזנת נתונים'!E101</f>
        <v>0</v>
      </c>
      <c r="F101" s="440">
        <f>'סיכום לועדה- הזנת נתונים'!F101</f>
        <v>0</v>
      </c>
      <c r="G101" s="441" t="str">
        <f>'סיכום לועדה- הזנת נתונים'!G101</f>
        <v/>
      </c>
      <c r="H101" s="441" t="str">
        <f>'סיכום לועדה- הזנת נתונים'!H101</f>
        <v/>
      </c>
      <c r="I101" s="476" t="str">
        <f>'סיכום לועדה- הזנת נתונים'!I101</f>
        <v/>
      </c>
      <c r="J101" s="476" t="str">
        <f>'סיכום לועדה- הזנת נתונים'!J101</f>
        <v/>
      </c>
      <c r="K101" s="476" t="str">
        <f>'סיכום לועדה- הזנת נתונים'!K101</f>
        <v/>
      </c>
      <c r="L101" s="442" t="str">
        <f>'סיכום לועדה- הזנת נתונים'!L101</f>
        <v/>
      </c>
      <c r="M101" s="443" t="str">
        <f>'סיכום לועדה- הזנת נתונים'!M101</f>
        <v/>
      </c>
      <c r="N101" s="444" t="str">
        <f>'סיכום לועדה- הזנת נתונים'!N101</f>
        <v/>
      </c>
      <c r="O101" s="444">
        <f>'סיכום לועדה- הזנת נתונים'!O101</f>
        <v>0</v>
      </c>
      <c r="P101" s="444" t="str">
        <f>'סיכום לועדה- הזנת נתונים'!P101</f>
        <v/>
      </c>
      <c r="Q101" s="479" t="str">
        <f>'סיכום לועדה- הזנת נתונים'!Q101</f>
        <v/>
      </c>
      <c r="R101" s="441">
        <f>'סיכום לועדה- הזנת נתונים'!R101</f>
        <v>0</v>
      </c>
      <c r="S101" s="441">
        <f>'סיכום לועדה- הזנת נתונים'!S101</f>
        <v>0</v>
      </c>
      <c r="T101" s="18"/>
      <c r="U101" s="19"/>
      <c r="V101" s="21"/>
      <c r="W101" s="21"/>
      <c r="X101" s="20"/>
      <c r="AU101" s="21"/>
      <c r="AV101" s="21"/>
      <c r="AW101" s="22"/>
    </row>
    <row r="102" spans="2:49" ht="39" hidden="1" customHeight="1" x14ac:dyDescent="0.25">
      <c r="B102" s="23" t="str">
        <f t="shared" si="1"/>
        <v/>
      </c>
      <c r="C102" s="440" t="str">
        <f>'סיכום לועדה- הזנת נתונים'!C102</f>
        <v/>
      </c>
      <c r="D102" s="440">
        <f>'סיכום לועדה- הזנת נתונים'!D102</f>
        <v>0</v>
      </c>
      <c r="E102" s="440">
        <f>'סיכום לועדה- הזנת נתונים'!E102</f>
        <v>0</v>
      </c>
      <c r="F102" s="440">
        <f>'סיכום לועדה- הזנת נתונים'!F102</f>
        <v>0</v>
      </c>
      <c r="G102" s="441" t="str">
        <f>'סיכום לועדה- הזנת נתונים'!G102</f>
        <v/>
      </c>
      <c r="H102" s="441" t="str">
        <f>'סיכום לועדה- הזנת נתונים'!H102</f>
        <v/>
      </c>
      <c r="I102" s="476" t="str">
        <f>'סיכום לועדה- הזנת נתונים'!I102</f>
        <v/>
      </c>
      <c r="J102" s="476" t="str">
        <f>'סיכום לועדה- הזנת נתונים'!J102</f>
        <v/>
      </c>
      <c r="K102" s="476" t="str">
        <f>'סיכום לועדה- הזנת נתונים'!K102</f>
        <v/>
      </c>
      <c r="L102" s="442" t="str">
        <f>'סיכום לועדה- הזנת נתונים'!L102</f>
        <v/>
      </c>
      <c r="M102" s="443" t="str">
        <f>'סיכום לועדה- הזנת נתונים'!M102</f>
        <v/>
      </c>
      <c r="N102" s="444" t="str">
        <f>'סיכום לועדה- הזנת נתונים'!N102</f>
        <v/>
      </c>
      <c r="O102" s="444">
        <f>'סיכום לועדה- הזנת נתונים'!O102</f>
        <v>0</v>
      </c>
      <c r="P102" s="444" t="str">
        <f>'סיכום לועדה- הזנת נתונים'!P102</f>
        <v/>
      </c>
      <c r="Q102" s="479" t="str">
        <f>'סיכום לועדה- הזנת נתונים'!Q102</f>
        <v/>
      </c>
      <c r="R102" s="441">
        <f>'סיכום לועדה- הזנת נתונים'!R102</f>
        <v>0</v>
      </c>
      <c r="S102" s="441">
        <f>'סיכום לועדה- הזנת נתונים'!S102</f>
        <v>0</v>
      </c>
      <c r="T102" s="18"/>
      <c r="U102" s="19"/>
      <c r="V102" s="21"/>
      <c r="W102" s="21"/>
      <c r="X102" s="20"/>
      <c r="AU102" s="21"/>
      <c r="AV102" s="21"/>
      <c r="AW102" s="22"/>
    </row>
    <row r="103" spans="2:49" ht="39" hidden="1" customHeight="1" x14ac:dyDescent="0.25">
      <c r="B103" s="23" t="str">
        <f t="shared" si="1"/>
        <v/>
      </c>
      <c r="C103" s="440" t="str">
        <f>'סיכום לועדה- הזנת נתונים'!C103</f>
        <v/>
      </c>
      <c r="D103" s="440">
        <f>'סיכום לועדה- הזנת נתונים'!D103</f>
        <v>0</v>
      </c>
      <c r="E103" s="440">
        <f>'סיכום לועדה- הזנת נתונים'!E103</f>
        <v>0</v>
      </c>
      <c r="F103" s="440">
        <f>'סיכום לועדה- הזנת נתונים'!F103</f>
        <v>0</v>
      </c>
      <c r="G103" s="441" t="str">
        <f>'סיכום לועדה- הזנת נתונים'!G103</f>
        <v/>
      </c>
      <c r="H103" s="441" t="str">
        <f>'סיכום לועדה- הזנת נתונים'!H103</f>
        <v/>
      </c>
      <c r="I103" s="476" t="str">
        <f>'סיכום לועדה- הזנת נתונים'!I103</f>
        <v/>
      </c>
      <c r="J103" s="476" t="str">
        <f>'סיכום לועדה- הזנת נתונים'!J103</f>
        <v/>
      </c>
      <c r="K103" s="476" t="str">
        <f>'סיכום לועדה- הזנת נתונים'!K103</f>
        <v/>
      </c>
      <c r="L103" s="442" t="str">
        <f>'סיכום לועדה- הזנת נתונים'!L103</f>
        <v/>
      </c>
      <c r="M103" s="443" t="str">
        <f>'סיכום לועדה- הזנת נתונים'!M103</f>
        <v/>
      </c>
      <c r="N103" s="444" t="str">
        <f>'סיכום לועדה- הזנת נתונים'!N103</f>
        <v/>
      </c>
      <c r="O103" s="444">
        <f>'סיכום לועדה- הזנת נתונים'!O103</f>
        <v>0</v>
      </c>
      <c r="P103" s="444" t="str">
        <f>'סיכום לועדה- הזנת נתונים'!P103</f>
        <v/>
      </c>
      <c r="Q103" s="479" t="str">
        <f>'סיכום לועדה- הזנת נתונים'!Q103</f>
        <v/>
      </c>
      <c r="R103" s="441">
        <f>'סיכום לועדה- הזנת נתונים'!R103</f>
        <v>0</v>
      </c>
      <c r="S103" s="441">
        <f>'סיכום לועדה- הזנת נתונים'!S103</f>
        <v>0</v>
      </c>
      <c r="T103" s="18"/>
      <c r="U103" s="19"/>
      <c r="V103" s="21"/>
      <c r="W103" s="21"/>
      <c r="X103" s="20"/>
      <c r="AU103" s="21"/>
      <c r="AV103" s="21"/>
      <c r="AW103" s="22"/>
    </row>
    <row r="104" spans="2:49" ht="39" hidden="1" customHeight="1" x14ac:dyDescent="0.25">
      <c r="B104" s="23" t="str">
        <f t="shared" si="1"/>
        <v/>
      </c>
      <c r="C104" s="440" t="str">
        <f>'סיכום לועדה- הזנת נתונים'!C104</f>
        <v/>
      </c>
      <c r="D104" s="440">
        <f>'סיכום לועדה- הזנת נתונים'!D104</f>
        <v>0</v>
      </c>
      <c r="E104" s="440">
        <f>'סיכום לועדה- הזנת נתונים'!E104</f>
        <v>0</v>
      </c>
      <c r="F104" s="440">
        <f>'סיכום לועדה- הזנת נתונים'!F104</f>
        <v>0</v>
      </c>
      <c r="G104" s="441" t="str">
        <f>'סיכום לועדה- הזנת נתונים'!G104</f>
        <v/>
      </c>
      <c r="H104" s="441" t="str">
        <f>'סיכום לועדה- הזנת נתונים'!H104</f>
        <v/>
      </c>
      <c r="I104" s="476" t="str">
        <f>'סיכום לועדה- הזנת נתונים'!I104</f>
        <v/>
      </c>
      <c r="J104" s="476" t="str">
        <f>'סיכום לועדה- הזנת נתונים'!J104</f>
        <v/>
      </c>
      <c r="K104" s="476" t="str">
        <f>'סיכום לועדה- הזנת נתונים'!K104</f>
        <v/>
      </c>
      <c r="L104" s="442" t="str">
        <f>'סיכום לועדה- הזנת נתונים'!L104</f>
        <v/>
      </c>
      <c r="M104" s="443" t="str">
        <f>'סיכום לועדה- הזנת נתונים'!M104</f>
        <v/>
      </c>
      <c r="N104" s="444" t="str">
        <f>'סיכום לועדה- הזנת נתונים'!N104</f>
        <v/>
      </c>
      <c r="O104" s="444">
        <f>'סיכום לועדה- הזנת נתונים'!O104</f>
        <v>0</v>
      </c>
      <c r="P104" s="444" t="str">
        <f>'סיכום לועדה- הזנת נתונים'!P104</f>
        <v/>
      </c>
      <c r="Q104" s="479" t="str">
        <f>'סיכום לועדה- הזנת נתונים'!Q104</f>
        <v/>
      </c>
      <c r="R104" s="441">
        <f>'סיכום לועדה- הזנת נתונים'!R104</f>
        <v>0</v>
      </c>
      <c r="S104" s="441">
        <f>'סיכום לועדה- הזנת נתונים'!S104</f>
        <v>0</v>
      </c>
      <c r="T104" s="18"/>
      <c r="U104" s="19"/>
      <c r="V104" s="21"/>
      <c r="W104" s="21"/>
      <c r="X104" s="20"/>
      <c r="AU104" s="21"/>
      <c r="AV104" s="21"/>
      <c r="AW104" s="22"/>
    </row>
    <row r="105" spans="2:49" ht="47.25" customHeight="1" x14ac:dyDescent="0.25">
      <c r="B105" s="23">
        <f t="shared" si="1"/>
        <v>75</v>
      </c>
      <c r="C105" s="440" t="str">
        <f>'סיכום לועדה- הזנת נתונים'!C105</f>
        <v>לבונטין 7</v>
      </c>
      <c r="D105" s="440">
        <f>'סיכום לועדה- הזנת נתונים'!D105</f>
        <v>1001908365</v>
      </c>
      <c r="E105" s="440">
        <f>'סיכום לועדה- הזנת נתונים'!E105</f>
        <v>0</v>
      </c>
      <c r="F105" s="440">
        <f>'סיכום לועדה- הזנת נתונים'!F105</f>
        <v>2020</v>
      </c>
      <c r="G105" s="441">
        <f>'סיכום לועדה- הזנת נתונים'!G105</f>
        <v>1</v>
      </c>
      <c r="H105" s="441" t="str">
        <f>'סיכום לועדה- הזנת נתונים'!H105</f>
        <v>no</v>
      </c>
      <c r="I105" s="476">
        <f>'סיכום לועדה- הזנת נתונים'!I105</f>
        <v>2025</v>
      </c>
      <c r="J105" s="476">
        <f>'סיכום לועדה- הזנת נתונים'!J105</f>
        <v>41103047</v>
      </c>
      <c r="K105" s="476">
        <f>'סיכום לועדה- הזנת נתונים'!K105</f>
        <v>580455939</v>
      </c>
      <c r="L105" s="442" t="str">
        <f>'סיכום לועדה- הזנת נתונים'!L105</f>
        <v>א.מ.א. - אומנות מקורית אלטרנטיבית (</v>
      </c>
      <c r="M105" s="443" t="str">
        <f>'סיכום לועדה- הזנת נתונים'!M105</f>
        <v>קולקטיב מחר</v>
      </c>
      <c r="N105" s="444">
        <f>'סיכום לועדה- הזנת נתונים'!N105</f>
        <v>100000</v>
      </c>
      <c r="O105" s="444">
        <f>'סיכום לועדה- הזנת נתונים'!O105</f>
        <v>0</v>
      </c>
      <c r="P105" s="444">
        <f>'סיכום לועדה- הזנת נתונים'!P105</f>
        <v>74924.348521178807</v>
      </c>
      <c r="Q105" s="479" t="str">
        <f>'סיכום לועדה- הזנת נתונים'!Q105</f>
        <v/>
      </c>
      <c r="R105" s="441" t="str">
        <f>'סיכום לועדה- הזנת נתונים'!R105</f>
        <v>חדש</v>
      </c>
      <c r="S105" s="441" t="str">
        <f>'סיכום לועדה- הזנת נתונים'!S105</f>
        <v>גוף חדש. עומד בתנאי סף האמנותי ובתנאי הסף הכמותיים כקבוצה מוסיקלית</v>
      </c>
      <c r="T105" s="18"/>
      <c r="U105" s="19"/>
      <c r="V105" s="21"/>
      <c r="W105" s="21"/>
      <c r="X105" s="20"/>
      <c r="AU105" s="21"/>
      <c r="AV105" s="21"/>
      <c r="AW105" s="22"/>
    </row>
    <row r="106" spans="2:49" ht="42" customHeight="1" x14ac:dyDescent="0.25">
      <c r="B106" s="23">
        <f t="shared" si="1"/>
        <v>76</v>
      </c>
      <c r="C106" s="440" t="str">
        <f>'סיכום לועדה- הזנת נתונים'!C106</f>
        <v>מולטי פיאנו- פליציה בלומנטל</v>
      </c>
      <c r="D106" s="440">
        <f>'סיכום לועדה- הזנת נתונים'!D106</f>
        <v>1001908699</v>
      </c>
      <c r="E106" s="440">
        <f>'סיכום לועדה- הזנת נתונים'!E106</f>
        <v>0</v>
      </c>
      <c r="F106" s="440">
        <f>'סיכום לועדה- הזנת נתונים'!F106</f>
        <v>2020</v>
      </c>
      <c r="G106" s="441">
        <f>'סיכום לועדה- הזנת נתונים'!G106</f>
        <v>1</v>
      </c>
      <c r="H106" s="441" t="str">
        <f>'סיכום לועדה- הזנת נתונים'!H106</f>
        <v>no</v>
      </c>
      <c r="I106" s="476">
        <f>'סיכום לועדה- הזנת נתונים'!I106</f>
        <v>2025</v>
      </c>
      <c r="J106" s="476">
        <f>'סיכום לועדה- הזנת נתונים'!J106</f>
        <v>40221541</v>
      </c>
      <c r="K106" s="476">
        <f>'סיכום לועדה- הזנת נתונים'!K106</f>
        <v>580327740</v>
      </c>
      <c r="L106" s="442" t="str">
        <f>'סיכום לועדה- הזנת נתונים'!L106</f>
        <v>המרכז למוסיקה ע"ש פיליציה בלומנטל (</v>
      </c>
      <c r="M106" s="443" t="str">
        <f>'סיכום לועדה- הזנת נתונים'!M106</f>
        <v>אנסמבל מולטיפיאנו</v>
      </c>
      <c r="N106" s="444">
        <f>'סיכום לועדה- הזנת נתונים'!N106</f>
        <v>75000</v>
      </c>
      <c r="O106" s="444">
        <f>'סיכום לועדה- הזנת נתונים'!O106</f>
        <v>0</v>
      </c>
      <c r="P106" s="444">
        <f>'סיכום לועדה- הזנת נתונים'!P106</f>
        <v>54445.873871104297</v>
      </c>
      <c r="Q106" s="479" t="str">
        <f>'סיכום לועדה- הזנת נתונים'!Q106</f>
        <v/>
      </c>
      <c r="R106" s="441" t="str">
        <f>'סיכום לועדה- הזנת נתונים'!R106</f>
        <v>חדש</v>
      </c>
      <c r="S106" s="441" t="str">
        <f>'סיכום לועדה- הזנת נתונים'!S106</f>
        <v>גוף חדש.עומד בתנאי סף האמנותי ובתנאי הסף הכמותיים כקבוצה מוסיקלית</v>
      </c>
      <c r="T106" s="18"/>
      <c r="U106" s="19"/>
      <c r="V106" s="21"/>
      <c r="W106" s="21"/>
      <c r="X106" s="20"/>
      <c r="AU106" s="21"/>
      <c r="AV106" s="21"/>
      <c r="AW106" s="22"/>
    </row>
    <row r="107" spans="2:49" ht="60" customHeight="1" x14ac:dyDescent="0.25">
      <c r="B107" s="23">
        <f t="shared" si="1"/>
        <v>77</v>
      </c>
      <c r="C107" s="440" t="str">
        <f>'סיכום לועדה- הזנת נתונים'!C107</f>
        <v>ארמון בזמן - העמותה לתרבות רב תחומית</v>
      </c>
      <c r="D107" s="440">
        <f>'סיכום לועדה- הזנת נתונים'!D107</f>
        <v>1001907984</v>
      </c>
      <c r="E107" s="440">
        <f>'סיכום לועדה- הזנת נתונים'!E107</f>
        <v>1001735322</v>
      </c>
      <c r="F107" s="440">
        <f>'סיכום לועדה- הזנת נתונים'!F107</f>
        <v>2020</v>
      </c>
      <c r="G107" s="441">
        <f>'סיכום לועדה- הזנת נתונים'!G107</f>
        <v>1</v>
      </c>
      <c r="H107" s="441" t="str">
        <f>'סיכום לועדה- הזנת נתונים'!H107</f>
        <v>no</v>
      </c>
      <c r="I107" s="476">
        <f>'סיכום לועדה- הזנת נתונים'!I107</f>
        <v>2025</v>
      </c>
      <c r="J107" s="476">
        <f>'סיכום לועדה- הזנת נתונים'!J107</f>
        <v>42864722</v>
      </c>
      <c r="K107" s="476">
        <f>'סיכום לועדה- הזנת נתונים'!K107</f>
        <v>580774149</v>
      </c>
      <c r="L107" s="442" t="str">
        <f>'סיכום לועדה- הזנת נתונים'!L107</f>
        <v>העמותה לאמנות רב תחומית (ע"ר)</v>
      </c>
      <c r="M107" s="443" t="str">
        <f>'סיכום לועדה- הזנת נתונים'!M107</f>
        <v>אמנות רב תחומית- קבוצות מוסקה 2025</v>
      </c>
      <c r="N107" s="444">
        <f>'סיכום לועדה- הזנת נתונים'!N107</f>
        <v>300000</v>
      </c>
      <c r="O107" s="444">
        <f>'סיכום לועדה- הזנת נתונים'!O107</f>
        <v>65924</v>
      </c>
      <c r="P107" s="444">
        <f>'סיכום לועדה- הזנת נתונים'!P107</f>
        <v>74648.657273345365</v>
      </c>
      <c r="Q107" s="479">
        <f>'סיכום לועדה- הזנת נתונים'!Q107</f>
        <v>0.13234417318951164</v>
      </c>
      <c r="R107" s="441">
        <f>'סיכום לועדה- הזנת נתונים'!R107</f>
        <v>0</v>
      </c>
      <c r="S107" s="441" t="str">
        <f>'סיכום לועדה- הזנת נתונים'!S107</f>
        <v xml:space="preserve">גוף ותיק שנתמך לראשונה תחת עמותה צמאית. עומד בתנאי סף האמנותי. לא עומד במספר ההרצות: 7 במקום 8. המדור המליץ על מתן הקלה לפי סעיף 9.(ב). </v>
      </c>
      <c r="T107" s="18"/>
      <c r="U107" s="19"/>
      <c r="V107" s="21"/>
      <c r="W107" s="21"/>
      <c r="X107" s="20"/>
      <c r="AU107" s="21"/>
      <c r="AV107" s="21"/>
      <c r="AW107" s="22"/>
    </row>
    <row r="108" spans="2:49" hidden="1" x14ac:dyDescent="0.25">
      <c r="B108" s="23" t="str">
        <f t="shared" si="1"/>
        <v/>
      </c>
      <c r="C108" s="440" t="str">
        <f>'סיכום לועדה- הזנת נתונים'!C108</f>
        <v/>
      </c>
      <c r="D108" s="440">
        <f>'סיכום לועדה- הזנת נתונים'!D108</f>
        <v>0</v>
      </c>
      <c r="E108" s="440">
        <f>'סיכום לועדה- הזנת נתונים'!E108</f>
        <v>0</v>
      </c>
      <c r="F108" s="440">
        <f>'סיכום לועדה- הזנת נתונים'!F108</f>
        <v>0</v>
      </c>
      <c r="G108" s="441" t="str">
        <f>'סיכום לועדה- הזנת נתונים'!G108</f>
        <v/>
      </c>
      <c r="H108" s="441" t="str">
        <f>'סיכום לועדה- הזנת נתונים'!H108</f>
        <v/>
      </c>
      <c r="I108" s="476" t="str">
        <f>'סיכום לועדה- הזנת נתונים'!I108</f>
        <v/>
      </c>
      <c r="J108" s="476" t="str">
        <f>'סיכום לועדה- הזנת נתונים'!J108</f>
        <v/>
      </c>
      <c r="K108" s="476" t="str">
        <f>'סיכום לועדה- הזנת נתונים'!K108</f>
        <v/>
      </c>
      <c r="L108" s="442" t="str">
        <f>'סיכום לועדה- הזנת נתונים'!L108</f>
        <v/>
      </c>
      <c r="M108" s="443" t="str">
        <f>'סיכום לועדה- הזנת נתונים'!M108</f>
        <v/>
      </c>
      <c r="N108" s="444" t="str">
        <f>'סיכום לועדה- הזנת נתונים'!N108</f>
        <v/>
      </c>
      <c r="O108" s="444">
        <f>'סיכום לועדה- הזנת נתונים'!O108</f>
        <v>0</v>
      </c>
      <c r="P108" s="444" t="str">
        <f>'סיכום לועדה- הזנת נתונים'!P108</f>
        <v/>
      </c>
      <c r="Q108" s="479" t="str">
        <f>'סיכום לועדה- הזנת נתונים'!Q108</f>
        <v/>
      </c>
      <c r="R108" s="441">
        <f>'סיכום לועדה- הזנת נתונים'!R108</f>
        <v>0</v>
      </c>
      <c r="S108" s="441">
        <f>'סיכום לועדה- הזנת נתונים'!S108</f>
        <v>0</v>
      </c>
      <c r="T108" s="18"/>
      <c r="U108" s="19"/>
      <c r="V108" s="21"/>
      <c r="W108" s="21"/>
      <c r="X108" s="20"/>
      <c r="AU108" s="21"/>
      <c r="AV108" s="21"/>
      <c r="AW108" s="22"/>
    </row>
    <row r="109" spans="2:49" hidden="1" x14ac:dyDescent="0.25">
      <c r="B109" s="23" t="str">
        <f t="shared" si="1"/>
        <v/>
      </c>
      <c r="C109" s="440" t="str">
        <f>'סיכום לועדה- הזנת נתונים'!C109</f>
        <v/>
      </c>
      <c r="D109" s="440">
        <f>'סיכום לועדה- הזנת נתונים'!D109</f>
        <v>0</v>
      </c>
      <c r="E109" s="440">
        <f>'סיכום לועדה- הזנת נתונים'!E109</f>
        <v>0</v>
      </c>
      <c r="F109" s="440">
        <f>'סיכום לועדה- הזנת נתונים'!F109</f>
        <v>0</v>
      </c>
      <c r="G109" s="441" t="str">
        <f>'סיכום לועדה- הזנת נתונים'!G109</f>
        <v/>
      </c>
      <c r="H109" s="441" t="str">
        <f>'סיכום לועדה- הזנת נתונים'!H109</f>
        <v/>
      </c>
      <c r="I109" s="476" t="str">
        <f>'סיכום לועדה- הזנת נתונים'!I109</f>
        <v/>
      </c>
      <c r="J109" s="476" t="str">
        <f>'סיכום לועדה- הזנת נתונים'!J109</f>
        <v/>
      </c>
      <c r="K109" s="476" t="str">
        <f>'סיכום לועדה- הזנת נתונים'!K109</f>
        <v/>
      </c>
      <c r="L109" s="442" t="str">
        <f>'סיכום לועדה- הזנת נתונים'!L109</f>
        <v/>
      </c>
      <c r="M109" s="443" t="str">
        <f>'סיכום לועדה- הזנת נתונים'!M109</f>
        <v/>
      </c>
      <c r="N109" s="444" t="str">
        <f>'סיכום לועדה- הזנת נתונים'!N109</f>
        <v/>
      </c>
      <c r="O109" s="444">
        <f>'סיכום לועדה- הזנת נתונים'!O109</f>
        <v>0</v>
      </c>
      <c r="P109" s="444" t="str">
        <f>'סיכום לועדה- הזנת נתונים'!P109</f>
        <v/>
      </c>
      <c r="Q109" s="479" t="str">
        <f>'סיכום לועדה- הזנת נתונים'!Q109</f>
        <v/>
      </c>
      <c r="R109" s="441">
        <f>'סיכום לועדה- הזנת נתונים'!R109</f>
        <v>0</v>
      </c>
      <c r="S109" s="441">
        <f>'סיכום לועדה- הזנת נתונים'!S109</f>
        <v>0</v>
      </c>
      <c r="T109" s="18"/>
      <c r="U109" s="19"/>
      <c r="V109" s="21"/>
      <c r="W109" s="21"/>
      <c r="X109" s="20"/>
      <c r="AU109" s="21"/>
      <c r="AV109" s="21"/>
      <c r="AW109" s="22"/>
    </row>
    <row r="110" spans="2:49" hidden="1" x14ac:dyDescent="0.25">
      <c r="B110" s="23" t="str">
        <f t="shared" si="1"/>
        <v/>
      </c>
      <c r="C110" s="440" t="str">
        <f>'סיכום לועדה- הזנת נתונים'!C110</f>
        <v/>
      </c>
      <c r="D110" s="440">
        <f>'סיכום לועדה- הזנת נתונים'!D110</f>
        <v>0</v>
      </c>
      <c r="E110" s="440">
        <f>'סיכום לועדה- הזנת נתונים'!E110</f>
        <v>0</v>
      </c>
      <c r="F110" s="440">
        <f>'סיכום לועדה- הזנת נתונים'!F110</f>
        <v>0</v>
      </c>
      <c r="G110" s="441" t="str">
        <f>'סיכום לועדה- הזנת נתונים'!G110</f>
        <v/>
      </c>
      <c r="H110" s="441" t="str">
        <f>'סיכום לועדה- הזנת נתונים'!H110</f>
        <v/>
      </c>
      <c r="I110" s="476" t="str">
        <f>'סיכום לועדה- הזנת נתונים'!I110</f>
        <v/>
      </c>
      <c r="J110" s="476" t="str">
        <f>'סיכום לועדה- הזנת נתונים'!J110</f>
        <v/>
      </c>
      <c r="K110" s="476" t="str">
        <f>'סיכום לועדה- הזנת נתונים'!K110</f>
        <v/>
      </c>
      <c r="L110" s="442" t="str">
        <f>'סיכום לועדה- הזנת נתונים'!L110</f>
        <v/>
      </c>
      <c r="M110" s="443" t="str">
        <f>'סיכום לועדה- הזנת נתונים'!M110</f>
        <v/>
      </c>
      <c r="N110" s="444" t="str">
        <f>'סיכום לועדה- הזנת נתונים'!N110</f>
        <v/>
      </c>
      <c r="O110" s="444">
        <f>'סיכום לועדה- הזנת נתונים'!O110</f>
        <v>0</v>
      </c>
      <c r="P110" s="444" t="str">
        <f>'סיכום לועדה- הזנת נתונים'!P110</f>
        <v/>
      </c>
      <c r="Q110" s="479" t="str">
        <f>'סיכום לועדה- הזנת נתונים'!Q110</f>
        <v/>
      </c>
      <c r="R110" s="441">
        <f>'סיכום לועדה- הזנת נתונים'!R110</f>
        <v>0</v>
      </c>
      <c r="S110" s="441">
        <f>'סיכום לועדה- הזנת נתונים'!S110</f>
        <v>0</v>
      </c>
      <c r="T110" s="18"/>
      <c r="U110" s="19"/>
      <c r="V110" s="21"/>
      <c r="W110" s="21"/>
      <c r="X110" s="20"/>
      <c r="AU110" s="21"/>
      <c r="AV110" s="21"/>
      <c r="AW110" s="22"/>
    </row>
    <row r="111" spans="2:49" hidden="1" x14ac:dyDescent="0.25">
      <c r="B111" s="23" t="str">
        <f t="shared" si="1"/>
        <v/>
      </c>
      <c r="C111" s="440" t="str">
        <f>'סיכום לועדה- הזנת נתונים'!C111</f>
        <v/>
      </c>
      <c r="D111" s="440">
        <f>'סיכום לועדה- הזנת נתונים'!D111</f>
        <v>0</v>
      </c>
      <c r="E111" s="440">
        <f>'סיכום לועדה- הזנת נתונים'!E111</f>
        <v>0</v>
      </c>
      <c r="F111" s="440">
        <f>'סיכום לועדה- הזנת נתונים'!F111</f>
        <v>0</v>
      </c>
      <c r="G111" s="441" t="str">
        <f>'סיכום לועדה- הזנת נתונים'!G111</f>
        <v/>
      </c>
      <c r="H111" s="441" t="str">
        <f>'סיכום לועדה- הזנת נתונים'!H111</f>
        <v/>
      </c>
      <c r="I111" s="476" t="str">
        <f>'סיכום לועדה- הזנת נתונים'!I111</f>
        <v/>
      </c>
      <c r="J111" s="476" t="str">
        <f>'סיכום לועדה- הזנת נתונים'!J111</f>
        <v/>
      </c>
      <c r="K111" s="476" t="str">
        <f>'סיכום לועדה- הזנת נתונים'!K111</f>
        <v/>
      </c>
      <c r="L111" s="442" t="str">
        <f>'סיכום לועדה- הזנת נתונים'!L111</f>
        <v/>
      </c>
      <c r="M111" s="443" t="str">
        <f>'סיכום לועדה- הזנת נתונים'!M111</f>
        <v/>
      </c>
      <c r="N111" s="444" t="str">
        <f>'סיכום לועדה- הזנת נתונים'!N111</f>
        <v/>
      </c>
      <c r="O111" s="444">
        <f>'סיכום לועדה- הזנת נתונים'!O111</f>
        <v>0</v>
      </c>
      <c r="P111" s="444" t="str">
        <f>'סיכום לועדה- הזנת נתונים'!P111</f>
        <v/>
      </c>
      <c r="Q111" s="479" t="str">
        <f>'סיכום לועדה- הזנת נתונים'!Q111</f>
        <v/>
      </c>
      <c r="R111" s="441">
        <f>'סיכום לועדה- הזנת נתונים'!R111</f>
        <v>0</v>
      </c>
      <c r="S111" s="441">
        <f>'סיכום לועדה- הזנת נתונים'!S111</f>
        <v>0</v>
      </c>
      <c r="T111" s="18"/>
      <c r="U111" s="19"/>
      <c r="V111" s="21"/>
      <c r="W111" s="21"/>
      <c r="X111" s="20"/>
      <c r="AU111" s="21"/>
      <c r="AV111" s="21"/>
      <c r="AW111" s="22"/>
    </row>
    <row r="112" spans="2:49" hidden="1" x14ac:dyDescent="0.25">
      <c r="B112" s="23" t="str">
        <f t="shared" si="1"/>
        <v/>
      </c>
      <c r="C112" s="440" t="str">
        <f>'סיכום לועדה- הזנת נתונים'!C112</f>
        <v/>
      </c>
      <c r="D112" s="440">
        <f>'סיכום לועדה- הזנת נתונים'!D112</f>
        <v>0</v>
      </c>
      <c r="E112" s="440">
        <f>'סיכום לועדה- הזנת נתונים'!E112</f>
        <v>0</v>
      </c>
      <c r="F112" s="440">
        <f>'סיכום לועדה- הזנת נתונים'!F112</f>
        <v>0</v>
      </c>
      <c r="G112" s="441" t="str">
        <f>'סיכום לועדה- הזנת נתונים'!G112</f>
        <v/>
      </c>
      <c r="H112" s="441" t="str">
        <f>'סיכום לועדה- הזנת נתונים'!H112</f>
        <v/>
      </c>
      <c r="I112" s="476" t="str">
        <f>'סיכום לועדה- הזנת נתונים'!I112</f>
        <v/>
      </c>
      <c r="J112" s="476" t="str">
        <f>'סיכום לועדה- הזנת נתונים'!J112</f>
        <v/>
      </c>
      <c r="K112" s="476" t="str">
        <f>'סיכום לועדה- הזנת נתונים'!K112</f>
        <v/>
      </c>
      <c r="L112" s="442" t="str">
        <f>'סיכום לועדה- הזנת נתונים'!L112</f>
        <v/>
      </c>
      <c r="M112" s="443" t="str">
        <f>'סיכום לועדה- הזנת נתונים'!M112</f>
        <v/>
      </c>
      <c r="N112" s="444" t="str">
        <f>'סיכום לועדה- הזנת נתונים'!N112</f>
        <v/>
      </c>
      <c r="O112" s="444">
        <f>'סיכום לועדה- הזנת נתונים'!O112</f>
        <v>0</v>
      </c>
      <c r="P112" s="444" t="str">
        <f>'סיכום לועדה- הזנת נתונים'!P112</f>
        <v/>
      </c>
      <c r="Q112" s="479" t="str">
        <f>'סיכום לועדה- הזנת נתונים'!Q112</f>
        <v/>
      </c>
      <c r="R112" s="441">
        <f>'סיכום לועדה- הזנת נתונים'!R112</f>
        <v>0</v>
      </c>
      <c r="S112" s="441">
        <f>'סיכום לועדה- הזנת נתונים'!S112</f>
        <v>0</v>
      </c>
      <c r="T112" s="18"/>
      <c r="U112" s="19"/>
      <c r="V112" s="21"/>
      <c r="W112" s="21"/>
      <c r="X112" s="20"/>
      <c r="AU112" s="21"/>
      <c r="AV112" s="21"/>
      <c r="AW112" s="22"/>
    </row>
    <row r="113" spans="2:49" hidden="1" x14ac:dyDescent="0.25">
      <c r="B113" s="23" t="str">
        <f t="shared" si="1"/>
        <v/>
      </c>
      <c r="C113" s="440" t="str">
        <f>'סיכום לועדה- הזנת נתונים'!C113</f>
        <v/>
      </c>
      <c r="D113" s="440">
        <f>'סיכום לועדה- הזנת נתונים'!D113</f>
        <v>0</v>
      </c>
      <c r="E113" s="440">
        <f>'סיכום לועדה- הזנת נתונים'!E113</f>
        <v>0</v>
      </c>
      <c r="F113" s="440">
        <f>'סיכום לועדה- הזנת נתונים'!F113</f>
        <v>0</v>
      </c>
      <c r="G113" s="441" t="str">
        <f>'סיכום לועדה- הזנת נתונים'!G113</f>
        <v/>
      </c>
      <c r="H113" s="441" t="str">
        <f>'סיכום לועדה- הזנת נתונים'!H113</f>
        <v/>
      </c>
      <c r="I113" s="476" t="str">
        <f>'סיכום לועדה- הזנת נתונים'!I113</f>
        <v/>
      </c>
      <c r="J113" s="476" t="str">
        <f>'סיכום לועדה- הזנת נתונים'!J113</f>
        <v/>
      </c>
      <c r="K113" s="476" t="str">
        <f>'סיכום לועדה- הזנת נתונים'!K113</f>
        <v/>
      </c>
      <c r="L113" s="442" t="str">
        <f>'סיכום לועדה- הזנת נתונים'!L113</f>
        <v/>
      </c>
      <c r="M113" s="443" t="str">
        <f>'סיכום לועדה- הזנת נתונים'!M113</f>
        <v/>
      </c>
      <c r="N113" s="444" t="str">
        <f>'סיכום לועדה- הזנת נתונים'!N113</f>
        <v/>
      </c>
      <c r="O113" s="444">
        <f>'סיכום לועדה- הזנת נתונים'!O113</f>
        <v>0</v>
      </c>
      <c r="P113" s="444" t="str">
        <f>'סיכום לועדה- הזנת נתונים'!P113</f>
        <v/>
      </c>
      <c r="Q113" s="479" t="str">
        <f>'סיכום לועדה- הזנת נתונים'!Q113</f>
        <v/>
      </c>
      <c r="R113" s="441">
        <f>'סיכום לועדה- הזנת נתונים'!R113</f>
        <v>0</v>
      </c>
      <c r="S113" s="441">
        <f>'סיכום לועדה- הזנת נתונים'!S113</f>
        <v>0</v>
      </c>
      <c r="T113" s="18"/>
      <c r="U113" s="19"/>
      <c r="V113" s="21"/>
      <c r="W113" s="21"/>
      <c r="X113" s="20"/>
      <c r="AU113" s="21"/>
      <c r="AV113" s="21"/>
      <c r="AW113" s="22"/>
    </row>
    <row r="114" spans="2:49" hidden="1" x14ac:dyDescent="0.25">
      <c r="B114" s="23" t="str">
        <f t="shared" si="1"/>
        <v/>
      </c>
      <c r="C114" s="440" t="str">
        <f>'סיכום לועדה- הזנת נתונים'!C114</f>
        <v/>
      </c>
      <c r="D114" s="440">
        <f>'סיכום לועדה- הזנת נתונים'!D114</f>
        <v>0</v>
      </c>
      <c r="E114" s="440">
        <f>'סיכום לועדה- הזנת נתונים'!E114</f>
        <v>0</v>
      </c>
      <c r="F114" s="440">
        <f>'סיכום לועדה- הזנת נתונים'!F114</f>
        <v>0</v>
      </c>
      <c r="G114" s="441" t="str">
        <f>'סיכום לועדה- הזנת נתונים'!G114</f>
        <v/>
      </c>
      <c r="H114" s="441" t="str">
        <f>'סיכום לועדה- הזנת נתונים'!H114</f>
        <v/>
      </c>
      <c r="I114" s="476" t="str">
        <f>'סיכום לועדה- הזנת נתונים'!I114</f>
        <v/>
      </c>
      <c r="J114" s="476" t="str">
        <f>'סיכום לועדה- הזנת נתונים'!J114</f>
        <v/>
      </c>
      <c r="K114" s="476" t="str">
        <f>'סיכום לועדה- הזנת נתונים'!K114</f>
        <v/>
      </c>
      <c r="L114" s="442" t="str">
        <f>'סיכום לועדה- הזנת נתונים'!L114</f>
        <v/>
      </c>
      <c r="M114" s="443" t="str">
        <f>'סיכום לועדה- הזנת נתונים'!M114</f>
        <v/>
      </c>
      <c r="N114" s="444" t="str">
        <f>'סיכום לועדה- הזנת נתונים'!N114</f>
        <v/>
      </c>
      <c r="O114" s="444">
        <f>'סיכום לועדה- הזנת נתונים'!O114</f>
        <v>0</v>
      </c>
      <c r="P114" s="444" t="str">
        <f>'סיכום לועדה- הזנת נתונים'!P114</f>
        <v/>
      </c>
      <c r="Q114" s="479" t="str">
        <f>'סיכום לועדה- הזנת נתונים'!Q114</f>
        <v/>
      </c>
      <c r="R114" s="441">
        <f>'סיכום לועדה- הזנת נתונים'!R114</f>
        <v>0</v>
      </c>
      <c r="S114" s="441">
        <f>'סיכום לועדה- הזנת נתונים'!S114</f>
        <v>0</v>
      </c>
      <c r="T114" s="18"/>
      <c r="U114" s="19"/>
      <c r="V114" s="21"/>
      <c r="W114" s="21"/>
      <c r="X114" s="20"/>
      <c r="AU114" s="21"/>
      <c r="AV114" s="21"/>
      <c r="AW114" s="22"/>
    </row>
    <row r="115" spans="2:49" hidden="1" x14ac:dyDescent="0.25">
      <c r="B115" s="23" t="str">
        <f t="shared" si="1"/>
        <v/>
      </c>
      <c r="C115" s="440" t="str">
        <f>'סיכום לועדה- הזנת נתונים'!C115</f>
        <v/>
      </c>
      <c r="D115" s="440">
        <f>'סיכום לועדה- הזנת נתונים'!D115</f>
        <v>0</v>
      </c>
      <c r="E115" s="440">
        <f>'סיכום לועדה- הזנת נתונים'!E115</f>
        <v>0</v>
      </c>
      <c r="F115" s="440">
        <f>'סיכום לועדה- הזנת נתונים'!F115</f>
        <v>0</v>
      </c>
      <c r="G115" s="441" t="str">
        <f>'סיכום לועדה- הזנת נתונים'!G115</f>
        <v/>
      </c>
      <c r="H115" s="441" t="str">
        <f>'סיכום לועדה- הזנת נתונים'!H115</f>
        <v/>
      </c>
      <c r="I115" s="476" t="str">
        <f>'סיכום לועדה- הזנת נתונים'!I115</f>
        <v/>
      </c>
      <c r="J115" s="476" t="str">
        <f>'סיכום לועדה- הזנת נתונים'!J115</f>
        <v/>
      </c>
      <c r="K115" s="476" t="str">
        <f>'סיכום לועדה- הזנת נתונים'!K115</f>
        <v/>
      </c>
      <c r="L115" s="442" t="str">
        <f>'סיכום לועדה- הזנת נתונים'!L115</f>
        <v/>
      </c>
      <c r="M115" s="443" t="str">
        <f>'סיכום לועדה- הזנת נתונים'!M115</f>
        <v/>
      </c>
      <c r="N115" s="444" t="str">
        <f>'סיכום לועדה- הזנת נתונים'!N115</f>
        <v/>
      </c>
      <c r="O115" s="444">
        <f>'סיכום לועדה- הזנת נתונים'!O115</f>
        <v>0</v>
      </c>
      <c r="P115" s="444" t="str">
        <f>'סיכום לועדה- הזנת נתונים'!P115</f>
        <v/>
      </c>
      <c r="Q115" s="479" t="str">
        <f>'סיכום לועדה- הזנת נתונים'!Q115</f>
        <v/>
      </c>
      <c r="R115" s="441">
        <f>'סיכום לועדה- הזנת נתונים'!R115</f>
        <v>0</v>
      </c>
      <c r="S115" s="441">
        <f>'סיכום לועדה- הזנת נתונים'!S115</f>
        <v>0</v>
      </c>
      <c r="T115" s="18"/>
      <c r="U115" s="19"/>
      <c r="V115" s="21"/>
      <c r="W115" s="21"/>
      <c r="X115" s="20"/>
      <c r="AU115" s="21"/>
      <c r="AV115" s="21"/>
      <c r="AW115" s="22"/>
    </row>
    <row r="116" spans="2:49" hidden="1" x14ac:dyDescent="0.25">
      <c r="B116" s="23" t="str">
        <f t="shared" si="1"/>
        <v/>
      </c>
      <c r="C116" s="440" t="str">
        <f>'סיכום לועדה- הזנת נתונים'!C116</f>
        <v/>
      </c>
      <c r="D116" s="440">
        <f>'סיכום לועדה- הזנת נתונים'!D116</f>
        <v>0</v>
      </c>
      <c r="E116" s="440">
        <f>'סיכום לועדה- הזנת נתונים'!E116</f>
        <v>0</v>
      </c>
      <c r="F116" s="440">
        <f>'סיכום לועדה- הזנת נתונים'!F116</f>
        <v>0</v>
      </c>
      <c r="G116" s="441" t="str">
        <f>'סיכום לועדה- הזנת נתונים'!G116</f>
        <v/>
      </c>
      <c r="H116" s="441" t="str">
        <f>'סיכום לועדה- הזנת נתונים'!H116</f>
        <v/>
      </c>
      <c r="I116" s="476" t="str">
        <f>'סיכום לועדה- הזנת נתונים'!I116</f>
        <v/>
      </c>
      <c r="J116" s="476" t="str">
        <f>'סיכום לועדה- הזנת נתונים'!J116</f>
        <v/>
      </c>
      <c r="K116" s="476" t="str">
        <f>'סיכום לועדה- הזנת נתונים'!K116</f>
        <v/>
      </c>
      <c r="L116" s="442" t="str">
        <f>'סיכום לועדה- הזנת נתונים'!L116</f>
        <v/>
      </c>
      <c r="M116" s="443" t="str">
        <f>'סיכום לועדה- הזנת נתונים'!M116</f>
        <v/>
      </c>
      <c r="N116" s="444" t="str">
        <f>'סיכום לועדה- הזנת נתונים'!N116</f>
        <v/>
      </c>
      <c r="O116" s="444">
        <f>'סיכום לועדה- הזנת נתונים'!O116</f>
        <v>0</v>
      </c>
      <c r="P116" s="444" t="str">
        <f>'סיכום לועדה- הזנת נתונים'!P116</f>
        <v/>
      </c>
      <c r="Q116" s="479" t="str">
        <f>'סיכום לועדה- הזנת נתונים'!Q116</f>
        <v/>
      </c>
      <c r="R116" s="441">
        <f>'סיכום לועדה- הזנת נתונים'!R116</f>
        <v>0</v>
      </c>
      <c r="S116" s="441">
        <f>'סיכום לועדה- הזנת נתונים'!S116</f>
        <v>0</v>
      </c>
      <c r="T116" s="18"/>
      <c r="U116" s="19"/>
      <c r="V116" s="21"/>
      <c r="W116" s="21"/>
      <c r="X116" s="20"/>
      <c r="AU116" s="21"/>
      <c r="AV116" s="21"/>
      <c r="AW116" s="22"/>
    </row>
    <row r="117" spans="2:49" hidden="1" x14ac:dyDescent="0.25">
      <c r="B117" s="23" t="str">
        <f t="shared" si="1"/>
        <v/>
      </c>
      <c r="C117" s="440" t="str">
        <f>'סיכום לועדה- הזנת נתונים'!C117</f>
        <v/>
      </c>
      <c r="D117" s="440">
        <f>'סיכום לועדה- הזנת נתונים'!D117</f>
        <v>0</v>
      </c>
      <c r="E117" s="440">
        <f>'סיכום לועדה- הזנת נתונים'!E117</f>
        <v>0</v>
      </c>
      <c r="F117" s="440">
        <f>'סיכום לועדה- הזנת נתונים'!F117</f>
        <v>0</v>
      </c>
      <c r="G117" s="441" t="str">
        <f>'סיכום לועדה- הזנת נתונים'!G117</f>
        <v/>
      </c>
      <c r="H117" s="441" t="str">
        <f>'סיכום לועדה- הזנת נתונים'!H117</f>
        <v/>
      </c>
      <c r="I117" s="476" t="str">
        <f>'סיכום לועדה- הזנת נתונים'!I117</f>
        <v/>
      </c>
      <c r="J117" s="476" t="str">
        <f>'סיכום לועדה- הזנת נתונים'!J117</f>
        <v/>
      </c>
      <c r="K117" s="476" t="str">
        <f>'סיכום לועדה- הזנת נתונים'!K117</f>
        <v/>
      </c>
      <c r="L117" s="442" t="str">
        <f>'סיכום לועדה- הזנת נתונים'!L117</f>
        <v/>
      </c>
      <c r="M117" s="443" t="str">
        <f>'סיכום לועדה- הזנת נתונים'!M117</f>
        <v/>
      </c>
      <c r="N117" s="444" t="str">
        <f>'סיכום לועדה- הזנת נתונים'!N117</f>
        <v/>
      </c>
      <c r="O117" s="444">
        <f>'סיכום לועדה- הזנת נתונים'!O117</f>
        <v>0</v>
      </c>
      <c r="P117" s="444" t="str">
        <f>'סיכום לועדה- הזנת נתונים'!P117</f>
        <v/>
      </c>
      <c r="Q117" s="479" t="str">
        <f>'סיכום לועדה- הזנת נתונים'!Q117</f>
        <v/>
      </c>
      <c r="R117" s="441">
        <f>'סיכום לועדה- הזנת נתונים'!R117</f>
        <v>0</v>
      </c>
      <c r="S117" s="441">
        <f>'סיכום לועדה- הזנת נתונים'!S117</f>
        <v>0</v>
      </c>
      <c r="T117" s="18"/>
      <c r="U117" s="19"/>
      <c r="V117" s="21"/>
      <c r="W117" s="21"/>
      <c r="X117" s="20"/>
      <c r="AU117" s="21"/>
      <c r="AV117" s="21"/>
      <c r="AW117" s="22"/>
    </row>
    <row r="118" spans="2:49" hidden="1" x14ac:dyDescent="0.25">
      <c r="B118" s="23" t="str">
        <f t="shared" si="1"/>
        <v/>
      </c>
      <c r="C118" s="440" t="str">
        <f>'סיכום לועדה- הזנת נתונים'!C118</f>
        <v/>
      </c>
      <c r="D118" s="440">
        <f>'סיכום לועדה- הזנת נתונים'!D118</f>
        <v>0</v>
      </c>
      <c r="E118" s="440">
        <f>'סיכום לועדה- הזנת נתונים'!E118</f>
        <v>0</v>
      </c>
      <c r="F118" s="440">
        <f>'סיכום לועדה- הזנת נתונים'!F118</f>
        <v>0</v>
      </c>
      <c r="G118" s="441" t="str">
        <f>'סיכום לועדה- הזנת נתונים'!G118</f>
        <v/>
      </c>
      <c r="H118" s="441" t="str">
        <f>'סיכום לועדה- הזנת נתונים'!H118</f>
        <v/>
      </c>
      <c r="I118" s="476" t="str">
        <f>'סיכום לועדה- הזנת נתונים'!I118</f>
        <v/>
      </c>
      <c r="J118" s="476" t="str">
        <f>'סיכום לועדה- הזנת נתונים'!J118</f>
        <v/>
      </c>
      <c r="K118" s="476" t="str">
        <f>'סיכום לועדה- הזנת נתונים'!K118</f>
        <v/>
      </c>
      <c r="L118" s="442" t="str">
        <f>'סיכום לועדה- הזנת נתונים'!L118</f>
        <v/>
      </c>
      <c r="M118" s="443" t="str">
        <f>'סיכום לועדה- הזנת נתונים'!M118</f>
        <v/>
      </c>
      <c r="N118" s="444" t="str">
        <f>'סיכום לועדה- הזנת נתונים'!N118</f>
        <v/>
      </c>
      <c r="O118" s="444">
        <f>'סיכום לועדה- הזנת נתונים'!O118</f>
        <v>0</v>
      </c>
      <c r="P118" s="444" t="str">
        <f>'סיכום לועדה- הזנת נתונים'!P118</f>
        <v/>
      </c>
      <c r="Q118" s="479" t="str">
        <f>'סיכום לועדה- הזנת נתונים'!Q118</f>
        <v/>
      </c>
      <c r="R118" s="441">
        <f>'סיכום לועדה- הזנת נתונים'!R118</f>
        <v>0</v>
      </c>
      <c r="S118" s="441">
        <f>'סיכום לועדה- הזנת נתונים'!S118</f>
        <v>0</v>
      </c>
      <c r="T118" s="18"/>
      <c r="U118" s="19"/>
      <c r="V118" s="21"/>
      <c r="W118" s="21"/>
      <c r="X118" s="20"/>
      <c r="AU118" s="21"/>
      <c r="AV118" s="21"/>
      <c r="AW118" s="22"/>
    </row>
    <row r="119" spans="2:49" hidden="1" x14ac:dyDescent="0.25">
      <c r="B119" s="23" t="str">
        <f t="shared" si="1"/>
        <v/>
      </c>
      <c r="C119" s="440" t="str">
        <f>'סיכום לועדה- הזנת נתונים'!C119</f>
        <v/>
      </c>
      <c r="D119" s="440">
        <f>'סיכום לועדה- הזנת נתונים'!D119</f>
        <v>0</v>
      </c>
      <c r="E119" s="440">
        <f>'סיכום לועדה- הזנת נתונים'!E119</f>
        <v>0</v>
      </c>
      <c r="F119" s="440">
        <f>'סיכום לועדה- הזנת נתונים'!F119</f>
        <v>0</v>
      </c>
      <c r="G119" s="441" t="str">
        <f>'סיכום לועדה- הזנת נתונים'!G119</f>
        <v/>
      </c>
      <c r="H119" s="441" t="str">
        <f>'סיכום לועדה- הזנת נתונים'!H119</f>
        <v/>
      </c>
      <c r="I119" s="476" t="str">
        <f>'סיכום לועדה- הזנת נתונים'!I119</f>
        <v/>
      </c>
      <c r="J119" s="476" t="str">
        <f>'סיכום לועדה- הזנת נתונים'!J119</f>
        <v/>
      </c>
      <c r="K119" s="476" t="str">
        <f>'סיכום לועדה- הזנת נתונים'!K119</f>
        <v/>
      </c>
      <c r="L119" s="442" t="str">
        <f>'סיכום לועדה- הזנת נתונים'!L119</f>
        <v/>
      </c>
      <c r="M119" s="443" t="str">
        <f>'סיכום לועדה- הזנת נתונים'!M119</f>
        <v/>
      </c>
      <c r="N119" s="444" t="str">
        <f>'סיכום לועדה- הזנת נתונים'!N119</f>
        <v/>
      </c>
      <c r="O119" s="444">
        <f>'סיכום לועדה- הזנת נתונים'!O119</f>
        <v>0</v>
      </c>
      <c r="P119" s="444" t="str">
        <f>'סיכום לועדה- הזנת נתונים'!P119</f>
        <v/>
      </c>
      <c r="Q119" s="479" t="str">
        <f>'סיכום לועדה- הזנת נתונים'!Q119</f>
        <v/>
      </c>
      <c r="R119" s="441">
        <f>'סיכום לועדה- הזנת נתונים'!R119</f>
        <v>0</v>
      </c>
      <c r="S119" s="441">
        <f>'סיכום לועדה- הזנת נתונים'!S119</f>
        <v>0</v>
      </c>
      <c r="T119" s="18"/>
      <c r="U119" s="19"/>
      <c r="V119" s="21"/>
      <c r="W119" s="21"/>
      <c r="X119" s="20"/>
      <c r="AU119" s="21"/>
      <c r="AV119" s="21"/>
      <c r="AW119" s="22"/>
    </row>
    <row r="120" spans="2:49" hidden="1" x14ac:dyDescent="0.25">
      <c r="B120" s="23" t="str">
        <f t="shared" si="1"/>
        <v/>
      </c>
      <c r="C120" s="440" t="str">
        <f>'סיכום לועדה- הזנת נתונים'!C120</f>
        <v/>
      </c>
      <c r="D120" s="440">
        <f>'סיכום לועדה- הזנת נתונים'!D120</f>
        <v>0</v>
      </c>
      <c r="E120" s="440">
        <f>'סיכום לועדה- הזנת נתונים'!E120</f>
        <v>0</v>
      </c>
      <c r="F120" s="440">
        <f>'סיכום לועדה- הזנת נתונים'!F120</f>
        <v>0</v>
      </c>
      <c r="G120" s="441" t="str">
        <f>'סיכום לועדה- הזנת נתונים'!G120</f>
        <v/>
      </c>
      <c r="H120" s="441" t="str">
        <f>'סיכום לועדה- הזנת נתונים'!H120</f>
        <v/>
      </c>
      <c r="I120" s="476" t="str">
        <f>'סיכום לועדה- הזנת נתונים'!I120</f>
        <v/>
      </c>
      <c r="J120" s="476" t="str">
        <f>'סיכום לועדה- הזנת נתונים'!J120</f>
        <v/>
      </c>
      <c r="K120" s="476" t="str">
        <f>'סיכום לועדה- הזנת נתונים'!K120</f>
        <v/>
      </c>
      <c r="L120" s="442" t="str">
        <f>'סיכום לועדה- הזנת נתונים'!L120</f>
        <v/>
      </c>
      <c r="M120" s="443" t="str">
        <f>'סיכום לועדה- הזנת נתונים'!M120</f>
        <v/>
      </c>
      <c r="N120" s="444" t="str">
        <f>'סיכום לועדה- הזנת נתונים'!N120</f>
        <v/>
      </c>
      <c r="O120" s="444">
        <f>'סיכום לועדה- הזנת נתונים'!O120</f>
        <v>0</v>
      </c>
      <c r="P120" s="444" t="str">
        <f>'סיכום לועדה- הזנת נתונים'!P120</f>
        <v/>
      </c>
      <c r="Q120" s="479" t="str">
        <f>'סיכום לועדה- הזנת נתונים'!Q120</f>
        <v/>
      </c>
      <c r="R120" s="441">
        <f>'סיכום לועדה- הזנת נתונים'!R120</f>
        <v>0</v>
      </c>
      <c r="S120" s="441">
        <f>'סיכום לועדה- הזנת נתונים'!S120</f>
        <v>0</v>
      </c>
      <c r="T120" s="18"/>
      <c r="U120" s="19"/>
      <c r="V120" s="21"/>
      <c r="W120" s="21"/>
      <c r="X120" s="20"/>
      <c r="AU120" s="21"/>
      <c r="AV120" s="21"/>
      <c r="AW120" s="22"/>
    </row>
    <row r="121" spans="2:49" hidden="1" x14ac:dyDescent="0.25">
      <c r="B121" s="23" t="str">
        <f t="shared" si="1"/>
        <v/>
      </c>
      <c r="C121" s="440" t="str">
        <f>'סיכום לועדה- הזנת נתונים'!C121</f>
        <v/>
      </c>
      <c r="D121" s="440">
        <f>'סיכום לועדה- הזנת נתונים'!D121</f>
        <v>0</v>
      </c>
      <c r="E121" s="440">
        <f>'סיכום לועדה- הזנת נתונים'!E121</f>
        <v>0</v>
      </c>
      <c r="F121" s="440">
        <f>'סיכום לועדה- הזנת נתונים'!F121</f>
        <v>0</v>
      </c>
      <c r="G121" s="441" t="str">
        <f>'סיכום לועדה- הזנת נתונים'!G121</f>
        <v/>
      </c>
      <c r="H121" s="441" t="str">
        <f>'סיכום לועדה- הזנת נתונים'!H121</f>
        <v/>
      </c>
      <c r="I121" s="476" t="str">
        <f>'סיכום לועדה- הזנת נתונים'!I121</f>
        <v/>
      </c>
      <c r="J121" s="476" t="str">
        <f>'סיכום לועדה- הזנת נתונים'!J121</f>
        <v/>
      </c>
      <c r="K121" s="476" t="str">
        <f>'סיכום לועדה- הזנת נתונים'!K121</f>
        <v/>
      </c>
      <c r="L121" s="442" t="str">
        <f>'סיכום לועדה- הזנת נתונים'!L121</f>
        <v/>
      </c>
      <c r="M121" s="443" t="str">
        <f>'סיכום לועדה- הזנת נתונים'!M121</f>
        <v/>
      </c>
      <c r="N121" s="444" t="str">
        <f>'סיכום לועדה- הזנת נתונים'!N121</f>
        <v/>
      </c>
      <c r="O121" s="444">
        <f>'סיכום לועדה- הזנת נתונים'!O121</f>
        <v>0</v>
      </c>
      <c r="P121" s="444" t="str">
        <f>'סיכום לועדה- הזנת נתונים'!P121</f>
        <v/>
      </c>
      <c r="Q121" s="479" t="str">
        <f>'סיכום לועדה- הזנת נתונים'!Q121</f>
        <v/>
      </c>
      <c r="R121" s="441">
        <f>'סיכום לועדה- הזנת נתונים'!R121</f>
        <v>0</v>
      </c>
      <c r="S121" s="441">
        <f>'סיכום לועדה- הזנת נתונים'!S121</f>
        <v>0</v>
      </c>
      <c r="T121" s="18"/>
      <c r="U121" s="19"/>
      <c r="V121" s="21"/>
      <c r="W121" s="21"/>
      <c r="X121" s="20"/>
      <c r="AU121" s="21"/>
      <c r="AV121" s="21"/>
      <c r="AW121" s="22"/>
    </row>
    <row r="122" spans="2:49" ht="9.75" hidden="1" customHeight="1" x14ac:dyDescent="0.25">
      <c r="B122" s="23" t="str">
        <f t="shared" si="1"/>
        <v/>
      </c>
      <c r="C122" s="440" t="str">
        <f>'סיכום לועדה- הזנת נתונים'!C122</f>
        <v/>
      </c>
      <c r="D122" s="440">
        <f>'סיכום לועדה- הזנת נתונים'!D122</f>
        <v>0</v>
      </c>
      <c r="E122" s="440">
        <f>'סיכום לועדה- הזנת נתונים'!E122</f>
        <v>0</v>
      </c>
      <c r="F122" s="440">
        <f>'סיכום לועדה- הזנת נתונים'!F122</f>
        <v>0</v>
      </c>
      <c r="G122" s="441" t="str">
        <f>'סיכום לועדה- הזנת נתונים'!G122</f>
        <v/>
      </c>
      <c r="H122" s="441" t="str">
        <f>'סיכום לועדה- הזנת נתונים'!H122</f>
        <v/>
      </c>
      <c r="I122" s="476" t="str">
        <f>'סיכום לועדה- הזנת נתונים'!I122</f>
        <v/>
      </c>
      <c r="J122" s="476" t="str">
        <f>'סיכום לועדה- הזנת נתונים'!J122</f>
        <v/>
      </c>
      <c r="K122" s="476" t="str">
        <f>'סיכום לועדה- הזנת נתונים'!K122</f>
        <v/>
      </c>
      <c r="L122" s="442" t="str">
        <f>'סיכום לועדה- הזנת נתונים'!L122</f>
        <v/>
      </c>
      <c r="M122" s="443" t="str">
        <f>'סיכום לועדה- הזנת נתונים'!M122</f>
        <v/>
      </c>
      <c r="N122" s="444" t="str">
        <f>'סיכום לועדה- הזנת נתונים'!N122</f>
        <v/>
      </c>
      <c r="O122" s="444">
        <f>'סיכום לועדה- הזנת נתונים'!O122</f>
        <v>0</v>
      </c>
      <c r="P122" s="444" t="str">
        <f>'סיכום לועדה- הזנת נתונים'!P122</f>
        <v/>
      </c>
      <c r="Q122" s="479" t="str">
        <f>'סיכום לועדה- הזנת נתונים'!Q122</f>
        <v/>
      </c>
      <c r="R122" s="441">
        <f>'סיכום לועדה- הזנת נתונים'!R122</f>
        <v>0</v>
      </c>
      <c r="S122" s="441">
        <f>'סיכום לועדה- הזנת נתונים'!S122</f>
        <v>0</v>
      </c>
      <c r="T122" s="18"/>
      <c r="U122" s="19"/>
      <c r="V122" s="21"/>
      <c r="W122" s="21"/>
      <c r="X122" s="20"/>
      <c r="AU122" s="21"/>
      <c r="AV122" s="21"/>
      <c r="AW122" s="22"/>
    </row>
    <row r="123" spans="2:49" ht="14.25" hidden="1" customHeight="1" x14ac:dyDescent="0.25">
      <c r="B123" s="23" t="str">
        <f t="shared" si="1"/>
        <v/>
      </c>
      <c r="C123" s="440" t="str">
        <f>'סיכום לועדה- הזנת נתונים'!C123</f>
        <v/>
      </c>
      <c r="D123" s="440">
        <f>'סיכום לועדה- הזנת נתונים'!D123</f>
        <v>0</v>
      </c>
      <c r="E123" s="440">
        <f>'סיכום לועדה- הזנת נתונים'!E123</f>
        <v>0</v>
      </c>
      <c r="F123" s="440">
        <f>'סיכום לועדה- הזנת נתונים'!F123</f>
        <v>0</v>
      </c>
      <c r="G123" s="441" t="str">
        <f>'סיכום לועדה- הזנת נתונים'!G123</f>
        <v/>
      </c>
      <c r="H123" s="441" t="str">
        <f>'סיכום לועדה- הזנת נתונים'!H123</f>
        <v/>
      </c>
      <c r="I123" s="476" t="str">
        <f>'סיכום לועדה- הזנת נתונים'!I123</f>
        <v/>
      </c>
      <c r="J123" s="476" t="str">
        <f>'סיכום לועדה- הזנת נתונים'!J123</f>
        <v/>
      </c>
      <c r="K123" s="476" t="str">
        <f>'סיכום לועדה- הזנת נתונים'!K123</f>
        <v/>
      </c>
      <c r="L123" s="442" t="str">
        <f>'סיכום לועדה- הזנת נתונים'!L123</f>
        <v/>
      </c>
      <c r="M123" s="443" t="str">
        <f>'סיכום לועדה- הזנת נתונים'!M123</f>
        <v/>
      </c>
      <c r="N123" s="444" t="str">
        <f>'סיכום לועדה- הזנת נתונים'!N123</f>
        <v/>
      </c>
      <c r="O123" s="444">
        <f>'סיכום לועדה- הזנת נתונים'!O123</f>
        <v>0</v>
      </c>
      <c r="P123" s="444" t="str">
        <f>'סיכום לועדה- הזנת נתונים'!P123</f>
        <v/>
      </c>
      <c r="Q123" s="479" t="str">
        <f>'סיכום לועדה- הזנת נתונים'!Q123</f>
        <v/>
      </c>
      <c r="R123" s="441">
        <f>'סיכום לועדה- הזנת נתונים'!R123</f>
        <v>0</v>
      </c>
      <c r="S123" s="441">
        <f>'סיכום לועדה- הזנת נתונים'!S123</f>
        <v>0</v>
      </c>
      <c r="T123" s="18"/>
      <c r="U123" s="19"/>
      <c r="V123" s="21"/>
      <c r="W123" s="21"/>
      <c r="X123" s="20"/>
      <c r="AU123" s="21"/>
      <c r="AV123" s="21"/>
      <c r="AW123" s="22"/>
    </row>
    <row r="124" spans="2:49" ht="8.25" hidden="1" customHeight="1" x14ac:dyDescent="0.25">
      <c r="B124" s="23" t="str">
        <f t="shared" si="1"/>
        <v/>
      </c>
      <c r="C124" s="440" t="str">
        <f>'סיכום לועדה- הזנת נתונים'!C124</f>
        <v/>
      </c>
      <c r="D124" s="440">
        <f>'סיכום לועדה- הזנת נתונים'!D124</f>
        <v>0</v>
      </c>
      <c r="E124" s="440">
        <f>'סיכום לועדה- הזנת נתונים'!E124</f>
        <v>0</v>
      </c>
      <c r="F124" s="440">
        <f>'סיכום לועדה- הזנת נתונים'!F124</f>
        <v>0</v>
      </c>
      <c r="G124" s="441" t="str">
        <f>'סיכום לועדה- הזנת נתונים'!G124</f>
        <v/>
      </c>
      <c r="H124" s="441" t="str">
        <f>'סיכום לועדה- הזנת נתונים'!H124</f>
        <v/>
      </c>
      <c r="I124" s="476" t="str">
        <f>'סיכום לועדה- הזנת נתונים'!I124</f>
        <v/>
      </c>
      <c r="J124" s="476" t="str">
        <f>'סיכום לועדה- הזנת נתונים'!J124</f>
        <v/>
      </c>
      <c r="K124" s="476" t="str">
        <f>'סיכום לועדה- הזנת נתונים'!K124</f>
        <v/>
      </c>
      <c r="L124" s="442" t="str">
        <f>'סיכום לועדה- הזנת נתונים'!L124</f>
        <v/>
      </c>
      <c r="M124" s="443" t="str">
        <f>'סיכום לועדה- הזנת נתונים'!M124</f>
        <v/>
      </c>
      <c r="N124" s="444" t="str">
        <f>'סיכום לועדה- הזנת נתונים'!N124</f>
        <v/>
      </c>
      <c r="O124" s="444">
        <f>'סיכום לועדה- הזנת נתונים'!O124</f>
        <v>0</v>
      </c>
      <c r="P124" s="444" t="str">
        <f>'סיכום לועדה- הזנת נתונים'!P124</f>
        <v/>
      </c>
      <c r="Q124" s="479" t="str">
        <f>'סיכום לועדה- הזנת נתונים'!Q124</f>
        <v/>
      </c>
      <c r="R124" s="441">
        <f>'סיכום לועדה- הזנת נתונים'!R124</f>
        <v>0</v>
      </c>
      <c r="S124" s="441">
        <f>'סיכום לועדה- הזנת נתונים'!S124</f>
        <v>0</v>
      </c>
      <c r="T124" s="18"/>
      <c r="U124" s="19"/>
      <c r="V124" s="21"/>
      <c r="W124" s="21"/>
      <c r="X124" s="20"/>
      <c r="AU124" s="21"/>
      <c r="AV124" s="21"/>
      <c r="AW124" s="22"/>
    </row>
    <row r="125" spans="2:49" ht="17.25" hidden="1" customHeight="1" x14ac:dyDescent="0.25">
      <c r="B125" s="23" t="str">
        <f t="shared" si="1"/>
        <v/>
      </c>
      <c r="C125" s="440" t="str">
        <f>'סיכום לועדה- הזנת נתונים'!C125</f>
        <v/>
      </c>
      <c r="D125" s="440">
        <f>'סיכום לועדה- הזנת נתונים'!D125</f>
        <v>0</v>
      </c>
      <c r="E125" s="440">
        <f>'סיכום לועדה- הזנת נתונים'!E125</f>
        <v>0</v>
      </c>
      <c r="F125" s="440">
        <f>'סיכום לועדה- הזנת נתונים'!F125</f>
        <v>0</v>
      </c>
      <c r="G125" s="441" t="str">
        <f>'סיכום לועדה- הזנת נתונים'!G125</f>
        <v/>
      </c>
      <c r="H125" s="441" t="str">
        <f>'סיכום לועדה- הזנת נתונים'!H125</f>
        <v/>
      </c>
      <c r="I125" s="476" t="str">
        <f>'סיכום לועדה- הזנת נתונים'!I125</f>
        <v/>
      </c>
      <c r="J125" s="476" t="str">
        <f>'סיכום לועדה- הזנת נתונים'!J125</f>
        <v/>
      </c>
      <c r="K125" s="476" t="str">
        <f>'סיכום לועדה- הזנת נתונים'!K125</f>
        <v/>
      </c>
      <c r="L125" s="442" t="str">
        <f>'סיכום לועדה- הזנת נתונים'!L125</f>
        <v/>
      </c>
      <c r="M125" s="443" t="str">
        <f>'סיכום לועדה- הזנת נתונים'!M125</f>
        <v/>
      </c>
      <c r="N125" s="444" t="str">
        <f>'סיכום לועדה- הזנת נתונים'!N125</f>
        <v/>
      </c>
      <c r="O125" s="444">
        <f>'סיכום לועדה- הזנת נתונים'!O125</f>
        <v>0</v>
      </c>
      <c r="P125" s="444" t="str">
        <f>'סיכום לועדה- הזנת נתונים'!P125</f>
        <v/>
      </c>
      <c r="Q125" s="479" t="str">
        <f>'סיכום לועדה- הזנת נתונים'!Q125</f>
        <v/>
      </c>
      <c r="R125" s="441">
        <f>'סיכום לועדה- הזנת נתונים'!R125</f>
        <v>0</v>
      </c>
      <c r="S125" s="441">
        <f>'סיכום לועדה- הזנת נתונים'!S125</f>
        <v>0</v>
      </c>
      <c r="T125" s="18"/>
      <c r="U125" s="19"/>
      <c r="V125" s="21"/>
      <c r="W125" s="21"/>
      <c r="X125" s="20"/>
      <c r="AU125" s="21"/>
      <c r="AV125" s="21"/>
      <c r="AW125" s="22"/>
    </row>
    <row r="126" spans="2:49" ht="4.5" hidden="1" customHeight="1" x14ac:dyDescent="0.25">
      <c r="B126" s="23" t="str">
        <f t="shared" si="1"/>
        <v/>
      </c>
      <c r="C126" s="440" t="str">
        <f>'סיכום לועדה- הזנת נתונים'!C126</f>
        <v/>
      </c>
      <c r="D126" s="440">
        <f>'סיכום לועדה- הזנת נתונים'!D126</f>
        <v>0</v>
      </c>
      <c r="E126" s="440">
        <f>'סיכום לועדה- הזנת נתונים'!E126</f>
        <v>0</v>
      </c>
      <c r="F126" s="440">
        <f>'סיכום לועדה- הזנת נתונים'!F126</f>
        <v>0</v>
      </c>
      <c r="G126" s="441" t="str">
        <f>'סיכום לועדה- הזנת נתונים'!G126</f>
        <v/>
      </c>
      <c r="H126" s="441" t="str">
        <f>'סיכום לועדה- הזנת נתונים'!H126</f>
        <v/>
      </c>
      <c r="I126" s="476" t="str">
        <f>'סיכום לועדה- הזנת נתונים'!I126</f>
        <v/>
      </c>
      <c r="J126" s="476" t="str">
        <f>'סיכום לועדה- הזנת נתונים'!J126</f>
        <v/>
      </c>
      <c r="K126" s="476" t="str">
        <f>'סיכום לועדה- הזנת נתונים'!K126</f>
        <v/>
      </c>
      <c r="L126" s="442" t="str">
        <f>'סיכום לועדה- הזנת נתונים'!L126</f>
        <v/>
      </c>
      <c r="M126" s="443" t="str">
        <f>'סיכום לועדה- הזנת נתונים'!M126</f>
        <v/>
      </c>
      <c r="N126" s="444" t="str">
        <f>'סיכום לועדה- הזנת נתונים'!N126</f>
        <v/>
      </c>
      <c r="O126" s="444">
        <f>'סיכום לועדה- הזנת נתונים'!O126</f>
        <v>0</v>
      </c>
      <c r="P126" s="444" t="str">
        <f>'סיכום לועדה- הזנת נתונים'!P126</f>
        <v/>
      </c>
      <c r="Q126" s="479" t="str">
        <f>'סיכום לועדה- הזנת נתונים'!Q126</f>
        <v/>
      </c>
      <c r="R126" s="441">
        <f>'סיכום לועדה- הזנת נתונים'!R126</f>
        <v>0</v>
      </c>
      <c r="S126" s="441">
        <f>'סיכום לועדה- הזנת נתונים'!S126</f>
        <v>0</v>
      </c>
      <c r="T126" s="18"/>
      <c r="U126" s="19"/>
      <c r="V126" s="21"/>
      <c r="W126" s="21"/>
      <c r="X126" s="20"/>
      <c r="AU126" s="21"/>
      <c r="AV126" s="21"/>
      <c r="AW126" s="22"/>
    </row>
    <row r="127" spans="2:49" ht="10.5" hidden="1" customHeight="1" x14ac:dyDescent="0.25">
      <c r="B127" s="23" t="str">
        <f t="shared" si="1"/>
        <v/>
      </c>
      <c r="C127" s="440" t="str">
        <f>'סיכום לועדה- הזנת נתונים'!C127</f>
        <v/>
      </c>
      <c r="D127" s="440">
        <f>'סיכום לועדה- הזנת נתונים'!D127</f>
        <v>0</v>
      </c>
      <c r="E127" s="440">
        <f>'סיכום לועדה- הזנת נתונים'!E127</f>
        <v>0</v>
      </c>
      <c r="F127" s="440">
        <f>'סיכום לועדה- הזנת נתונים'!F127</f>
        <v>0</v>
      </c>
      <c r="G127" s="441" t="str">
        <f>'סיכום לועדה- הזנת נתונים'!G127</f>
        <v/>
      </c>
      <c r="H127" s="441" t="str">
        <f>'סיכום לועדה- הזנת נתונים'!H127</f>
        <v/>
      </c>
      <c r="I127" s="476" t="str">
        <f>'סיכום לועדה- הזנת נתונים'!I127</f>
        <v/>
      </c>
      <c r="J127" s="476" t="str">
        <f>'סיכום לועדה- הזנת נתונים'!J127</f>
        <v/>
      </c>
      <c r="K127" s="476" t="str">
        <f>'סיכום לועדה- הזנת נתונים'!K127</f>
        <v/>
      </c>
      <c r="L127" s="442" t="str">
        <f>'סיכום לועדה- הזנת נתונים'!L127</f>
        <v/>
      </c>
      <c r="M127" s="443" t="str">
        <f>'סיכום לועדה- הזנת נתונים'!M127</f>
        <v/>
      </c>
      <c r="N127" s="444" t="str">
        <f>'סיכום לועדה- הזנת נתונים'!N127</f>
        <v/>
      </c>
      <c r="O127" s="444">
        <f>'סיכום לועדה- הזנת נתונים'!O127</f>
        <v>0</v>
      </c>
      <c r="P127" s="444" t="str">
        <f>'סיכום לועדה- הזנת נתונים'!P127</f>
        <v/>
      </c>
      <c r="Q127" s="479" t="str">
        <f>'סיכום לועדה- הזנת נתונים'!Q127</f>
        <v/>
      </c>
      <c r="R127" s="441">
        <f>'סיכום לועדה- הזנת נתונים'!R127</f>
        <v>0</v>
      </c>
      <c r="S127" s="441">
        <f>'סיכום לועדה- הזנת נתונים'!S127</f>
        <v>0</v>
      </c>
      <c r="T127" s="18"/>
      <c r="U127" s="19"/>
      <c r="V127" s="21"/>
      <c r="W127" s="21"/>
      <c r="X127" s="20"/>
      <c r="AU127" s="21"/>
      <c r="AV127" s="21"/>
      <c r="AW127" s="22"/>
    </row>
    <row r="128" spans="2:49" ht="10.5" hidden="1" customHeight="1" x14ac:dyDescent="0.25">
      <c r="B128" s="23" t="str">
        <f t="shared" si="1"/>
        <v/>
      </c>
      <c r="C128" s="440" t="str">
        <f>'סיכום לועדה- הזנת נתונים'!C128</f>
        <v/>
      </c>
      <c r="D128" s="440">
        <f>'סיכום לועדה- הזנת נתונים'!D128</f>
        <v>0</v>
      </c>
      <c r="E128" s="440">
        <f>'סיכום לועדה- הזנת נתונים'!E128</f>
        <v>0</v>
      </c>
      <c r="F128" s="440">
        <f>'סיכום לועדה- הזנת נתונים'!F128</f>
        <v>0</v>
      </c>
      <c r="G128" s="441" t="str">
        <f>'סיכום לועדה- הזנת נתונים'!G128</f>
        <v/>
      </c>
      <c r="H128" s="441" t="str">
        <f>'סיכום לועדה- הזנת נתונים'!H128</f>
        <v/>
      </c>
      <c r="I128" s="476" t="str">
        <f>'סיכום לועדה- הזנת נתונים'!I128</f>
        <v/>
      </c>
      <c r="J128" s="476" t="str">
        <f>'סיכום לועדה- הזנת נתונים'!J128</f>
        <v/>
      </c>
      <c r="K128" s="476" t="str">
        <f>'סיכום לועדה- הזנת נתונים'!K128</f>
        <v/>
      </c>
      <c r="L128" s="442" t="str">
        <f>'סיכום לועדה- הזנת נתונים'!L128</f>
        <v/>
      </c>
      <c r="M128" s="443" t="str">
        <f>'סיכום לועדה- הזנת נתונים'!M128</f>
        <v/>
      </c>
      <c r="N128" s="444" t="str">
        <f>'סיכום לועדה- הזנת נתונים'!N128</f>
        <v/>
      </c>
      <c r="O128" s="444">
        <f>'סיכום לועדה- הזנת נתונים'!O128</f>
        <v>0</v>
      </c>
      <c r="P128" s="444" t="str">
        <f>'סיכום לועדה- הזנת נתונים'!P128</f>
        <v/>
      </c>
      <c r="Q128" s="479" t="str">
        <f>'סיכום לועדה- הזנת נתונים'!Q128</f>
        <v/>
      </c>
      <c r="R128" s="441">
        <f>'סיכום לועדה- הזנת נתונים'!R128</f>
        <v>0</v>
      </c>
      <c r="S128" s="441">
        <f>'סיכום לועדה- הזנת נתונים'!S128</f>
        <v>0</v>
      </c>
      <c r="T128" s="18"/>
      <c r="U128" s="19"/>
      <c r="V128" s="21"/>
      <c r="W128" s="21"/>
      <c r="X128" s="20"/>
      <c r="AU128" s="21"/>
      <c r="AV128" s="21"/>
      <c r="AW128" s="22"/>
    </row>
    <row r="129" spans="2:49" ht="14.25" hidden="1" customHeight="1" x14ac:dyDescent="0.25">
      <c r="B129" s="23" t="str">
        <f t="shared" si="1"/>
        <v/>
      </c>
      <c r="C129" s="440" t="str">
        <f>'סיכום לועדה- הזנת נתונים'!C129</f>
        <v/>
      </c>
      <c r="D129" s="440">
        <f>'סיכום לועדה- הזנת נתונים'!D129</f>
        <v>0</v>
      </c>
      <c r="E129" s="440">
        <f>'סיכום לועדה- הזנת נתונים'!E129</f>
        <v>0</v>
      </c>
      <c r="F129" s="440">
        <f>'סיכום לועדה- הזנת נתונים'!F129</f>
        <v>0</v>
      </c>
      <c r="G129" s="441" t="str">
        <f>'סיכום לועדה- הזנת נתונים'!G129</f>
        <v/>
      </c>
      <c r="H129" s="441" t="str">
        <f>'סיכום לועדה- הזנת נתונים'!H129</f>
        <v/>
      </c>
      <c r="I129" s="476" t="str">
        <f>'סיכום לועדה- הזנת נתונים'!I129</f>
        <v/>
      </c>
      <c r="J129" s="476" t="str">
        <f>'סיכום לועדה- הזנת נתונים'!J129</f>
        <v/>
      </c>
      <c r="K129" s="476" t="str">
        <f>'סיכום לועדה- הזנת נתונים'!K129</f>
        <v/>
      </c>
      <c r="L129" s="442" t="str">
        <f>'סיכום לועדה- הזנת נתונים'!L129</f>
        <v/>
      </c>
      <c r="M129" s="443" t="str">
        <f>'סיכום לועדה- הזנת נתונים'!M129</f>
        <v/>
      </c>
      <c r="N129" s="444" t="str">
        <f>'סיכום לועדה- הזנת נתונים'!N129</f>
        <v/>
      </c>
      <c r="O129" s="444">
        <f>'סיכום לועדה- הזנת נתונים'!O129</f>
        <v>0</v>
      </c>
      <c r="P129" s="444" t="str">
        <f>'סיכום לועדה- הזנת נתונים'!P129</f>
        <v/>
      </c>
      <c r="Q129" s="479" t="str">
        <f>'סיכום לועדה- הזנת נתונים'!Q129</f>
        <v/>
      </c>
      <c r="R129" s="441">
        <f>'סיכום לועדה- הזנת נתונים'!R129</f>
        <v>0</v>
      </c>
      <c r="S129" s="441">
        <f>'סיכום לועדה- הזנת נתונים'!S129</f>
        <v>0</v>
      </c>
      <c r="T129" s="18"/>
      <c r="U129" s="19"/>
      <c r="V129" s="21"/>
      <c r="W129" s="21"/>
      <c r="X129" s="20"/>
      <c r="AU129" s="21"/>
      <c r="AV129" s="21"/>
      <c r="AW129" s="22"/>
    </row>
    <row r="130" spans="2:49" ht="30.75" hidden="1" customHeight="1" thickBot="1" x14ac:dyDescent="0.3">
      <c r="B130" s="24" t="str">
        <f t="shared" si="1"/>
        <v/>
      </c>
      <c r="C130" s="25" t="str">
        <f>'סיכום לועדה- הזנת נתונים'!C130</f>
        <v/>
      </c>
      <c r="D130" s="25">
        <f>'סיכום לועדה- הזנת נתונים'!D130</f>
        <v>0</v>
      </c>
      <c r="E130" s="25">
        <f>'סיכום לועדה- הזנת נתונים'!E130</f>
        <v>0</v>
      </c>
      <c r="F130" s="25">
        <f>'סיכום לועדה- הזנת נתונים'!F130</f>
        <v>0</v>
      </c>
      <c r="G130" s="348" t="str">
        <f>'סיכום לועדה- הזנת נתונים'!G130</f>
        <v/>
      </c>
      <c r="H130" s="348" t="str">
        <f>'סיכום לועדה- הזנת נתונים'!H130</f>
        <v/>
      </c>
      <c r="I130" s="477" t="str">
        <f>'סיכום לועדה- הזנת נתונים'!I130</f>
        <v/>
      </c>
      <c r="J130" s="477" t="str">
        <f>'סיכום לועדה- הזנת נתונים'!J130</f>
        <v/>
      </c>
      <c r="K130" s="477" t="str">
        <f>'סיכום לועדה- הזנת נתונים'!K130</f>
        <v/>
      </c>
      <c r="L130" s="26" t="str">
        <f>'סיכום לועדה- הזנת נתונים'!L130</f>
        <v/>
      </c>
      <c r="M130" s="27" t="str">
        <f>'סיכום לועדה- הזנת נתונים'!M130</f>
        <v/>
      </c>
      <c r="N130" s="28" t="str">
        <f>'סיכום לועדה- הזנת נתונים'!N130</f>
        <v/>
      </c>
      <c r="O130" s="28">
        <f>'סיכום לועדה- הזנת נתונים'!O130</f>
        <v>0</v>
      </c>
      <c r="P130" s="28" t="str">
        <f>'סיכום לועדה- הזנת נתונים'!P130</f>
        <v/>
      </c>
      <c r="Q130" s="480" t="str">
        <f>'סיכום לועדה- הזנת נתונים'!Q130</f>
        <v/>
      </c>
      <c r="R130" s="348">
        <f>'סיכום לועדה- הזנת נתונים'!R130</f>
        <v>0</v>
      </c>
      <c r="S130" s="348">
        <f>'סיכום לועדה- הזנת נתונים'!S130</f>
        <v>0</v>
      </c>
      <c r="T130" s="18"/>
      <c r="U130" s="19"/>
      <c r="V130" s="21"/>
      <c r="W130" s="21"/>
      <c r="X130" s="20"/>
      <c r="AU130" s="21"/>
      <c r="AV130" s="21"/>
      <c r="AW130" s="22"/>
    </row>
    <row r="131" spans="2:49" ht="19.5" hidden="1" thickBot="1" x14ac:dyDescent="0.3">
      <c r="B131" s="659" t="s">
        <v>77</v>
      </c>
      <c r="C131" s="660"/>
      <c r="D131" s="29"/>
      <c r="E131" s="29"/>
      <c r="F131" s="29"/>
      <c r="G131" s="29"/>
      <c r="H131" s="29"/>
      <c r="I131" s="29"/>
      <c r="J131" s="29"/>
      <c r="K131" s="29"/>
      <c r="L131" s="29">
        <f t="shared" ref="L131:P131" si="2">SUM(L30:L130)</f>
        <v>0</v>
      </c>
      <c r="M131" s="30">
        <f t="shared" si="2"/>
        <v>0</v>
      </c>
      <c r="N131" s="29">
        <f t="shared" si="2"/>
        <v>5891738</v>
      </c>
      <c r="O131" s="29">
        <f t="shared" si="2"/>
        <v>2917602</v>
      </c>
      <c r="P131" s="29">
        <f t="shared" si="2"/>
        <v>3076366.9999999991</v>
      </c>
      <c r="Q131" s="29"/>
      <c r="R131" s="481"/>
      <c r="S131" s="481"/>
      <c r="T131" s="18"/>
      <c r="U131" s="19"/>
      <c r="X131" s="20"/>
      <c r="AU131" s="21"/>
      <c r="AV131" s="21"/>
      <c r="AW131" s="22"/>
    </row>
  </sheetData>
  <sheetProtection algorithmName="SHA-512" hashValue="6Yproeq+9lBCw+6+yreuBO+4uae28wSvHhZxeK5KaHbPDNudbs6V1fpYZHXjCBhFH2wEMNBlHqACc0AEN/MSfg==" saltValue="G8wENPV+TJA+pty1aUEFPg==" spinCount="100000" sheet="1" scenarios="1" formatCells="0" formatColumns="0" formatRows="0" autoFilter="0"/>
  <autoFilter ref="A30:AZ131" xr:uid="{00000000-0001-0000-1C00-000000000000}">
    <filterColumn colId="2">
      <customFilters>
        <customFilter operator="notEqual" val=" "/>
      </customFilters>
    </filterColumn>
  </autoFilter>
  <mergeCells count="1">
    <mergeCell ref="B131:C131"/>
  </mergeCells>
  <conditionalFormatting sqref="B31:S130">
    <cfRule type="containsBlanks" dxfId="1" priority="1">
      <formula>LEN(TRIM(B31))=0</formula>
    </cfRule>
  </conditionalFormatting>
  <conditionalFormatting sqref="C1:C2 D28:E28">
    <cfRule type="containsBlanks" dxfId="0" priority="2">
      <formula>LEN(TRIM(C1))=0</formula>
    </cfRule>
  </conditionalFormatting>
  <printOptions horizontalCentered="1"/>
  <pageMargins left="0.25" right="0.17" top="0.52" bottom="0.36" header="0.31496062992125984" footer="0.17"/>
  <pageSetup paperSize="9" scale="67" orientation="landscape" r:id="rId1"/>
  <headerFooter>
    <oddHeader>&amp;C&amp;Uמבחנים לתמיכה של משרד התרבות והספורט</oddHeader>
    <oddFooter>&amp;Lא. חפץ ושות'
יעוץ כלכלי&amp;C&amp;P</oddFooter>
  </headerFooter>
  <colBreaks count="1" manualBreakCount="1">
    <brk id="11" max="130"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048B2-463D-4F70-A5CD-F49735F4DE38}">
  <sheetPr codeName="גיליון3">
    <tabColor rgb="FFFFFF00"/>
  </sheetPr>
  <dimension ref="A1:L689"/>
  <sheetViews>
    <sheetView rightToLeft="1" zoomScale="90" zoomScaleNormal="90" workbookViewId="0">
      <pane ySplit="1" topLeftCell="A2" activePane="bottomLeft" state="frozen"/>
      <selection pane="bottomLeft" activeCell="R15" sqref="R15"/>
    </sheetView>
  </sheetViews>
  <sheetFormatPr defaultRowHeight="15.75" x14ac:dyDescent="0.25"/>
  <cols>
    <col min="1" max="1" width="18.28515625" style="673" hidden="1" customWidth="1"/>
    <col min="2" max="2" width="43.5703125" style="664" hidden="1" customWidth="1"/>
    <col min="3" max="3" width="6.7109375" style="664" hidden="1" customWidth="1"/>
    <col min="4" max="4" width="15.5703125" style="664" hidden="1" customWidth="1"/>
    <col min="5" max="5" width="13.5703125" style="664" hidden="1" customWidth="1"/>
    <col min="6" max="6" width="36.85546875" style="664" hidden="1" customWidth="1"/>
    <col min="7" max="7" width="9.140625" style="664" hidden="1" customWidth="1"/>
    <col min="8" max="9" width="14.140625" style="674" hidden="1" customWidth="1"/>
    <col min="10" max="10" width="12.28515625" style="664" hidden="1" customWidth="1"/>
    <col min="11" max="12" width="16.28515625" style="664" hidden="1" customWidth="1"/>
    <col min="13" max="16384" width="9.140625" style="664"/>
  </cols>
  <sheetData>
    <row r="1" spans="1:12" ht="15" x14ac:dyDescent="0.25">
      <c r="A1" s="661" t="s">
        <v>437</v>
      </c>
      <c r="B1" s="662" t="s">
        <v>438</v>
      </c>
      <c r="C1" s="662" t="s">
        <v>439</v>
      </c>
      <c r="D1" s="662" t="s">
        <v>440</v>
      </c>
      <c r="E1" s="662" t="s">
        <v>441</v>
      </c>
      <c r="F1" s="662" t="s">
        <v>442</v>
      </c>
      <c r="G1" s="662" t="s">
        <v>443</v>
      </c>
      <c r="H1" s="663" t="s">
        <v>444</v>
      </c>
      <c r="I1" s="663" t="s">
        <v>445</v>
      </c>
      <c r="J1" s="662" t="s">
        <v>446</v>
      </c>
      <c r="K1" s="662" t="s">
        <v>447</v>
      </c>
      <c r="L1" s="662" t="s">
        <v>1076</v>
      </c>
    </row>
    <row r="2" spans="1:12" s="466" customFormat="1" ht="15" x14ac:dyDescent="0.25">
      <c r="A2" s="467">
        <v>1001719725</v>
      </c>
      <c r="B2" s="468" t="s">
        <v>570</v>
      </c>
      <c r="C2" s="468" t="s">
        <v>448</v>
      </c>
      <c r="D2" s="468">
        <v>580044873</v>
      </c>
      <c r="E2" s="468">
        <v>40000106</v>
      </c>
      <c r="F2" s="468" t="s">
        <v>540</v>
      </c>
      <c r="G2" s="468">
        <v>2024</v>
      </c>
      <c r="H2" s="469">
        <v>4000000</v>
      </c>
      <c r="I2" s="469">
        <v>2633612</v>
      </c>
      <c r="J2" s="468" t="s">
        <v>465</v>
      </c>
      <c r="K2" s="468" t="s">
        <v>466</v>
      </c>
      <c r="L2" s="468">
        <v>16715</v>
      </c>
    </row>
    <row r="3" spans="1:12" s="466" customFormat="1" ht="15" x14ac:dyDescent="0.25">
      <c r="A3" s="467">
        <v>1001719760</v>
      </c>
      <c r="B3" s="468" t="s">
        <v>571</v>
      </c>
      <c r="C3" s="468" t="s">
        <v>448</v>
      </c>
      <c r="D3" s="468">
        <v>510748734</v>
      </c>
      <c r="E3" s="468">
        <v>40000028</v>
      </c>
      <c r="F3" s="468" t="s">
        <v>481</v>
      </c>
      <c r="G3" s="468">
        <v>2024</v>
      </c>
      <c r="H3" s="469">
        <v>100000</v>
      </c>
      <c r="I3" s="469">
        <v>45422</v>
      </c>
      <c r="J3" s="468" t="s">
        <v>465</v>
      </c>
      <c r="K3" s="468" t="s">
        <v>466</v>
      </c>
      <c r="L3" s="468">
        <v>16707</v>
      </c>
    </row>
    <row r="4" spans="1:12" s="466" customFormat="1" ht="15" x14ac:dyDescent="0.25">
      <c r="A4" s="467">
        <v>1001719761</v>
      </c>
      <c r="B4" s="468" t="s">
        <v>572</v>
      </c>
      <c r="C4" s="468" t="s">
        <v>448</v>
      </c>
      <c r="D4" s="468">
        <v>580208486</v>
      </c>
      <c r="E4" s="468">
        <v>40000179</v>
      </c>
      <c r="F4" s="468" t="s">
        <v>464</v>
      </c>
      <c r="G4" s="468">
        <v>2024</v>
      </c>
      <c r="H4" s="469">
        <v>200000</v>
      </c>
      <c r="I4" s="469">
        <v>94754</v>
      </c>
      <c r="J4" s="468" t="s">
        <v>465</v>
      </c>
      <c r="K4" s="468" t="s">
        <v>466</v>
      </c>
      <c r="L4" s="468">
        <v>16710</v>
      </c>
    </row>
    <row r="5" spans="1:12" s="466" customFormat="1" ht="15" x14ac:dyDescent="0.25">
      <c r="A5" s="467">
        <v>1001719762</v>
      </c>
      <c r="B5" s="468" t="s">
        <v>573</v>
      </c>
      <c r="C5" s="468" t="s">
        <v>448</v>
      </c>
      <c r="D5" s="468">
        <v>580208486</v>
      </c>
      <c r="E5" s="468">
        <v>40000179</v>
      </c>
      <c r="F5" s="468" t="s">
        <v>464</v>
      </c>
      <c r="G5" s="468">
        <v>2024</v>
      </c>
      <c r="H5" s="469">
        <v>1000000</v>
      </c>
      <c r="I5" s="469">
        <v>806505</v>
      </c>
      <c r="J5" s="468" t="s">
        <v>465</v>
      </c>
      <c r="K5" s="468" t="s">
        <v>466</v>
      </c>
      <c r="L5" s="468">
        <v>16715</v>
      </c>
    </row>
    <row r="6" spans="1:12" s="466" customFormat="1" ht="15" x14ac:dyDescent="0.25">
      <c r="A6" s="467">
        <v>1001719917</v>
      </c>
      <c r="B6" s="468" t="s">
        <v>574</v>
      </c>
      <c r="C6" s="468" t="s">
        <v>448</v>
      </c>
      <c r="D6" s="468">
        <v>580256683</v>
      </c>
      <c r="E6" s="468">
        <v>40000624</v>
      </c>
      <c r="F6" s="468" t="s">
        <v>500</v>
      </c>
      <c r="G6" s="468">
        <v>2024</v>
      </c>
      <c r="H6" s="469">
        <v>6000000</v>
      </c>
      <c r="I6" s="469">
        <v>4734213</v>
      </c>
      <c r="J6" s="468" t="s">
        <v>465</v>
      </c>
      <c r="K6" s="468" t="s">
        <v>466</v>
      </c>
      <c r="L6" s="468">
        <v>16715</v>
      </c>
    </row>
    <row r="7" spans="1:12" s="466" customFormat="1" ht="15" x14ac:dyDescent="0.25">
      <c r="A7" s="467">
        <v>1001720200</v>
      </c>
      <c r="B7" s="468" t="s">
        <v>575</v>
      </c>
      <c r="C7" s="468" t="s">
        <v>448</v>
      </c>
      <c r="D7" s="468">
        <v>580029379</v>
      </c>
      <c r="E7" s="468">
        <v>40000363</v>
      </c>
      <c r="F7" s="468" t="s">
        <v>467</v>
      </c>
      <c r="G7" s="468">
        <v>2024</v>
      </c>
      <c r="H7" s="469">
        <v>1400000</v>
      </c>
      <c r="I7" s="469">
        <v>1207387</v>
      </c>
      <c r="J7" s="468" t="s">
        <v>465</v>
      </c>
      <c r="K7" s="468" t="s">
        <v>466</v>
      </c>
      <c r="L7" s="468">
        <v>16709</v>
      </c>
    </row>
    <row r="8" spans="1:12" s="466" customFormat="1" ht="15" x14ac:dyDescent="0.25">
      <c r="A8" s="467">
        <v>1001720689</v>
      </c>
      <c r="B8" s="468" t="s">
        <v>420</v>
      </c>
      <c r="C8" s="468" t="s">
        <v>448</v>
      </c>
      <c r="D8" s="468">
        <v>580269561</v>
      </c>
      <c r="E8" s="468">
        <v>40002884</v>
      </c>
      <c r="F8" s="468" t="s">
        <v>398</v>
      </c>
      <c r="G8" s="468">
        <v>2024</v>
      </c>
      <c r="H8" s="469">
        <v>720000</v>
      </c>
      <c r="I8" s="469">
        <v>309687</v>
      </c>
      <c r="J8" s="468" t="s">
        <v>465</v>
      </c>
      <c r="K8" s="468" t="s">
        <v>466</v>
      </c>
      <c r="L8" s="468">
        <v>16711</v>
      </c>
    </row>
    <row r="9" spans="1:12" s="466" customFormat="1" ht="15" x14ac:dyDescent="0.25">
      <c r="A9" s="467">
        <v>1001720985</v>
      </c>
      <c r="B9" s="468" t="s">
        <v>576</v>
      </c>
      <c r="C9" s="468" t="s">
        <v>448</v>
      </c>
      <c r="D9" s="468">
        <v>580574325</v>
      </c>
      <c r="E9" s="468">
        <v>41375155</v>
      </c>
      <c r="F9" s="468" t="s">
        <v>543</v>
      </c>
      <c r="G9" s="468">
        <v>2024</v>
      </c>
      <c r="H9" s="469">
        <v>120000</v>
      </c>
      <c r="I9" s="469">
        <v>38628</v>
      </c>
      <c r="J9" s="468" t="s">
        <v>465</v>
      </c>
      <c r="K9" s="468" t="s">
        <v>466</v>
      </c>
      <c r="L9" s="468">
        <v>16707</v>
      </c>
    </row>
    <row r="10" spans="1:12" s="466" customFormat="1" ht="15" x14ac:dyDescent="0.25">
      <c r="A10" s="467">
        <v>1001721230</v>
      </c>
      <c r="B10" s="468" t="s">
        <v>577</v>
      </c>
      <c r="C10" s="468" t="s">
        <v>453</v>
      </c>
      <c r="D10" s="468">
        <v>580385235</v>
      </c>
      <c r="E10" s="468">
        <v>40224819</v>
      </c>
      <c r="F10" s="468" t="s">
        <v>578</v>
      </c>
      <c r="G10" s="468">
        <v>2024</v>
      </c>
      <c r="H10" s="469">
        <v>200000</v>
      </c>
      <c r="I10" s="469">
        <v>0</v>
      </c>
      <c r="J10" s="468" t="s">
        <v>465</v>
      </c>
      <c r="K10" s="468" t="s">
        <v>466</v>
      </c>
      <c r="L10" s="468">
        <v>16710</v>
      </c>
    </row>
    <row r="11" spans="1:12" s="466" customFormat="1" ht="15" x14ac:dyDescent="0.25">
      <c r="A11" s="467">
        <v>1001721236</v>
      </c>
      <c r="B11" s="468" t="s">
        <v>526</v>
      </c>
      <c r="C11" s="468" t="s">
        <v>448</v>
      </c>
      <c r="D11" s="468">
        <v>580103026</v>
      </c>
      <c r="E11" s="468">
        <v>40000134</v>
      </c>
      <c r="F11" s="468" t="s">
        <v>449</v>
      </c>
      <c r="G11" s="468">
        <v>2024</v>
      </c>
      <c r="H11" s="469">
        <v>250000</v>
      </c>
      <c r="I11" s="469">
        <v>146553</v>
      </c>
      <c r="J11" s="468" t="s">
        <v>465</v>
      </c>
      <c r="K11" s="468" t="s">
        <v>466</v>
      </c>
      <c r="L11" s="468">
        <v>16710</v>
      </c>
    </row>
    <row r="12" spans="1:12" s="466" customFormat="1" ht="15" x14ac:dyDescent="0.25">
      <c r="A12" s="467">
        <v>1001721270</v>
      </c>
      <c r="B12" s="468" t="s">
        <v>579</v>
      </c>
      <c r="C12" s="468" t="s">
        <v>453</v>
      </c>
      <c r="D12" s="468">
        <v>580385235</v>
      </c>
      <c r="E12" s="468">
        <v>40224819</v>
      </c>
      <c r="F12" s="468" t="s">
        <v>578</v>
      </c>
      <c r="G12" s="468">
        <v>2024</v>
      </c>
      <c r="H12" s="469">
        <v>50000</v>
      </c>
      <c r="I12" s="469">
        <v>0</v>
      </c>
      <c r="J12" s="468" t="s">
        <v>465</v>
      </c>
      <c r="K12" s="468" t="s">
        <v>466</v>
      </c>
      <c r="L12" s="468">
        <v>16711</v>
      </c>
    </row>
    <row r="13" spans="1:12" s="466" customFormat="1" ht="15" x14ac:dyDescent="0.25">
      <c r="A13" s="467">
        <v>1001721276</v>
      </c>
      <c r="B13" s="468" t="s">
        <v>580</v>
      </c>
      <c r="C13" s="468" t="s">
        <v>453</v>
      </c>
      <c r="D13" s="468">
        <v>580385235</v>
      </c>
      <c r="E13" s="468">
        <v>40224819</v>
      </c>
      <c r="F13" s="468" t="s">
        <v>578</v>
      </c>
      <c r="G13" s="468">
        <v>2024</v>
      </c>
      <c r="H13" s="469">
        <v>30000</v>
      </c>
      <c r="I13" s="469">
        <v>0</v>
      </c>
      <c r="J13" s="468" t="s">
        <v>465</v>
      </c>
      <c r="K13" s="468" t="s">
        <v>466</v>
      </c>
      <c r="L13" s="468">
        <v>16707</v>
      </c>
    </row>
    <row r="14" spans="1:12" s="466" customFormat="1" ht="15" x14ac:dyDescent="0.25">
      <c r="A14" s="467">
        <v>1001721530</v>
      </c>
      <c r="B14" s="468" t="s">
        <v>581</v>
      </c>
      <c r="C14" s="468" t="s">
        <v>453</v>
      </c>
      <c r="D14" s="468">
        <v>580385235</v>
      </c>
      <c r="E14" s="468">
        <v>40224819</v>
      </c>
      <c r="F14" s="468" t="s">
        <v>578</v>
      </c>
      <c r="G14" s="468">
        <v>2024</v>
      </c>
      <c r="H14" s="469">
        <v>100000</v>
      </c>
      <c r="I14" s="469">
        <v>0</v>
      </c>
      <c r="J14" s="468" t="s">
        <v>465</v>
      </c>
      <c r="K14" s="468" t="s">
        <v>466</v>
      </c>
      <c r="L14" s="468">
        <v>16713</v>
      </c>
    </row>
    <row r="15" spans="1:12" s="466" customFormat="1" ht="15" x14ac:dyDescent="0.25">
      <c r="A15" s="467">
        <v>1001722058</v>
      </c>
      <c r="B15" s="468" t="s">
        <v>582</v>
      </c>
      <c r="C15" s="468" t="s">
        <v>448</v>
      </c>
      <c r="D15" s="468">
        <v>580509024</v>
      </c>
      <c r="E15" s="468">
        <v>40527700</v>
      </c>
      <c r="F15" s="468" t="s">
        <v>478</v>
      </c>
      <c r="G15" s="468">
        <v>2024</v>
      </c>
      <c r="H15" s="469">
        <v>800000</v>
      </c>
      <c r="I15" s="469">
        <v>571905</v>
      </c>
      <c r="J15" s="468" t="s">
        <v>465</v>
      </c>
      <c r="K15" s="468" t="s">
        <v>466</v>
      </c>
      <c r="L15" s="468">
        <v>16713</v>
      </c>
    </row>
    <row r="16" spans="1:12" s="466" customFormat="1" ht="15" x14ac:dyDescent="0.25">
      <c r="A16" s="467">
        <v>1001722228</v>
      </c>
      <c r="B16" s="468" t="s">
        <v>524</v>
      </c>
      <c r="C16" s="468" t="s">
        <v>448</v>
      </c>
      <c r="D16" s="468">
        <v>580086270</v>
      </c>
      <c r="E16" s="468">
        <v>40299484</v>
      </c>
      <c r="F16" s="468" t="s">
        <v>525</v>
      </c>
      <c r="G16" s="468">
        <v>2024</v>
      </c>
      <c r="H16" s="469">
        <v>9000000</v>
      </c>
      <c r="I16" s="469">
        <v>7630651</v>
      </c>
      <c r="J16" s="468" t="s">
        <v>465</v>
      </c>
      <c r="K16" s="468" t="s">
        <v>466</v>
      </c>
      <c r="L16" s="468">
        <v>16715</v>
      </c>
    </row>
    <row r="17" spans="1:12" s="466" customFormat="1" ht="15" x14ac:dyDescent="0.25">
      <c r="A17" s="467">
        <v>1001722237</v>
      </c>
      <c r="B17" s="468" t="s">
        <v>583</v>
      </c>
      <c r="C17" s="468" t="s">
        <v>448</v>
      </c>
      <c r="D17" s="468">
        <v>580547602</v>
      </c>
      <c r="E17" s="468">
        <v>40996069</v>
      </c>
      <c r="F17" s="468" t="s">
        <v>483</v>
      </c>
      <c r="G17" s="468">
        <v>2024</v>
      </c>
      <c r="H17" s="469">
        <v>100000</v>
      </c>
      <c r="I17" s="469">
        <v>68873</v>
      </c>
      <c r="J17" s="468" t="s">
        <v>465</v>
      </c>
      <c r="K17" s="468" t="s">
        <v>466</v>
      </c>
      <c r="L17" s="468">
        <v>16707</v>
      </c>
    </row>
    <row r="18" spans="1:12" s="466" customFormat="1" ht="15" x14ac:dyDescent="0.25">
      <c r="A18" s="467">
        <v>1001722484</v>
      </c>
      <c r="B18" s="468" t="s">
        <v>452</v>
      </c>
      <c r="C18" s="468" t="s">
        <v>448</v>
      </c>
      <c r="D18" s="468">
        <v>512295353</v>
      </c>
      <c r="E18" s="468">
        <v>40000294</v>
      </c>
      <c r="F18" s="468" t="s">
        <v>482</v>
      </c>
      <c r="G18" s="468">
        <v>2024</v>
      </c>
      <c r="H18" s="469">
        <v>13500000</v>
      </c>
      <c r="I18" s="469">
        <v>10615538</v>
      </c>
      <c r="J18" s="468" t="s">
        <v>465</v>
      </c>
      <c r="K18" s="468" t="s">
        <v>466</v>
      </c>
      <c r="L18" s="468">
        <v>16715</v>
      </c>
    </row>
    <row r="19" spans="1:12" s="466" customFormat="1" ht="15" x14ac:dyDescent="0.25">
      <c r="A19" s="467">
        <v>1001722753</v>
      </c>
      <c r="B19" s="468" t="s">
        <v>584</v>
      </c>
      <c r="C19" s="468" t="s">
        <v>448</v>
      </c>
      <c r="D19" s="468">
        <v>580480788</v>
      </c>
      <c r="E19" s="468">
        <v>40525310</v>
      </c>
      <c r="F19" s="468" t="s">
        <v>510</v>
      </c>
      <c r="G19" s="468">
        <v>2024</v>
      </c>
      <c r="H19" s="469">
        <v>200000</v>
      </c>
      <c r="I19" s="469">
        <v>114927</v>
      </c>
      <c r="J19" s="468" t="s">
        <v>465</v>
      </c>
      <c r="K19" s="468" t="s">
        <v>466</v>
      </c>
      <c r="L19" s="468">
        <v>16716</v>
      </c>
    </row>
    <row r="20" spans="1:12" s="466" customFormat="1" ht="15" x14ac:dyDescent="0.25">
      <c r="A20" s="467">
        <v>1001722754</v>
      </c>
      <c r="B20" s="468" t="s">
        <v>951</v>
      </c>
      <c r="C20" s="468" t="s">
        <v>952</v>
      </c>
      <c r="D20" s="468">
        <v>580480788</v>
      </c>
      <c r="E20" s="468">
        <v>40525310</v>
      </c>
      <c r="F20" s="468" t="s">
        <v>510</v>
      </c>
      <c r="G20" s="468">
        <v>2024</v>
      </c>
      <c r="H20" s="469">
        <v>50000</v>
      </c>
      <c r="I20" s="469">
        <v>0</v>
      </c>
      <c r="J20" s="468" t="s">
        <v>465</v>
      </c>
      <c r="K20" s="468" t="s">
        <v>466</v>
      </c>
      <c r="L20" s="468">
        <v>16716</v>
      </c>
    </row>
    <row r="21" spans="1:12" s="466" customFormat="1" ht="15" x14ac:dyDescent="0.25">
      <c r="A21" s="467">
        <v>1001722815</v>
      </c>
      <c r="B21" s="468" t="s">
        <v>585</v>
      </c>
      <c r="C21" s="468" t="s">
        <v>448</v>
      </c>
      <c r="D21" s="468">
        <v>580352490</v>
      </c>
      <c r="E21" s="468">
        <v>40000242</v>
      </c>
      <c r="F21" s="468" t="s">
        <v>451</v>
      </c>
      <c r="G21" s="468">
        <v>2024</v>
      </c>
      <c r="H21" s="469">
        <v>100000</v>
      </c>
      <c r="I21" s="469">
        <v>36937</v>
      </c>
      <c r="J21" s="468" t="s">
        <v>465</v>
      </c>
      <c r="K21" s="468" t="s">
        <v>466</v>
      </c>
      <c r="L21" s="468">
        <v>16707</v>
      </c>
    </row>
    <row r="22" spans="1:12" s="466" customFormat="1" ht="15" x14ac:dyDescent="0.25">
      <c r="A22" s="467">
        <v>1001722838</v>
      </c>
      <c r="B22" s="468" t="s">
        <v>423</v>
      </c>
      <c r="C22" s="468" t="s">
        <v>448</v>
      </c>
      <c r="D22" s="468">
        <v>580695484</v>
      </c>
      <c r="E22" s="468">
        <v>42446743</v>
      </c>
      <c r="F22" s="468" t="s">
        <v>586</v>
      </c>
      <c r="G22" s="468">
        <v>2024</v>
      </c>
      <c r="H22" s="469">
        <v>195000</v>
      </c>
      <c r="I22" s="469">
        <v>85846</v>
      </c>
      <c r="J22" s="468" t="s">
        <v>465</v>
      </c>
      <c r="K22" s="468" t="s">
        <v>466</v>
      </c>
      <c r="L22" s="468">
        <v>16711</v>
      </c>
    </row>
    <row r="23" spans="1:12" s="466" customFormat="1" ht="15" x14ac:dyDescent="0.25">
      <c r="A23" s="467">
        <v>1001722844</v>
      </c>
      <c r="B23" s="468" t="s">
        <v>587</v>
      </c>
      <c r="C23" s="468" t="s">
        <v>448</v>
      </c>
      <c r="D23" s="468">
        <v>580489847</v>
      </c>
      <c r="E23" s="468">
        <v>40467070</v>
      </c>
      <c r="F23" s="468" t="s">
        <v>479</v>
      </c>
      <c r="G23" s="468">
        <v>2024</v>
      </c>
      <c r="H23" s="469">
        <v>350000</v>
      </c>
      <c r="I23" s="469">
        <v>133612</v>
      </c>
      <c r="J23" s="468" t="s">
        <v>465</v>
      </c>
      <c r="K23" s="468" t="s">
        <v>466</v>
      </c>
      <c r="L23" s="468">
        <v>16713</v>
      </c>
    </row>
    <row r="24" spans="1:12" s="466" customFormat="1" ht="15" x14ac:dyDescent="0.25">
      <c r="A24" s="467">
        <v>1001722867</v>
      </c>
      <c r="B24" s="468" t="s">
        <v>588</v>
      </c>
      <c r="C24" s="468" t="s">
        <v>448</v>
      </c>
      <c r="D24" s="468">
        <v>580362804</v>
      </c>
      <c r="E24" s="468">
        <v>40000709</v>
      </c>
      <c r="F24" s="468" t="s">
        <v>495</v>
      </c>
      <c r="G24" s="468">
        <v>2024</v>
      </c>
      <c r="H24" s="469">
        <v>1600000</v>
      </c>
      <c r="I24" s="469">
        <v>656987</v>
      </c>
      <c r="J24" s="468" t="s">
        <v>465</v>
      </c>
      <c r="K24" s="468" t="s">
        <v>466</v>
      </c>
      <c r="L24" s="468">
        <v>16710</v>
      </c>
    </row>
    <row r="25" spans="1:12" s="466" customFormat="1" ht="15" x14ac:dyDescent="0.25">
      <c r="A25" s="467">
        <v>1001722995</v>
      </c>
      <c r="B25" s="468" t="s">
        <v>589</v>
      </c>
      <c r="C25" s="468" t="s">
        <v>448</v>
      </c>
      <c r="D25" s="468">
        <v>510490451</v>
      </c>
      <c r="E25" s="468">
        <v>40000009</v>
      </c>
      <c r="F25" s="468" t="s">
        <v>475</v>
      </c>
      <c r="G25" s="468">
        <v>2024</v>
      </c>
      <c r="H25" s="469">
        <v>350000</v>
      </c>
      <c r="I25" s="469">
        <v>73059</v>
      </c>
      <c r="J25" s="468" t="s">
        <v>465</v>
      </c>
      <c r="K25" s="468" t="s">
        <v>466</v>
      </c>
      <c r="L25" s="468">
        <v>16713</v>
      </c>
    </row>
    <row r="26" spans="1:12" s="466" customFormat="1" ht="15" x14ac:dyDescent="0.25">
      <c r="A26" s="467">
        <v>1001723076</v>
      </c>
      <c r="B26" s="468" t="s">
        <v>497</v>
      </c>
      <c r="C26" s="468" t="s">
        <v>448</v>
      </c>
      <c r="D26" s="468">
        <v>580288728</v>
      </c>
      <c r="E26" s="468">
        <v>40000655</v>
      </c>
      <c r="F26" s="468" t="s">
        <v>498</v>
      </c>
      <c r="G26" s="468">
        <v>2024</v>
      </c>
      <c r="H26" s="469">
        <v>160000</v>
      </c>
      <c r="I26" s="469">
        <v>160000</v>
      </c>
      <c r="J26" s="468" t="s">
        <v>465</v>
      </c>
      <c r="K26" s="468" t="s">
        <v>466</v>
      </c>
      <c r="L26" s="468">
        <v>16713</v>
      </c>
    </row>
    <row r="27" spans="1:12" s="466" customFormat="1" ht="15" x14ac:dyDescent="0.25">
      <c r="A27" s="467">
        <v>1001723114</v>
      </c>
      <c r="B27" s="468" t="s">
        <v>590</v>
      </c>
      <c r="C27" s="468" t="s">
        <v>448</v>
      </c>
      <c r="D27" s="468">
        <v>580337913</v>
      </c>
      <c r="E27" s="468">
        <v>40221476</v>
      </c>
      <c r="F27" s="468" t="s">
        <v>517</v>
      </c>
      <c r="G27" s="468">
        <v>2024</v>
      </c>
      <c r="H27" s="469">
        <v>350000</v>
      </c>
      <c r="I27" s="469">
        <v>177437</v>
      </c>
      <c r="J27" s="468" t="s">
        <v>465</v>
      </c>
      <c r="K27" s="468" t="s">
        <v>466</v>
      </c>
      <c r="L27" s="468">
        <v>16716</v>
      </c>
    </row>
    <row r="28" spans="1:12" s="466" customFormat="1" ht="15" x14ac:dyDescent="0.25">
      <c r="A28" s="467">
        <v>1001723181</v>
      </c>
      <c r="B28" s="468" t="s">
        <v>472</v>
      </c>
      <c r="C28" s="468" t="s">
        <v>448</v>
      </c>
      <c r="D28" s="468">
        <v>510145022</v>
      </c>
      <c r="E28" s="468">
        <v>40000252</v>
      </c>
      <c r="F28" s="468" t="s">
        <v>473</v>
      </c>
      <c r="G28" s="468">
        <v>2024</v>
      </c>
      <c r="H28" s="469">
        <v>3677000</v>
      </c>
      <c r="I28" s="469">
        <v>3206286</v>
      </c>
      <c r="J28" s="468" t="s">
        <v>465</v>
      </c>
      <c r="K28" s="468" t="s">
        <v>466</v>
      </c>
      <c r="L28" s="468">
        <v>16715</v>
      </c>
    </row>
    <row r="29" spans="1:12" s="466" customFormat="1" ht="15" x14ac:dyDescent="0.25">
      <c r="A29" s="467">
        <v>1001723182</v>
      </c>
      <c r="B29" s="468" t="s">
        <v>591</v>
      </c>
      <c r="C29" s="468" t="s">
        <v>448</v>
      </c>
      <c r="D29" s="468">
        <v>510145022</v>
      </c>
      <c r="E29" s="468">
        <v>40000252</v>
      </c>
      <c r="F29" s="468" t="s">
        <v>473</v>
      </c>
      <c r="G29" s="468">
        <v>2024</v>
      </c>
      <c r="H29" s="469">
        <v>370000</v>
      </c>
      <c r="I29" s="469">
        <v>370000</v>
      </c>
      <c r="J29" s="468" t="s">
        <v>465</v>
      </c>
      <c r="K29" s="468" t="s">
        <v>466</v>
      </c>
      <c r="L29" s="468">
        <v>16715</v>
      </c>
    </row>
    <row r="30" spans="1:12" s="466" customFormat="1" ht="15" x14ac:dyDescent="0.25">
      <c r="A30" s="467">
        <v>1001723184</v>
      </c>
      <c r="B30" s="468" t="s">
        <v>592</v>
      </c>
      <c r="C30" s="468" t="s">
        <v>448</v>
      </c>
      <c r="D30" s="468">
        <v>510145022</v>
      </c>
      <c r="E30" s="468">
        <v>40000252</v>
      </c>
      <c r="F30" s="468" t="s">
        <v>473</v>
      </c>
      <c r="G30" s="468">
        <v>2024</v>
      </c>
      <c r="H30" s="469">
        <v>85000</v>
      </c>
      <c r="I30" s="469">
        <v>56815</v>
      </c>
      <c r="J30" s="468" t="s">
        <v>465</v>
      </c>
      <c r="K30" s="468" t="s">
        <v>466</v>
      </c>
      <c r="L30" s="468">
        <v>16713</v>
      </c>
    </row>
    <row r="31" spans="1:12" s="466" customFormat="1" ht="15" x14ac:dyDescent="0.25">
      <c r="A31" s="467">
        <v>1001723187</v>
      </c>
      <c r="B31" s="468" t="s">
        <v>474</v>
      </c>
      <c r="C31" s="468" t="s">
        <v>448</v>
      </c>
      <c r="D31" s="468">
        <v>510145022</v>
      </c>
      <c r="E31" s="468">
        <v>40000252</v>
      </c>
      <c r="F31" s="468" t="s">
        <v>473</v>
      </c>
      <c r="G31" s="468">
        <v>2024</v>
      </c>
      <c r="H31" s="469">
        <v>320000</v>
      </c>
      <c r="I31" s="469">
        <v>122837</v>
      </c>
      <c r="J31" s="468" t="s">
        <v>465</v>
      </c>
      <c r="K31" s="468" t="s">
        <v>466</v>
      </c>
      <c r="L31" s="468">
        <v>16707</v>
      </c>
    </row>
    <row r="32" spans="1:12" s="466" customFormat="1" ht="15" x14ac:dyDescent="0.25">
      <c r="A32" s="467">
        <v>1001723189</v>
      </c>
      <c r="B32" s="468" t="s">
        <v>593</v>
      </c>
      <c r="C32" s="468" t="s">
        <v>448</v>
      </c>
      <c r="D32" s="468">
        <v>510145022</v>
      </c>
      <c r="E32" s="468">
        <v>40000252</v>
      </c>
      <c r="F32" s="468" t="s">
        <v>473</v>
      </c>
      <c r="G32" s="468">
        <v>2024</v>
      </c>
      <c r="H32" s="469">
        <v>60000</v>
      </c>
      <c r="I32" s="469">
        <v>42135</v>
      </c>
      <c r="J32" s="468" t="s">
        <v>465</v>
      </c>
      <c r="K32" s="468" t="s">
        <v>466</v>
      </c>
      <c r="L32" s="468">
        <v>16707</v>
      </c>
    </row>
    <row r="33" spans="1:12" s="466" customFormat="1" ht="15" x14ac:dyDescent="0.25">
      <c r="A33" s="467">
        <v>1001723192</v>
      </c>
      <c r="B33" s="468" t="s">
        <v>594</v>
      </c>
      <c r="C33" s="468" t="s">
        <v>448</v>
      </c>
      <c r="D33" s="468">
        <v>510145022</v>
      </c>
      <c r="E33" s="468">
        <v>40000252</v>
      </c>
      <c r="F33" s="468" t="s">
        <v>473</v>
      </c>
      <c r="G33" s="468">
        <v>2024</v>
      </c>
      <c r="H33" s="469">
        <v>60000</v>
      </c>
      <c r="I33" s="469">
        <v>46195</v>
      </c>
      <c r="J33" s="468" t="s">
        <v>465</v>
      </c>
      <c r="K33" s="468" t="s">
        <v>466</v>
      </c>
      <c r="L33" s="468">
        <v>16707</v>
      </c>
    </row>
    <row r="34" spans="1:12" s="466" customFormat="1" ht="15" x14ac:dyDescent="0.25">
      <c r="A34" s="467">
        <v>1001723259</v>
      </c>
      <c r="B34" s="468" t="s">
        <v>595</v>
      </c>
      <c r="C34" s="468" t="s">
        <v>448</v>
      </c>
      <c r="D34" s="468">
        <v>580037760</v>
      </c>
      <c r="E34" s="468">
        <v>40000096</v>
      </c>
      <c r="F34" s="468" t="s">
        <v>494</v>
      </c>
      <c r="G34" s="468">
        <v>2024</v>
      </c>
      <c r="H34" s="469">
        <v>6000000</v>
      </c>
      <c r="I34" s="469">
        <v>4204901</v>
      </c>
      <c r="J34" s="468" t="s">
        <v>465</v>
      </c>
      <c r="K34" s="468" t="s">
        <v>466</v>
      </c>
      <c r="L34" s="468">
        <v>16715</v>
      </c>
    </row>
    <row r="35" spans="1:12" s="466" customFormat="1" ht="15" x14ac:dyDescent="0.25">
      <c r="A35" s="467">
        <v>1001723274</v>
      </c>
      <c r="B35" s="468" t="s">
        <v>596</v>
      </c>
      <c r="C35" s="468" t="s">
        <v>448</v>
      </c>
      <c r="D35" s="468">
        <v>580600708</v>
      </c>
      <c r="E35" s="468">
        <v>41481961</v>
      </c>
      <c r="F35" s="468" t="s">
        <v>489</v>
      </c>
      <c r="G35" s="468">
        <v>2024</v>
      </c>
      <c r="H35" s="469">
        <v>200000</v>
      </c>
      <c r="I35" s="469">
        <v>35446</v>
      </c>
      <c r="J35" s="468" t="s">
        <v>465</v>
      </c>
      <c r="K35" s="468" t="s">
        <v>466</v>
      </c>
      <c r="L35" s="468">
        <v>16707</v>
      </c>
    </row>
    <row r="36" spans="1:12" s="466" customFormat="1" ht="15" x14ac:dyDescent="0.25">
      <c r="A36" s="467">
        <v>1001723295</v>
      </c>
      <c r="B36" s="468" t="s">
        <v>597</v>
      </c>
      <c r="C36" s="468" t="s">
        <v>448</v>
      </c>
      <c r="D36" s="468">
        <v>580032035</v>
      </c>
      <c r="E36" s="468">
        <v>40331189</v>
      </c>
      <c r="F36" s="468" t="s">
        <v>496</v>
      </c>
      <c r="G36" s="468">
        <v>2024</v>
      </c>
      <c r="H36" s="469">
        <v>515000</v>
      </c>
      <c r="I36" s="469">
        <v>72411.009999999995</v>
      </c>
      <c r="J36" s="468" t="s">
        <v>465</v>
      </c>
      <c r="K36" s="468" t="s">
        <v>466</v>
      </c>
      <c r="L36" s="468">
        <v>16712</v>
      </c>
    </row>
    <row r="37" spans="1:12" s="466" customFormat="1" ht="15" x14ac:dyDescent="0.25">
      <c r="A37" s="467">
        <v>1001723352</v>
      </c>
      <c r="B37" s="468" t="s">
        <v>575</v>
      </c>
      <c r="C37" s="468" t="s">
        <v>448</v>
      </c>
      <c r="D37" s="468">
        <v>580103323</v>
      </c>
      <c r="E37" s="468">
        <v>40000464</v>
      </c>
      <c r="F37" s="468" t="s">
        <v>470</v>
      </c>
      <c r="G37" s="468">
        <v>2024</v>
      </c>
      <c r="H37" s="469">
        <v>45000</v>
      </c>
      <c r="I37" s="469">
        <v>28963</v>
      </c>
      <c r="J37" s="468" t="s">
        <v>465</v>
      </c>
      <c r="K37" s="468" t="s">
        <v>466</v>
      </c>
      <c r="L37" s="468">
        <v>16713</v>
      </c>
    </row>
    <row r="38" spans="1:12" s="466" customFormat="1" ht="15" x14ac:dyDescent="0.25">
      <c r="A38" s="467">
        <v>1001730109</v>
      </c>
      <c r="B38" s="468" t="s">
        <v>468</v>
      </c>
      <c r="C38" s="468" t="s">
        <v>448</v>
      </c>
      <c r="D38" s="468">
        <v>580014231</v>
      </c>
      <c r="E38" s="468">
        <v>40471611</v>
      </c>
      <c r="F38" s="468" t="s">
        <v>469</v>
      </c>
      <c r="G38" s="468">
        <v>2024</v>
      </c>
      <c r="H38" s="469">
        <v>1700000</v>
      </c>
      <c r="I38" s="469">
        <v>615012</v>
      </c>
      <c r="J38" s="468" t="s">
        <v>465</v>
      </c>
      <c r="K38" s="468" t="s">
        <v>466</v>
      </c>
      <c r="L38" s="468">
        <v>16715</v>
      </c>
    </row>
    <row r="39" spans="1:12" s="466" customFormat="1" ht="15" x14ac:dyDescent="0.25">
      <c r="A39" s="467">
        <v>1001734201</v>
      </c>
      <c r="B39" s="468" t="s">
        <v>598</v>
      </c>
      <c r="C39" s="468" t="s">
        <v>448</v>
      </c>
      <c r="D39" s="468">
        <v>580474906</v>
      </c>
      <c r="E39" s="468">
        <v>40374797</v>
      </c>
      <c r="F39" s="468" t="s">
        <v>476</v>
      </c>
      <c r="G39" s="468">
        <v>2024</v>
      </c>
      <c r="H39" s="469">
        <v>1000000</v>
      </c>
      <c r="I39" s="469">
        <v>715221</v>
      </c>
      <c r="J39" s="468" t="s">
        <v>465</v>
      </c>
      <c r="K39" s="468" t="s">
        <v>466</v>
      </c>
      <c r="L39" s="468">
        <v>16715</v>
      </c>
    </row>
    <row r="40" spans="1:12" s="466" customFormat="1" ht="15" x14ac:dyDescent="0.25">
      <c r="A40" s="467">
        <v>1001734336</v>
      </c>
      <c r="B40" s="468" t="s">
        <v>599</v>
      </c>
      <c r="C40" s="468" t="s">
        <v>448</v>
      </c>
      <c r="D40" s="468">
        <v>580122034</v>
      </c>
      <c r="E40" s="468">
        <v>40000484</v>
      </c>
      <c r="F40" s="468" t="s">
        <v>535</v>
      </c>
      <c r="G40" s="468">
        <v>2024</v>
      </c>
      <c r="H40" s="469">
        <v>10000000</v>
      </c>
      <c r="I40" s="469">
        <v>6792877</v>
      </c>
      <c r="J40" s="468" t="s">
        <v>465</v>
      </c>
      <c r="K40" s="468" t="s">
        <v>466</v>
      </c>
      <c r="L40" s="468">
        <v>16715</v>
      </c>
    </row>
    <row r="41" spans="1:12" s="466" customFormat="1" ht="15" x14ac:dyDescent="0.25">
      <c r="A41" s="467">
        <v>1001734369</v>
      </c>
      <c r="B41" s="468" t="s">
        <v>600</v>
      </c>
      <c r="C41" s="468" t="s">
        <v>448</v>
      </c>
      <c r="D41" s="468">
        <v>580013522</v>
      </c>
      <c r="E41" s="468">
        <v>40000333</v>
      </c>
      <c r="F41" s="468" t="s">
        <v>393</v>
      </c>
      <c r="G41" s="468">
        <v>2024</v>
      </c>
      <c r="H41" s="469">
        <v>400000</v>
      </c>
      <c r="I41" s="469">
        <v>109256</v>
      </c>
      <c r="J41" s="468" t="s">
        <v>465</v>
      </c>
      <c r="K41" s="468" t="s">
        <v>466</v>
      </c>
      <c r="L41" s="468">
        <v>16716</v>
      </c>
    </row>
    <row r="42" spans="1:12" s="466" customFormat="1" ht="15" x14ac:dyDescent="0.25">
      <c r="A42" s="467">
        <v>1001734501</v>
      </c>
      <c r="B42" s="468" t="s">
        <v>417</v>
      </c>
      <c r="C42" s="468" t="s">
        <v>448</v>
      </c>
      <c r="D42" s="468">
        <v>580013522</v>
      </c>
      <c r="E42" s="468">
        <v>40000333</v>
      </c>
      <c r="F42" s="468" t="s">
        <v>393</v>
      </c>
      <c r="G42" s="468">
        <v>2024</v>
      </c>
      <c r="H42" s="469">
        <v>300000</v>
      </c>
      <c r="I42" s="469">
        <v>57326</v>
      </c>
      <c r="J42" s="468" t="s">
        <v>465</v>
      </c>
      <c r="K42" s="468" t="s">
        <v>466</v>
      </c>
      <c r="L42" s="468">
        <v>16711</v>
      </c>
    </row>
    <row r="43" spans="1:12" s="466" customFormat="1" ht="15" x14ac:dyDescent="0.25">
      <c r="A43" s="467">
        <v>1001734610</v>
      </c>
      <c r="B43" s="468" t="s">
        <v>953</v>
      </c>
      <c r="C43" s="468" t="s">
        <v>952</v>
      </c>
      <c r="D43" s="468">
        <v>580146850</v>
      </c>
      <c r="E43" s="468">
        <v>40000505</v>
      </c>
      <c r="F43" s="468" t="s">
        <v>954</v>
      </c>
      <c r="G43" s="468">
        <v>2024</v>
      </c>
      <c r="H43" s="469">
        <v>90000</v>
      </c>
      <c r="I43" s="469">
        <v>0</v>
      </c>
      <c r="J43" s="468" t="s">
        <v>465</v>
      </c>
      <c r="K43" s="468" t="s">
        <v>466</v>
      </c>
      <c r="L43" s="468">
        <v>16713</v>
      </c>
    </row>
    <row r="44" spans="1:12" s="466" customFormat="1" ht="15" x14ac:dyDescent="0.25">
      <c r="A44" s="467">
        <v>1001734685</v>
      </c>
      <c r="B44" s="468" t="s">
        <v>601</v>
      </c>
      <c r="C44" s="468" t="s">
        <v>448</v>
      </c>
      <c r="D44" s="468">
        <v>580049708</v>
      </c>
      <c r="E44" s="468">
        <v>40000399</v>
      </c>
      <c r="F44" s="468" t="s">
        <v>528</v>
      </c>
      <c r="G44" s="468">
        <v>2024</v>
      </c>
      <c r="H44" s="469">
        <v>5200000</v>
      </c>
      <c r="I44" s="469">
        <v>4109416</v>
      </c>
      <c r="J44" s="468" t="s">
        <v>465</v>
      </c>
      <c r="K44" s="468" t="s">
        <v>466</v>
      </c>
      <c r="L44" s="468">
        <v>16715</v>
      </c>
    </row>
    <row r="45" spans="1:12" s="466" customFormat="1" ht="15" x14ac:dyDescent="0.25">
      <c r="A45" s="467">
        <v>1001734687</v>
      </c>
      <c r="B45" s="468" t="s">
        <v>602</v>
      </c>
      <c r="C45" s="468" t="s">
        <v>448</v>
      </c>
      <c r="D45" s="468">
        <v>580450898</v>
      </c>
      <c r="E45" s="468">
        <v>41099000</v>
      </c>
      <c r="F45" s="468" t="s">
        <v>486</v>
      </c>
      <c r="G45" s="468">
        <v>2024</v>
      </c>
      <c r="H45" s="469">
        <v>800000</v>
      </c>
      <c r="I45" s="469">
        <v>221795</v>
      </c>
      <c r="J45" s="468" t="s">
        <v>465</v>
      </c>
      <c r="K45" s="468" t="s">
        <v>466</v>
      </c>
      <c r="L45" s="468">
        <v>16710</v>
      </c>
    </row>
    <row r="46" spans="1:12" s="466" customFormat="1" ht="15" x14ac:dyDescent="0.25">
      <c r="A46" s="467">
        <v>1001734689</v>
      </c>
      <c r="B46" s="468" t="s">
        <v>603</v>
      </c>
      <c r="C46" s="468" t="s">
        <v>448</v>
      </c>
      <c r="D46" s="468">
        <v>580450898</v>
      </c>
      <c r="E46" s="468">
        <v>41099000</v>
      </c>
      <c r="F46" s="468" t="s">
        <v>486</v>
      </c>
      <c r="G46" s="468">
        <v>2024</v>
      </c>
      <c r="H46" s="469">
        <v>1500000</v>
      </c>
      <c r="I46" s="469">
        <v>746106</v>
      </c>
      <c r="J46" s="468" t="s">
        <v>465</v>
      </c>
      <c r="K46" s="468" t="s">
        <v>466</v>
      </c>
      <c r="L46" s="468">
        <v>16715</v>
      </c>
    </row>
    <row r="47" spans="1:12" s="466" customFormat="1" ht="15" x14ac:dyDescent="0.25">
      <c r="A47" s="467">
        <v>1001734690</v>
      </c>
      <c r="B47" s="468" t="s">
        <v>416</v>
      </c>
      <c r="C47" s="468" t="s">
        <v>448</v>
      </c>
      <c r="D47" s="468">
        <v>580450898</v>
      </c>
      <c r="E47" s="468">
        <v>41099000</v>
      </c>
      <c r="F47" s="468" t="s">
        <v>486</v>
      </c>
      <c r="G47" s="468">
        <v>2024</v>
      </c>
      <c r="H47" s="469">
        <v>150000</v>
      </c>
      <c r="I47" s="469">
        <v>120651</v>
      </c>
      <c r="J47" s="468" t="s">
        <v>465</v>
      </c>
      <c r="K47" s="468" t="s">
        <v>466</v>
      </c>
      <c r="L47" s="468">
        <v>16711</v>
      </c>
    </row>
    <row r="48" spans="1:12" s="466" customFormat="1" ht="15" x14ac:dyDescent="0.25">
      <c r="A48" s="467">
        <v>1001734691</v>
      </c>
      <c r="B48" s="468" t="s">
        <v>418</v>
      </c>
      <c r="C48" s="468" t="s">
        <v>448</v>
      </c>
      <c r="D48" s="468">
        <v>580450898</v>
      </c>
      <c r="E48" s="468">
        <v>41099000</v>
      </c>
      <c r="F48" s="468" t="s">
        <v>486</v>
      </c>
      <c r="G48" s="468">
        <v>2024</v>
      </c>
      <c r="H48" s="469">
        <v>200000</v>
      </c>
      <c r="I48" s="469">
        <v>130173</v>
      </c>
      <c r="J48" s="468" t="s">
        <v>465</v>
      </c>
      <c r="K48" s="468" t="s">
        <v>466</v>
      </c>
      <c r="L48" s="468">
        <v>16711</v>
      </c>
    </row>
    <row r="49" spans="1:12" s="466" customFormat="1" ht="15" x14ac:dyDescent="0.25">
      <c r="A49" s="467">
        <v>1001734692</v>
      </c>
      <c r="B49" s="468" t="s">
        <v>604</v>
      </c>
      <c r="C49" s="468" t="s">
        <v>448</v>
      </c>
      <c r="D49" s="468">
        <v>580450898</v>
      </c>
      <c r="E49" s="468">
        <v>41099000</v>
      </c>
      <c r="F49" s="468" t="s">
        <v>486</v>
      </c>
      <c r="G49" s="468">
        <v>2024</v>
      </c>
      <c r="H49" s="469">
        <v>100000</v>
      </c>
      <c r="I49" s="469">
        <v>50679</v>
      </c>
      <c r="J49" s="468" t="s">
        <v>465</v>
      </c>
      <c r="K49" s="468" t="s">
        <v>466</v>
      </c>
      <c r="L49" s="468">
        <v>16707</v>
      </c>
    </row>
    <row r="50" spans="1:12" s="466" customFormat="1" ht="15" x14ac:dyDescent="0.25">
      <c r="A50" s="467">
        <v>1001734695</v>
      </c>
      <c r="B50" s="468" t="s">
        <v>605</v>
      </c>
      <c r="C50" s="468" t="s">
        <v>448</v>
      </c>
      <c r="D50" s="468">
        <v>580450898</v>
      </c>
      <c r="E50" s="468">
        <v>41099000</v>
      </c>
      <c r="F50" s="468" t="s">
        <v>486</v>
      </c>
      <c r="G50" s="468">
        <v>2024</v>
      </c>
      <c r="H50" s="469">
        <v>100000</v>
      </c>
      <c r="I50" s="469">
        <v>38346</v>
      </c>
      <c r="J50" s="468" t="s">
        <v>465</v>
      </c>
      <c r="K50" s="468" t="s">
        <v>466</v>
      </c>
      <c r="L50" s="468">
        <v>16707</v>
      </c>
    </row>
    <row r="51" spans="1:12" s="466" customFormat="1" ht="15" x14ac:dyDescent="0.25">
      <c r="A51" s="467">
        <v>1001734696</v>
      </c>
      <c r="B51" s="468" t="s">
        <v>487</v>
      </c>
      <c r="C51" s="468" t="s">
        <v>448</v>
      </c>
      <c r="D51" s="468">
        <v>580450898</v>
      </c>
      <c r="E51" s="468">
        <v>41099000</v>
      </c>
      <c r="F51" s="468" t="s">
        <v>486</v>
      </c>
      <c r="G51" s="468">
        <v>2024</v>
      </c>
      <c r="H51" s="469">
        <v>200000</v>
      </c>
      <c r="I51" s="469">
        <v>49563</v>
      </c>
      <c r="J51" s="468" t="s">
        <v>465</v>
      </c>
      <c r="K51" s="468" t="s">
        <v>466</v>
      </c>
      <c r="L51" s="468">
        <v>16707</v>
      </c>
    </row>
    <row r="52" spans="1:12" s="466" customFormat="1" ht="15" x14ac:dyDescent="0.25">
      <c r="A52" s="467">
        <v>1001734697</v>
      </c>
      <c r="B52" s="468" t="s">
        <v>606</v>
      </c>
      <c r="C52" s="468" t="s">
        <v>448</v>
      </c>
      <c r="D52" s="468">
        <v>580450898</v>
      </c>
      <c r="E52" s="468">
        <v>41099000</v>
      </c>
      <c r="F52" s="468" t="s">
        <v>486</v>
      </c>
      <c r="G52" s="468">
        <v>2024</v>
      </c>
      <c r="H52" s="469">
        <v>100000</v>
      </c>
      <c r="I52" s="469">
        <v>49526</v>
      </c>
      <c r="J52" s="468" t="s">
        <v>465</v>
      </c>
      <c r="K52" s="468" t="s">
        <v>466</v>
      </c>
      <c r="L52" s="468">
        <v>16707</v>
      </c>
    </row>
    <row r="53" spans="1:12" s="466" customFormat="1" ht="15" x14ac:dyDescent="0.25">
      <c r="A53" s="467">
        <v>1001734801</v>
      </c>
      <c r="B53" s="468" t="s">
        <v>607</v>
      </c>
      <c r="C53" s="468" t="s">
        <v>453</v>
      </c>
      <c r="D53" s="468">
        <v>580658334</v>
      </c>
      <c r="E53" s="468">
        <v>41634844</v>
      </c>
      <c r="F53" s="468" t="s">
        <v>534</v>
      </c>
      <c r="G53" s="468">
        <v>2024</v>
      </c>
      <c r="H53" s="469">
        <v>600000</v>
      </c>
      <c r="I53" s="469">
        <v>0</v>
      </c>
      <c r="J53" s="468" t="s">
        <v>465</v>
      </c>
      <c r="K53" s="468" t="s">
        <v>466</v>
      </c>
      <c r="L53" s="468">
        <v>16711</v>
      </c>
    </row>
    <row r="54" spans="1:12" s="466" customFormat="1" ht="15" x14ac:dyDescent="0.25">
      <c r="A54" s="467">
        <v>1001734934</v>
      </c>
      <c r="B54" s="468" t="s">
        <v>608</v>
      </c>
      <c r="C54" s="468" t="s">
        <v>448</v>
      </c>
      <c r="D54" s="468">
        <v>580586287</v>
      </c>
      <c r="E54" s="468">
        <v>41877335</v>
      </c>
      <c r="F54" s="468" t="s">
        <v>527</v>
      </c>
      <c r="G54" s="468">
        <v>2024</v>
      </c>
      <c r="H54" s="469">
        <v>400000</v>
      </c>
      <c r="I54" s="469">
        <v>58881</v>
      </c>
      <c r="J54" s="468" t="s">
        <v>465</v>
      </c>
      <c r="K54" s="468" t="s">
        <v>466</v>
      </c>
      <c r="L54" s="468">
        <v>16707</v>
      </c>
    </row>
    <row r="55" spans="1:12" s="466" customFormat="1" ht="15" x14ac:dyDescent="0.25">
      <c r="A55" s="467">
        <v>1001734935</v>
      </c>
      <c r="B55" s="468" t="s">
        <v>609</v>
      </c>
      <c r="C55" s="468" t="s">
        <v>453</v>
      </c>
      <c r="D55" s="468">
        <v>580586287</v>
      </c>
      <c r="E55" s="468">
        <v>41877335</v>
      </c>
      <c r="F55" s="468" t="s">
        <v>527</v>
      </c>
      <c r="G55" s="468">
        <v>2024</v>
      </c>
      <c r="H55" s="469">
        <v>180000</v>
      </c>
      <c r="I55" s="469">
        <v>0</v>
      </c>
      <c r="J55" s="468" t="s">
        <v>465</v>
      </c>
      <c r="K55" s="468" t="s">
        <v>466</v>
      </c>
      <c r="L55" s="468">
        <v>16707</v>
      </c>
    </row>
    <row r="56" spans="1:12" s="466" customFormat="1" ht="15" x14ac:dyDescent="0.25">
      <c r="A56" s="467">
        <v>1001734958</v>
      </c>
      <c r="B56" s="468" t="s">
        <v>530</v>
      </c>
      <c r="C56" s="468" t="s">
        <v>448</v>
      </c>
      <c r="D56" s="468">
        <v>580666642</v>
      </c>
      <c r="E56" s="468">
        <v>42316025</v>
      </c>
      <c r="F56" s="468" t="s">
        <v>531</v>
      </c>
      <c r="G56" s="468">
        <v>2024</v>
      </c>
      <c r="H56" s="469">
        <v>600000</v>
      </c>
      <c r="I56" s="469">
        <v>151520</v>
      </c>
      <c r="J56" s="468" t="s">
        <v>465</v>
      </c>
      <c r="K56" s="468" t="s">
        <v>466</v>
      </c>
      <c r="L56" s="468">
        <v>16710</v>
      </c>
    </row>
    <row r="57" spans="1:12" s="466" customFormat="1" ht="15" x14ac:dyDescent="0.25">
      <c r="A57" s="467">
        <v>1001734984</v>
      </c>
      <c r="B57" s="468" t="s">
        <v>610</v>
      </c>
      <c r="C57" s="468" t="s">
        <v>448</v>
      </c>
      <c r="D57" s="468">
        <v>580450898</v>
      </c>
      <c r="E57" s="468">
        <v>41099000</v>
      </c>
      <c r="F57" s="468" t="s">
        <v>486</v>
      </c>
      <c r="G57" s="468">
        <v>2024</v>
      </c>
      <c r="H57" s="469">
        <v>300000</v>
      </c>
      <c r="I57" s="469">
        <v>270525</v>
      </c>
      <c r="J57" s="468" t="s">
        <v>465</v>
      </c>
      <c r="K57" s="468" t="s">
        <v>466</v>
      </c>
      <c r="L57" s="468">
        <v>16713</v>
      </c>
    </row>
    <row r="58" spans="1:12" s="466" customFormat="1" ht="15" x14ac:dyDescent="0.25">
      <c r="A58" s="467">
        <v>1001735047</v>
      </c>
      <c r="B58" s="468" t="s">
        <v>504</v>
      </c>
      <c r="C58" s="468" t="s">
        <v>952</v>
      </c>
      <c r="D58" s="468">
        <v>580327740</v>
      </c>
      <c r="E58" s="468">
        <v>40221541</v>
      </c>
      <c r="F58" s="468" t="s">
        <v>454</v>
      </c>
      <c r="G58" s="468">
        <v>2024</v>
      </c>
      <c r="H58" s="469">
        <v>110000</v>
      </c>
      <c r="I58" s="469">
        <v>0</v>
      </c>
      <c r="J58" s="468" t="s">
        <v>465</v>
      </c>
      <c r="K58" s="468" t="s">
        <v>466</v>
      </c>
      <c r="L58" s="468">
        <v>16707</v>
      </c>
    </row>
    <row r="59" spans="1:12" s="466" customFormat="1" ht="15" x14ac:dyDescent="0.25">
      <c r="A59" s="467">
        <v>1001735049</v>
      </c>
      <c r="B59" s="468" t="s">
        <v>505</v>
      </c>
      <c r="C59" s="468" t="s">
        <v>448</v>
      </c>
      <c r="D59" s="468">
        <v>580327740</v>
      </c>
      <c r="E59" s="468">
        <v>40221541</v>
      </c>
      <c r="F59" s="468" t="s">
        <v>454</v>
      </c>
      <c r="G59" s="468">
        <v>2024</v>
      </c>
      <c r="H59" s="469">
        <v>60000</v>
      </c>
      <c r="I59" s="469">
        <v>33360</v>
      </c>
      <c r="J59" s="468" t="s">
        <v>465</v>
      </c>
      <c r="K59" s="468" t="s">
        <v>466</v>
      </c>
      <c r="L59" s="468">
        <v>16707</v>
      </c>
    </row>
    <row r="60" spans="1:12" s="466" customFormat="1" ht="15" x14ac:dyDescent="0.25">
      <c r="A60" s="467">
        <v>1001735070</v>
      </c>
      <c r="B60" s="468" t="s">
        <v>506</v>
      </c>
      <c r="C60" s="468" t="s">
        <v>448</v>
      </c>
      <c r="D60" s="468">
        <v>580327740</v>
      </c>
      <c r="E60" s="468">
        <v>40221541</v>
      </c>
      <c r="F60" s="468" t="s">
        <v>454</v>
      </c>
      <c r="G60" s="468">
        <v>2024</v>
      </c>
      <c r="H60" s="469">
        <v>45000</v>
      </c>
      <c r="I60" s="469">
        <v>45000</v>
      </c>
      <c r="J60" s="468" t="s">
        <v>465</v>
      </c>
      <c r="K60" s="468" t="s">
        <v>466</v>
      </c>
      <c r="L60" s="468">
        <v>16707</v>
      </c>
    </row>
    <row r="61" spans="1:12" s="466" customFormat="1" ht="15" x14ac:dyDescent="0.25">
      <c r="A61" s="467">
        <v>1001735071</v>
      </c>
      <c r="B61" s="468" t="s">
        <v>507</v>
      </c>
      <c r="C61" s="468" t="s">
        <v>448</v>
      </c>
      <c r="D61" s="468">
        <v>580327740</v>
      </c>
      <c r="E61" s="468">
        <v>40221541</v>
      </c>
      <c r="F61" s="468" t="s">
        <v>454</v>
      </c>
      <c r="G61" s="468">
        <v>2024</v>
      </c>
      <c r="H61" s="469">
        <v>40000</v>
      </c>
      <c r="I61" s="469">
        <v>40000</v>
      </c>
      <c r="J61" s="468" t="s">
        <v>465</v>
      </c>
      <c r="K61" s="468" t="s">
        <v>466</v>
      </c>
      <c r="L61" s="468">
        <v>16707</v>
      </c>
    </row>
    <row r="62" spans="1:12" s="466" customFormat="1" ht="15" x14ac:dyDescent="0.25">
      <c r="A62" s="467">
        <v>1001735077</v>
      </c>
      <c r="B62" s="468" t="s">
        <v>611</v>
      </c>
      <c r="C62" s="468" t="s">
        <v>448</v>
      </c>
      <c r="D62" s="468">
        <v>580327740</v>
      </c>
      <c r="E62" s="468">
        <v>40221541</v>
      </c>
      <c r="F62" s="468" t="s">
        <v>454</v>
      </c>
      <c r="G62" s="468">
        <v>2024</v>
      </c>
      <c r="H62" s="469">
        <v>45000</v>
      </c>
      <c r="I62" s="469">
        <v>39550</v>
      </c>
      <c r="J62" s="468" t="s">
        <v>465</v>
      </c>
      <c r="K62" s="468" t="s">
        <v>466</v>
      </c>
      <c r="L62" s="468">
        <v>16707</v>
      </c>
    </row>
    <row r="63" spans="1:12" s="466" customFormat="1" ht="15" x14ac:dyDescent="0.25">
      <c r="A63" s="467">
        <v>1001735283</v>
      </c>
      <c r="B63" s="468" t="s">
        <v>508</v>
      </c>
      <c r="C63" s="468" t="s">
        <v>448</v>
      </c>
      <c r="D63" s="468">
        <v>580327740</v>
      </c>
      <c r="E63" s="468">
        <v>40221541</v>
      </c>
      <c r="F63" s="468" t="s">
        <v>454</v>
      </c>
      <c r="G63" s="468">
        <v>2024</v>
      </c>
      <c r="H63" s="469">
        <v>60000</v>
      </c>
      <c r="I63" s="469">
        <v>34468</v>
      </c>
      <c r="J63" s="468" t="s">
        <v>465</v>
      </c>
      <c r="K63" s="468" t="s">
        <v>466</v>
      </c>
      <c r="L63" s="468">
        <v>16713</v>
      </c>
    </row>
    <row r="64" spans="1:12" s="466" customFormat="1" ht="15" x14ac:dyDescent="0.25">
      <c r="A64" s="467">
        <v>1001735284</v>
      </c>
      <c r="B64" s="468" t="s">
        <v>509</v>
      </c>
      <c r="C64" s="468" t="s">
        <v>448</v>
      </c>
      <c r="D64" s="468">
        <v>580327740</v>
      </c>
      <c r="E64" s="468">
        <v>40221541</v>
      </c>
      <c r="F64" s="468" t="s">
        <v>454</v>
      </c>
      <c r="G64" s="468">
        <v>2024</v>
      </c>
      <c r="H64" s="469">
        <v>98000</v>
      </c>
      <c r="I64" s="469">
        <v>68222</v>
      </c>
      <c r="J64" s="468" t="s">
        <v>465</v>
      </c>
      <c r="K64" s="468" t="s">
        <v>466</v>
      </c>
      <c r="L64" s="468">
        <v>16713</v>
      </c>
    </row>
    <row r="65" spans="1:12" s="466" customFormat="1" ht="15" x14ac:dyDescent="0.25">
      <c r="A65" s="467">
        <v>1001735289</v>
      </c>
      <c r="B65" s="468" t="s">
        <v>174</v>
      </c>
      <c r="C65" s="468" t="s">
        <v>448</v>
      </c>
      <c r="D65" s="468">
        <v>580327740</v>
      </c>
      <c r="E65" s="468">
        <v>40221541</v>
      </c>
      <c r="F65" s="468" t="s">
        <v>454</v>
      </c>
      <c r="G65" s="468">
        <v>2024</v>
      </c>
      <c r="H65" s="469">
        <v>70000</v>
      </c>
      <c r="I65" s="469">
        <v>70000</v>
      </c>
      <c r="J65" s="468" t="s">
        <v>465</v>
      </c>
      <c r="K65" s="468" t="s">
        <v>466</v>
      </c>
      <c r="L65" s="468">
        <v>16711</v>
      </c>
    </row>
    <row r="66" spans="1:12" s="466" customFormat="1" ht="15" x14ac:dyDescent="0.25">
      <c r="A66" s="467">
        <v>1001735290</v>
      </c>
      <c r="B66" s="468" t="s">
        <v>173</v>
      </c>
      <c r="C66" s="468" t="s">
        <v>448</v>
      </c>
      <c r="D66" s="468">
        <v>580327740</v>
      </c>
      <c r="E66" s="468">
        <v>40221541</v>
      </c>
      <c r="F66" s="468" t="s">
        <v>454</v>
      </c>
      <c r="G66" s="468">
        <v>2024</v>
      </c>
      <c r="H66" s="469">
        <v>110000</v>
      </c>
      <c r="I66" s="469">
        <v>110000</v>
      </c>
      <c r="J66" s="468" t="s">
        <v>465</v>
      </c>
      <c r="K66" s="468" t="s">
        <v>466</v>
      </c>
      <c r="L66" s="468">
        <v>16711</v>
      </c>
    </row>
    <row r="67" spans="1:12" s="466" customFormat="1" ht="15" x14ac:dyDescent="0.25">
      <c r="A67" s="467">
        <v>1001735291</v>
      </c>
      <c r="B67" s="468" t="s">
        <v>390</v>
      </c>
      <c r="C67" s="468" t="s">
        <v>448</v>
      </c>
      <c r="D67" s="468">
        <v>580327740</v>
      </c>
      <c r="E67" s="468">
        <v>40221541</v>
      </c>
      <c r="F67" s="468" t="s">
        <v>454</v>
      </c>
      <c r="G67" s="468">
        <v>2024</v>
      </c>
      <c r="H67" s="469">
        <v>60000</v>
      </c>
      <c r="I67" s="469">
        <v>41052</v>
      </c>
      <c r="J67" s="468" t="s">
        <v>465</v>
      </c>
      <c r="K67" s="468" t="s">
        <v>466</v>
      </c>
      <c r="L67" s="468">
        <v>16711</v>
      </c>
    </row>
    <row r="68" spans="1:12" s="466" customFormat="1" ht="15" x14ac:dyDescent="0.25">
      <c r="A68" s="467">
        <v>1001735292</v>
      </c>
      <c r="B68" s="468" t="s">
        <v>175</v>
      </c>
      <c r="C68" s="468" t="s">
        <v>448</v>
      </c>
      <c r="D68" s="468">
        <v>580327740</v>
      </c>
      <c r="E68" s="468">
        <v>40221541</v>
      </c>
      <c r="F68" s="468" t="s">
        <v>454</v>
      </c>
      <c r="G68" s="468">
        <v>2024</v>
      </c>
      <c r="H68" s="469">
        <v>75000</v>
      </c>
      <c r="I68" s="469">
        <v>75000</v>
      </c>
      <c r="J68" s="468" t="s">
        <v>465</v>
      </c>
      <c r="K68" s="468" t="s">
        <v>466</v>
      </c>
      <c r="L68" s="468">
        <v>16711</v>
      </c>
    </row>
    <row r="69" spans="1:12" s="466" customFormat="1" ht="15" x14ac:dyDescent="0.25">
      <c r="A69" s="467">
        <v>1001735293</v>
      </c>
      <c r="B69" s="468" t="s">
        <v>388</v>
      </c>
      <c r="C69" s="468" t="s">
        <v>448</v>
      </c>
      <c r="D69" s="468">
        <v>580327740</v>
      </c>
      <c r="E69" s="468">
        <v>40221541</v>
      </c>
      <c r="F69" s="468" t="s">
        <v>454</v>
      </c>
      <c r="G69" s="468">
        <v>2024</v>
      </c>
      <c r="H69" s="469">
        <v>50000</v>
      </c>
      <c r="I69" s="469">
        <v>35739</v>
      </c>
      <c r="J69" s="468" t="s">
        <v>465</v>
      </c>
      <c r="K69" s="468" t="s">
        <v>466</v>
      </c>
      <c r="L69" s="468">
        <v>16711</v>
      </c>
    </row>
    <row r="70" spans="1:12" s="466" customFormat="1" ht="15" x14ac:dyDescent="0.25">
      <c r="A70" s="467">
        <v>1001735295</v>
      </c>
      <c r="B70" s="468" t="s">
        <v>170</v>
      </c>
      <c r="C70" s="468" t="s">
        <v>448</v>
      </c>
      <c r="D70" s="468">
        <v>580327740</v>
      </c>
      <c r="E70" s="468">
        <v>40221541</v>
      </c>
      <c r="F70" s="468" t="s">
        <v>454</v>
      </c>
      <c r="G70" s="468">
        <v>2024</v>
      </c>
      <c r="H70" s="469">
        <v>120000</v>
      </c>
      <c r="I70" s="469">
        <v>119821</v>
      </c>
      <c r="J70" s="468" t="s">
        <v>465</v>
      </c>
      <c r="K70" s="468" t="s">
        <v>466</v>
      </c>
      <c r="L70" s="468">
        <v>16711</v>
      </c>
    </row>
    <row r="71" spans="1:12" s="466" customFormat="1" ht="15" x14ac:dyDescent="0.25">
      <c r="A71" s="467">
        <v>1001735296</v>
      </c>
      <c r="B71" s="468" t="s">
        <v>386</v>
      </c>
      <c r="C71" s="468" t="s">
        <v>448</v>
      </c>
      <c r="D71" s="468">
        <v>580327740</v>
      </c>
      <c r="E71" s="468">
        <v>40221541</v>
      </c>
      <c r="F71" s="468" t="s">
        <v>454</v>
      </c>
      <c r="G71" s="468">
        <v>2024</v>
      </c>
      <c r="H71" s="469">
        <v>130000</v>
      </c>
      <c r="I71" s="469">
        <v>130000</v>
      </c>
      <c r="J71" s="468" t="s">
        <v>465</v>
      </c>
      <c r="K71" s="468" t="s">
        <v>466</v>
      </c>
      <c r="L71" s="468">
        <v>16711</v>
      </c>
    </row>
    <row r="72" spans="1:12" s="466" customFormat="1" ht="15" x14ac:dyDescent="0.25">
      <c r="A72" s="467">
        <v>1001735297</v>
      </c>
      <c r="B72" s="468" t="s">
        <v>387</v>
      </c>
      <c r="C72" s="468" t="s">
        <v>448</v>
      </c>
      <c r="D72" s="468">
        <v>580327740</v>
      </c>
      <c r="E72" s="468">
        <v>40221541</v>
      </c>
      <c r="F72" s="468" t="s">
        <v>454</v>
      </c>
      <c r="G72" s="468">
        <v>2024</v>
      </c>
      <c r="H72" s="469">
        <v>60000</v>
      </c>
      <c r="I72" s="469">
        <v>38495</v>
      </c>
      <c r="J72" s="468" t="s">
        <v>465</v>
      </c>
      <c r="K72" s="468" t="s">
        <v>466</v>
      </c>
      <c r="L72" s="468">
        <v>16711</v>
      </c>
    </row>
    <row r="73" spans="1:12" s="466" customFormat="1" ht="15" x14ac:dyDescent="0.25">
      <c r="A73" s="467">
        <v>1001735298</v>
      </c>
      <c r="B73" s="468" t="s">
        <v>612</v>
      </c>
      <c r="C73" s="468" t="s">
        <v>448</v>
      </c>
      <c r="D73" s="468">
        <v>580327740</v>
      </c>
      <c r="E73" s="468">
        <v>40221541</v>
      </c>
      <c r="F73" s="468" t="s">
        <v>454</v>
      </c>
      <c r="G73" s="468">
        <v>2024</v>
      </c>
      <c r="H73" s="469">
        <v>70000</v>
      </c>
      <c r="I73" s="469">
        <v>65368</v>
      </c>
      <c r="J73" s="468" t="s">
        <v>465</v>
      </c>
      <c r="K73" s="468" t="s">
        <v>466</v>
      </c>
      <c r="L73" s="468">
        <v>16711</v>
      </c>
    </row>
    <row r="74" spans="1:12" s="466" customFormat="1" ht="15" x14ac:dyDescent="0.25">
      <c r="A74" s="467">
        <v>1001735300</v>
      </c>
      <c r="B74" s="468" t="s">
        <v>172</v>
      </c>
      <c r="C74" s="468" t="s">
        <v>448</v>
      </c>
      <c r="D74" s="468">
        <v>580327740</v>
      </c>
      <c r="E74" s="468">
        <v>40221541</v>
      </c>
      <c r="F74" s="468" t="s">
        <v>454</v>
      </c>
      <c r="G74" s="468">
        <v>2024</v>
      </c>
      <c r="H74" s="469">
        <v>80000</v>
      </c>
      <c r="I74" s="469">
        <v>80000</v>
      </c>
      <c r="J74" s="468" t="s">
        <v>465</v>
      </c>
      <c r="K74" s="468" t="s">
        <v>466</v>
      </c>
      <c r="L74" s="468">
        <v>16711</v>
      </c>
    </row>
    <row r="75" spans="1:12" s="466" customFormat="1" ht="15" x14ac:dyDescent="0.25">
      <c r="A75" s="467">
        <v>1001735301</v>
      </c>
      <c r="B75" s="468" t="s">
        <v>171</v>
      </c>
      <c r="C75" s="468" t="s">
        <v>448</v>
      </c>
      <c r="D75" s="468">
        <v>580327740</v>
      </c>
      <c r="E75" s="468">
        <v>40221541</v>
      </c>
      <c r="F75" s="468" t="s">
        <v>454</v>
      </c>
      <c r="G75" s="468">
        <v>2024</v>
      </c>
      <c r="H75" s="469">
        <v>65000</v>
      </c>
      <c r="I75" s="469">
        <v>65000</v>
      </c>
      <c r="J75" s="468" t="s">
        <v>465</v>
      </c>
      <c r="K75" s="468" t="s">
        <v>466</v>
      </c>
      <c r="L75" s="468">
        <v>16711</v>
      </c>
    </row>
    <row r="76" spans="1:12" s="466" customFormat="1" ht="15" x14ac:dyDescent="0.25">
      <c r="A76" s="467">
        <v>1001735302</v>
      </c>
      <c r="B76" s="468" t="s">
        <v>168</v>
      </c>
      <c r="C76" s="468" t="s">
        <v>448</v>
      </c>
      <c r="D76" s="468">
        <v>580327740</v>
      </c>
      <c r="E76" s="468">
        <v>40221541</v>
      </c>
      <c r="F76" s="468" t="s">
        <v>454</v>
      </c>
      <c r="G76" s="468">
        <v>2024</v>
      </c>
      <c r="H76" s="469">
        <v>95000</v>
      </c>
      <c r="I76" s="469">
        <v>87848</v>
      </c>
      <c r="J76" s="468" t="s">
        <v>465</v>
      </c>
      <c r="K76" s="468" t="s">
        <v>466</v>
      </c>
      <c r="L76" s="468">
        <v>16711</v>
      </c>
    </row>
    <row r="77" spans="1:12" s="466" customFormat="1" ht="15" x14ac:dyDescent="0.25">
      <c r="A77" s="467">
        <v>1001735305</v>
      </c>
      <c r="B77" s="468" t="s">
        <v>389</v>
      </c>
      <c r="C77" s="468" t="s">
        <v>448</v>
      </c>
      <c r="D77" s="468">
        <v>580327740</v>
      </c>
      <c r="E77" s="468">
        <v>40221541</v>
      </c>
      <c r="F77" s="468" t="s">
        <v>454</v>
      </c>
      <c r="G77" s="468">
        <v>2024</v>
      </c>
      <c r="H77" s="469">
        <v>65000</v>
      </c>
      <c r="I77" s="469">
        <v>52512</v>
      </c>
      <c r="J77" s="468" t="s">
        <v>465</v>
      </c>
      <c r="K77" s="468" t="s">
        <v>466</v>
      </c>
      <c r="L77" s="468">
        <v>16711</v>
      </c>
    </row>
    <row r="78" spans="1:12" s="466" customFormat="1" ht="15" x14ac:dyDescent="0.25">
      <c r="A78" s="467">
        <v>1001735306</v>
      </c>
      <c r="B78" s="468" t="s">
        <v>165</v>
      </c>
      <c r="C78" s="468" t="s">
        <v>448</v>
      </c>
      <c r="D78" s="468">
        <v>580327740</v>
      </c>
      <c r="E78" s="468">
        <v>40221541</v>
      </c>
      <c r="F78" s="468" t="s">
        <v>454</v>
      </c>
      <c r="G78" s="468">
        <v>2024</v>
      </c>
      <c r="H78" s="469">
        <v>65000</v>
      </c>
      <c r="I78" s="469">
        <v>61224</v>
      </c>
      <c r="J78" s="468" t="s">
        <v>465</v>
      </c>
      <c r="K78" s="468" t="s">
        <v>466</v>
      </c>
      <c r="L78" s="468">
        <v>16711</v>
      </c>
    </row>
    <row r="79" spans="1:12" s="466" customFormat="1" ht="15" x14ac:dyDescent="0.25">
      <c r="A79" s="467">
        <v>1001735307</v>
      </c>
      <c r="B79" s="468" t="s">
        <v>169</v>
      </c>
      <c r="C79" s="468" t="s">
        <v>448</v>
      </c>
      <c r="D79" s="468">
        <v>580327740</v>
      </c>
      <c r="E79" s="468">
        <v>40221541</v>
      </c>
      <c r="F79" s="468" t="s">
        <v>454</v>
      </c>
      <c r="G79" s="468">
        <v>2024</v>
      </c>
      <c r="H79" s="469">
        <v>65000</v>
      </c>
      <c r="I79" s="469">
        <v>53364</v>
      </c>
      <c r="J79" s="468" t="s">
        <v>465</v>
      </c>
      <c r="K79" s="468" t="s">
        <v>466</v>
      </c>
      <c r="L79" s="468">
        <v>16711</v>
      </c>
    </row>
    <row r="80" spans="1:12" s="466" customFormat="1" ht="15" x14ac:dyDescent="0.25">
      <c r="A80" s="467">
        <v>1001735308</v>
      </c>
      <c r="B80" s="468" t="s">
        <v>411</v>
      </c>
      <c r="C80" s="468" t="s">
        <v>448</v>
      </c>
      <c r="D80" s="468">
        <v>580327740</v>
      </c>
      <c r="E80" s="468">
        <v>40221541</v>
      </c>
      <c r="F80" s="468" t="s">
        <v>454</v>
      </c>
      <c r="G80" s="468">
        <v>2024</v>
      </c>
      <c r="H80" s="469">
        <v>55000</v>
      </c>
      <c r="I80" s="469">
        <v>55000</v>
      </c>
      <c r="J80" s="468" t="s">
        <v>465</v>
      </c>
      <c r="K80" s="468" t="s">
        <v>466</v>
      </c>
      <c r="L80" s="468">
        <v>16711</v>
      </c>
    </row>
    <row r="81" spans="1:12" s="466" customFormat="1" ht="15" x14ac:dyDescent="0.25">
      <c r="A81" s="467">
        <v>1001735309</v>
      </c>
      <c r="B81" s="468" t="s">
        <v>163</v>
      </c>
      <c r="C81" s="468" t="s">
        <v>448</v>
      </c>
      <c r="D81" s="468">
        <v>580327740</v>
      </c>
      <c r="E81" s="468">
        <v>40221541</v>
      </c>
      <c r="F81" s="468" t="s">
        <v>454</v>
      </c>
      <c r="G81" s="468">
        <v>2024</v>
      </c>
      <c r="H81" s="469">
        <v>90000</v>
      </c>
      <c r="I81" s="469">
        <v>90000</v>
      </c>
      <c r="J81" s="468" t="s">
        <v>465</v>
      </c>
      <c r="K81" s="468" t="s">
        <v>466</v>
      </c>
      <c r="L81" s="468">
        <v>16711</v>
      </c>
    </row>
    <row r="82" spans="1:12" s="466" customFormat="1" ht="15" x14ac:dyDescent="0.25">
      <c r="A82" s="467">
        <v>1001735320</v>
      </c>
      <c r="B82" s="468" t="s">
        <v>177</v>
      </c>
      <c r="C82" s="468" t="s">
        <v>448</v>
      </c>
      <c r="D82" s="468">
        <v>580327740</v>
      </c>
      <c r="E82" s="468">
        <v>40221541</v>
      </c>
      <c r="F82" s="468" t="s">
        <v>454</v>
      </c>
      <c r="G82" s="468">
        <v>2024</v>
      </c>
      <c r="H82" s="469">
        <v>80000</v>
      </c>
      <c r="I82" s="469">
        <v>75166</v>
      </c>
      <c r="J82" s="468" t="s">
        <v>465</v>
      </c>
      <c r="K82" s="468" t="s">
        <v>466</v>
      </c>
      <c r="L82" s="468">
        <v>16711</v>
      </c>
    </row>
    <row r="83" spans="1:12" s="466" customFormat="1" ht="15" x14ac:dyDescent="0.25">
      <c r="A83" s="467">
        <v>1001735321</v>
      </c>
      <c r="B83" s="468" t="s">
        <v>402</v>
      </c>
      <c r="C83" s="468" t="s">
        <v>448</v>
      </c>
      <c r="D83" s="468">
        <v>580327740</v>
      </c>
      <c r="E83" s="468">
        <v>40221541</v>
      </c>
      <c r="F83" s="468" t="s">
        <v>454</v>
      </c>
      <c r="G83" s="468">
        <v>2024</v>
      </c>
      <c r="H83" s="469">
        <v>50000</v>
      </c>
      <c r="I83" s="469">
        <v>31521</v>
      </c>
      <c r="J83" s="468" t="s">
        <v>465</v>
      </c>
      <c r="K83" s="468" t="s">
        <v>466</v>
      </c>
      <c r="L83" s="468">
        <v>16711</v>
      </c>
    </row>
    <row r="84" spans="1:12" s="466" customFormat="1" ht="15" x14ac:dyDescent="0.25">
      <c r="A84" s="467">
        <v>1001735322</v>
      </c>
      <c r="B84" s="468" t="s">
        <v>391</v>
      </c>
      <c r="C84" s="468" t="s">
        <v>448</v>
      </c>
      <c r="D84" s="468">
        <v>580327740</v>
      </c>
      <c r="E84" s="468">
        <v>40221541</v>
      </c>
      <c r="F84" s="468" t="s">
        <v>454</v>
      </c>
      <c r="G84" s="468">
        <v>2024</v>
      </c>
      <c r="H84" s="469">
        <v>130000</v>
      </c>
      <c r="I84" s="469">
        <v>65924</v>
      </c>
      <c r="J84" s="468" t="s">
        <v>465</v>
      </c>
      <c r="K84" s="468" t="s">
        <v>466</v>
      </c>
      <c r="L84" s="468">
        <v>16711</v>
      </c>
    </row>
    <row r="85" spans="1:12" s="466" customFormat="1" ht="15" x14ac:dyDescent="0.25">
      <c r="A85" s="467">
        <v>1001735323</v>
      </c>
      <c r="B85" s="468" t="s">
        <v>394</v>
      </c>
      <c r="C85" s="468" t="s">
        <v>448</v>
      </c>
      <c r="D85" s="468">
        <v>580327740</v>
      </c>
      <c r="E85" s="468">
        <v>40221541</v>
      </c>
      <c r="F85" s="468" t="s">
        <v>454</v>
      </c>
      <c r="G85" s="468">
        <v>2024</v>
      </c>
      <c r="H85" s="469">
        <v>70000</v>
      </c>
      <c r="I85" s="469">
        <v>70000</v>
      </c>
      <c r="J85" s="468" t="s">
        <v>465</v>
      </c>
      <c r="K85" s="468" t="s">
        <v>466</v>
      </c>
      <c r="L85" s="468">
        <v>16711</v>
      </c>
    </row>
    <row r="86" spans="1:12" s="466" customFormat="1" ht="15" x14ac:dyDescent="0.25">
      <c r="A86" s="467">
        <v>1001735669</v>
      </c>
      <c r="B86" s="468" t="s">
        <v>613</v>
      </c>
      <c r="C86" s="468" t="s">
        <v>448</v>
      </c>
      <c r="D86" s="468">
        <v>580455939</v>
      </c>
      <c r="E86" s="468">
        <v>41103047</v>
      </c>
      <c r="F86" s="468" t="s">
        <v>549</v>
      </c>
      <c r="G86" s="468">
        <v>2024</v>
      </c>
      <c r="H86" s="469">
        <v>750000</v>
      </c>
      <c r="I86" s="469">
        <v>307939</v>
      </c>
      <c r="J86" s="468" t="s">
        <v>465</v>
      </c>
      <c r="K86" s="468" t="s">
        <v>466</v>
      </c>
      <c r="L86" s="468">
        <v>16710</v>
      </c>
    </row>
    <row r="87" spans="1:12" s="466" customFormat="1" ht="15" x14ac:dyDescent="0.25">
      <c r="A87" s="467">
        <v>1001735673</v>
      </c>
      <c r="B87" s="468" t="s">
        <v>614</v>
      </c>
      <c r="C87" s="468" t="s">
        <v>448</v>
      </c>
      <c r="D87" s="468">
        <v>580327740</v>
      </c>
      <c r="E87" s="468">
        <v>40221541</v>
      </c>
      <c r="F87" s="468" t="s">
        <v>454</v>
      </c>
      <c r="G87" s="468">
        <v>2024</v>
      </c>
      <c r="H87" s="469">
        <v>170000</v>
      </c>
      <c r="I87" s="469">
        <v>118433</v>
      </c>
      <c r="J87" s="468" t="s">
        <v>465</v>
      </c>
      <c r="K87" s="468" t="s">
        <v>466</v>
      </c>
      <c r="L87" s="468">
        <v>16710</v>
      </c>
    </row>
    <row r="88" spans="1:12" s="466" customFormat="1" ht="15" x14ac:dyDescent="0.25">
      <c r="A88" s="467">
        <v>1001735853</v>
      </c>
      <c r="B88" s="468" t="s">
        <v>615</v>
      </c>
      <c r="C88" s="468" t="s">
        <v>448</v>
      </c>
      <c r="D88" s="468">
        <v>580222545</v>
      </c>
      <c r="E88" s="468">
        <v>40216045</v>
      </c>
      <c r="F88" s="468" t="s">
        <v>499</v>
      </c>
      <c r="G88" s="468">
        <v>2024</v>
      </c>
      <c r="H88" s="469">
        <v>200000</v>
      </c>
      <c r="I88" s="469">
        <v>88988</v>
      </c>
      <c r="J88" s="468" t="s">
        <v>465</v>
      </c>
      <c r="K88" s="468" t="s">
        <v>466</v>
      </c>
      <c r="L88" s="468">
        <v>16707</v>
      </c>
    </row>
    <row r="89" spans="1:12" s="466" customFormat="1" ht="15" x14ac:dyDescent="0.25">
      <c r="A89" s="467">
        <v>1001736112</v>
      </c>
      <c r="B89" s="468" t="s">
        <v>616</v>
      </c>
      <c r="C89" s="468" t="s">
        <v>448</v>
      </c>
      <c r="D89" s="468">
        <v>514810860</v>
      </c>
      <c r="E89" s="468">
        <v>40821681</v>
      </c>
      <c r="F89" s="468" t="s">
        <v>458</v>
      </c>
      <c r="G89" s="468">
        <v>2024</v>
      </c>
      <c r="H89" s="469">
        <v>60000</v>
      </c>
      <c r="I89" s="469">
        <v>60000</v>
      </c>
      <c r="J89" s="468" t="s">
        <v>465</v>
      </c>
      <c r="K89" s="468" t="s">
        <v>466</v>
      </c>
      <c r="L89" s="468">
        <v>16712</v>
      </c>
    </row>
    <row r="90" spans="1:12" s="466" customFormat="1" ht="15" x14ac:dyDescent="0.25">
      <c r="A90" s="467">
        <v>1001736127</v>
      </c>
      <c r="B90" s="468" t="s">
        <v>617</v>
      </c>
      <c r="C90" s="468" t="s">
        <v>448</v>
      </c>
      <c r="D90" s="468">
        <v>580186377</v>
      </c>
      <c r="E90" s="468">
        <v>40000168</v>
      </c>
      <c r="F90" s="468" t="s">
        <v>520</v>
      </c>
      <c r="G90" s="468">
        <v>2024</v>
      </c>
      <c r="H90" s="469">
        <v>500000</v>
      </c>
      <c r="I90" s="469">
        <v>130274</v>
      </c>
      <c r="J90" s="468" t="s">
        <v>465</v>
      </c>
      <c r="K90" s="468" t="s">
        <v>466</v>
      </c>
      <c r="L90" s="468">
        <v>16707</v>
      </c>
    </row>
    <row r="91" spans="1:12" s="466" customFormat="1" ht="15" x14ac:dyDescent="0.25">
      <c r="A91" s="467">
        <v>1001736146</v>
      </c>
      <c r="B91" s="468" t="s">
        <v>452</v>
      </c>
      <c r="C91" s="468" t="s">
        <v>448</v>
      </c>
      <c r="D91" s="468">
        <v>580198471</v>
      </c>
      <c r="E91" s="468">
        <v>40000173</v>
      </c>
      <c r="F91" s="468" t="s">
        <v>485</v>
      </c>
      <c r="G91" s="468">
        <v>2024</v>
      </c>
      <c r="H91" s="469">
        <v>4000000</v>
      </c>
      <c r="I91" s="469">
        <v>3497829</v>
      </c>
      <c r="J91" s="468" t="s">
        <v>465</v>
      </c>
      <c r="K91" s="468" t="s">
        <v>466</v>
      </c>
      <c r="L91" s="468">
        <v>16715</v>
      </c>
    </row>
    <row r="92" spans="1:12" s="466" customFormat="1" ht="15" x14ac:dyDescent="0.25">
      <c r="A92" s="467">
        <v>1001736171</v>
      </c>
      <c r="B92" s="468" t="s">
        <v>618</v>
      </c>
      <c r="C92" s="468" t="s">
        <v>448</v>
      </c>
      <c r="D92" s="468">
        <v>580021897</v>
      </c>
      <c r="E92" s="468">
        <v>40000074</v>
      </c>
      <c r="F92" s="468" t="s">
        <v>557</v>
      </c>
      <c r="G92" s="468">
        <v>2024</v>
      </c>
      <c r="H92" s="469">
        <v>200000</v>
      </c>
      <c r="I92" s="469">
        <v>142584</v>
      </c>
      <c r="J92" s="468" t="s">
        <v>465</v>
      </c>
      <c r="K92" s="468" t="s">
        <v>466</v>
      </c>
      <c r="L92" s="468">
        <v>16713</v>
      </c>
    </row>
    <row r="93" spans="1:12" s="466" customFormat="1" ht="15" x14ac:dyDescent="0.25">
      <c r="A93" s="467">
        <v>1001736172</v>
      </c>
      <c r="B93" s="468" t="s">
        <v>521</v>
      </c>
      <c r="C93" s="468" t="s">
        <v>448</v>
      </c>
      <c r="D93" s="468">
        <v>580186377</v>
      </c>
      <c r="E93" s="468">
        <v>40000168</v>
      </c>
      <c r="F93" s="468" t="s">
        <v>520</v>
      </c>
      <c r="G93" s="468">
        <v>2024</v>
      </c>
      <c r="H93" s="469">
        <v>120000</v>
      </c>
      <c r="I93" s="469">
        <v>60617</v>
      </c>
      <c r="J93" s="468" t="s">
        <v>465</v>
      </c>
      <c r="K93" s="468" t="s">
        <v>466</v>
      </c>
      <c r="L93" s="468">
        <v>16707</v>
      </c>
    </row>
    <row r="94" spans="1:12" s="466" customFormat="1" ht="15" x14ac:dyDescent="0.25">
      <c r="A94" s="467">
        <v>1001736268</v>
      </c>
      <c r="B94" s="468" t="s">
        <v>619</v>
      </c>
      <c r="C94" s="468" t="s">
        <v>448</v>
      </c>
      <c r="D94" s="468">
        <v>580183606</v>
      </c>
      <c r="E94" s="468">
        <v>40000167</v>
      </c>
      <c r="F94" s="468" t="s">
        <v>556</v>
      </c>
      <c r="G94" s="468">
        <v>2024</v>
      </c>
      <c r="H94" s="469">
        <v>500000</v>
      </c>
      <c r="I94" s="469">
        <v>156832</v>
      </c>
      <c r="J94" s="468" t="s">
        <v>465</v>
      </c>
      <c r="K94" s="468" t="s">
        <v>466</v>
      </c>
      <c r="L94" s="468">
        <v>16716</v>
      </c>
    </row>
    <row r="95" spans="1:12" s="466" customFormat="1" ht="15" x14ac:dyDescent="0.25">
      <c r="A95" s="467">
        <v>1001736276</v>
      </c>
      <c r="B95" s="468" t="s">
        <v>620</v>
      </c>
      <c r="C95" s="468" t="s">
        <v>448</v>
      </c>
      <c r="D95" s="468">
        <v>580091395</v>
      </c>
      <c r="E95" s="468">
        <v>40000456</v>
      </c>
      <c r="F95" s="468" t="s">
        <v>488</v>
      </c>
      <c r="G95" s="468">
        <v>2024</v>
      </c>
      <c r="H95" s="469">
        <v>250000</v>
      </c>
      <c r="I95" s="469">
        <v>124712</v>
      </c>
      <c r="J95" s="468" t="s">
        <v>465</v>
      </c>
      <c r="K95" s="468" t="s">
        <v>466</v>
      </c>
      <c r="L95" s="468">
        <v>16713</v>
      </c>
    </row>
    <row r="96" spans="1:12" s="466" customFormat="1" ht="15" x14ac:dyDescent="0.25">
      <c r="A96" s="467">
        <v>1001736355</v>
      </c>
      <c r="B96" s="468" t="s">
        <v>621</v>
      </c>
      <c r="C96" s="468" t="s">
        <v>448</v>
      </c>
      <c r="D96" s="468">
        <v>580586808</v>
      </c>
      <c r="E96" s="468">
        <v>41482886</v>
      </c>
      <c r="F96" s="468" t="s">
        <v>532</v>
      </c>
      <c r="G96" s="468">
        <v>2024</v>
      </c>
      <c r="H96" s="469">
        <v>100000</v>
      </c>
      <c r="I96" s="469">
        <v>74736</v>
      </c>
      <c r="J96" s="468" t="s">
        <v>465</v>
      </c>
      <c r="K96" s="468" t="s">
        <v>466</v>
      </c>
      <c r="L96" s="468">
        <v>16707</v>
      </c>
    </row>
    <row r="97" spans="1:12" s="466" customFormat="1" ht="15" x14ac:dyDescent="0.25">
      <c r="A97" s="467">
        <v>1001736357</v>
      </c>
      <c r="B97" s="468" t="s">
        <v>622</v>
      </c>
      <c r="C97" s="468" t="s">
        <v>448</v>
      </c>
      <c r="D97" s="468">
        <v>580431245</v>
      </c>
      <c r="E97" s="468">
        <v>40228523</v>
      </c>
      <c r="F97" s="468" t="s">
        <v>477</v>
      </c>
      <c r="G97" s="468">
        <v>2024</v>
      </c>
      <c r="H97" s="469">
        <v>150000</v>
      </c>
      <c r="I97" s="469">
        <v>42537</v>
      </c>
      <c r="J97" s="468" t="s">
        <v>465</v>
      </c>
      <c r="K97" s="468" t="s">
        <v>466</v>
      </c>
      <c r="L97" s="468">
        <v>16707</v>
      </c>
    </row>
    <row r="98" spans="1:12" s="466" customFormat="1" ht="15" x14ac:dyDescent="0.25">
      <c r="A98" s="467">
        <v>1001736563</v>
      </c>
      <c r="B98" s="468" t="s">
        <v>623</v>
      </c>
      <c r="C98" s="468" t="s">
        <v>448</v>
      </c>
      <c r="D98" s="468">
        <v>580515815</v>
      </c>
      <c r="E98" s="468">
        <v>40984631</v>
      </c>
      <c r="F98" s="468" t="s">
        <v>511</v>
      </c>
      <c r="G98" s="468">
        <v>2024</v>
      </c>
      <c r="H98" s="469">
        <v>200000</v>
      </c>
      <c r="I98" s="469">
        <v>121928</v>
      </c>
      <c r="J98" s="468" t="s">
        <v>465</v>
      </c>
      <c r="K98" s="468" t="s">
        <v>466</v>
      </c>
      <c r="L98" s="468">
        <v>16716</v>
      </c>
    </row>
    <row r="99" spans="1:12" s="466" customFormat="1" ht="15" x14ac:dyDescent="0.25">
      <c r="A99" s="467">
        <v>1001745319</v>
      </c>
      <c r="B99" s="468" t="s">
        <v>624</v>
      </c>
      <c r="C99" s="468" t="s">
        <v>448</v>
      </c>
      <c r="D99" s="468">
        <v>500250006</v>
      </c>
      <c r="E99" s="468">
        <v>20000201</v>
      </c>
      <c r="F99" s="468" t="s">
        <v>457</v>
      </c>
      <c r="G99" s="468">
        <v>2024</v>
      </c>
      <c r="H99" s="469">
        <v>90000</v>
      </c>
      <c r="I99" s="469">
        <v>75631</v>
      </c>
      <c r="J99" s="468" t="s">
        <v>465</v>
      </c>
      <c r="K99" s="468" t="s">
        <v>466</v>
      </c>
      <c r="L99" s="468">
        <v>16761</v>
      </c>
    </row>
    <row r="100" spans="1:12" s="466" customFormat="1" ht="15" x14ac:dyDescent="0.25">
      <c r="A100" s="467">
        <v>1001745379</v>
      </c>
      <c r="B100" s="468" t="s">
        <v>625</v>
      </c>
      <c r="C100" s="468" t="s">
        <v>448</v>
      </c>
      <c r="D100" s="468">
        <v>580016145</v>
      </c>
      <c r="E100" s="468">
        <v>40000343</v>
      </c>
      <c r="F100" s="468" t="s">
        <v>542</v>
      </c>
      <c r="G100" s="468">
        <v>2024</v>
      </c>
      <c r="H100" s="469">
        <v>1712500</v>
      </c>
      <c r="I100" s="469">
        <v>1059487</v>
      </c>
      <c r="J100" s="468" t="s">
        <v>465</v>
      </c>
      <c r="K100" s="468" t="s">
        <v>466</v>
      </c>
      <c r="L100" s="468">
        <v>16712</v>
      </c>
    </row>
    <row r="101" spans="1:12" s="466" customFormat="1" ht="15" x14ac:dyDescent="0.25">
      <c r="A101" s="467">
        <v>1001745380</v>
      </c>
      <c r="B101" s="468" t="s">
        <v>626</v>
      </c>
      <c r="C101" s="468" t="s">
        <v>448</v>
      </c>
      <c r="D101" s="468">
        <v>580147239</v>
      </c>
      <c r="E101" s="468">
        <v>40000506</v>
      </c>
      <c r="F101" s="468" t="s">
        <v>392</v>
      </c>
      <c r="G101" s="468">
        <v>2024</v>
      </c>
      <c r="H101" s="469">
        <v>450000</v>
      </c>
      <c r="I101" s="469">
        <v>311501</v>
      </c>
      <c r="J101" s="468" t="s">
        <v>465</v>
      </c>
      <c r="K101" s="468" t="s">
        <v>466</v>
      </c>
      <c r="L101" s="468">
        <v>16709</v>
      </c>
    </row>
    <row r="102" spans="1:12" s="466" customFormat="1" ht="15" x14ac:dyDescent="0.25">
      <c r="A102" s="467">
        <v>1001745383</v>
      </c>
      <c r="B102" s="468" t="s">
        <v>627</v>
      </c>
      <c r="C102" s="468" t="s">
        <v>448</v>
      </c>
      <c r="D102" s="468">
        <v>500284005</v>
      </c>
      <c r="E102" s="468">
        <v>20000248</v>
      </c>
      <c r="F102" s="468" t="s">
        <v>455</v>
      </c>
      <c r="G102" s="468">
        <v>2024</v>
      </c>
      <c r="H102" s="469">
        <v>60000</v>
      </c>
      <c r="I102" s="469">
        <v>33314</v>
      </c>
      <c r="J102" s="468" t="s">
        <v>465</v>
      </c>
      <c r="K102" s="468" t="s">
        <v>466</v>
      </c>
      <c r="L102" s="468">
        <v>16756</v>
      </c>
    </row>
    <row r="103" spans="1:12" s="466" customFormat="1" ht="15" x14ac:dyDescent="0.25">
      <c r="A103" s="467">
        <v>1001745777</v>
      </c>
      <c r="B103" s="468" t="s">
        <v>452</v>
      </c>
      <c r="C103" s="468" t="s">
        <v>448</v>
      </c>
      <c r="D103" s="468">
        <v>580495976</v>
      </c>
      <c r="E103" s="468">
        <v>40462864</v>
      </c>
      <c r="F103" s="468" t="s">
        <v>471</v>
      </c>
      <c r="G103" s="468">
        <v>2024</v>
      </c>
      <c r="H103" s="469">
        <v>200000</v>
      </c>
      <c r="I103" s="469">
        <v>64784</v>
      </c>
      <c r="J103" s="468" t="s">
        <v>465</v>
      </c>
      <c r="K103" s="468" t="s">
        <v>466</v>
      </c>
      <c r="L103" s="468">
        <v>16707</v>
      </c>
    </row>
    <row r="104" spans="1:12" s="466" customFormat="1" ht="15" x14ac:dyDescent="0.25">
      <c r="A104" s="467">
        <v>1001745803</v>
      </c>
      <c r="B104" s="468" t="s">
        <v>607</v>
      </c>
      <c r="C104" s="468" t="s">
        <v>448</v>
      </c>
      <c r="D104" s="468">
        <v>580658334</v>
      </c>
      <c r="E104" s="468">
        <v>41634844</v>
      </c>
      <c r="F104" s="468" t="s">
        <v>534</v>
      </c>
      <c r="G104" s="468">
        <v>2024</v>
      </c>
      <c r="H104" s="469">
        <v>600000</v>
      </c>
      <c r="I104" s="469">
        <v>396934</v>
      </c>
      <c r="J104" s="468" t="s">
        <v>465</v>
      </c>
      <c r="K104" s="468" t="s">
        <v>466</v>
      </c>
      <c r="L104" s="468">
        <v>16715</v>
      </c>
    </row>
    <row r="105" spans="1:12" s="466" customFormat="1" ht="15" x14ac:dyDescent="0.25">
      <c r="A105" s="467">
        <v>1001746374</v>
      </c>
      <c r="B105" s="468" t="s">
        <v>404</v>
      </c>
      <c r="C105" s="468" t="s">
        <v>448</v>
      </c>
      <c r="D105" s="468">
        <v>580327740</v>
      </c>
      <c r="E105" s="468">
        <v>40221541</v>
      </c>
      <c r="F105" s="468" t="s">
        <v>454</v>
      </c>
      <c r="G105" s="468">
        <v>2024</v>
      </c>
      <c r="H105" s="469">
        <v>45000</v>
      </c>
      <c r="I105" s="469">
        <v>45000</v>
      </c>
      <c r="J105" s="468" t="s">
        <v>465</v>
      </c>
      <c r="K105" s="468" t="s">
        <v>466</v>
      </c>
      <c r="L105" s="468">
        <v>16711</v>
      </c>
    </row>
    <row r="106" spans="1:12" s="466" customFormat="1" ht="15" x14ac:dyDescent="0.25">
      <c r="A106" s="467">
        <v>1001746375</v>
      </c>
      <c r="B106" s="468" t="s">
        <v>408</v>
      </c>
      <c r="C106" s="468" t="s">
        <v>453</v>
      </c>
      <c r="D106" s="468">
        <v>580327740</v>
      </c>
      <c r="E106" s="468">
        <v>40221541</v>
      </c>
      <c r="F106" s="468" t="s">
        <v>454</v>
      </c>
      <c r="G106" s="468">
        <v>2024</v>
      </c>
      <c r="H106" s="469">
        <v>45000</v>
      </c>
      <c r="I106" s="469">
        <v>0</v>
      </c>
      <c r="J106" s="468" t="s">
        <v>465</v>
      </c>
      <c r="K106" s="468" t="s">
        <v>466</v>
      </c>
      <c r="L106" s="468">
        <v>16711</v>
      </c>
    </row>
    <row r="107" spans="1:12" s="466" customFormat="1" ht="15" x14ac:dyDescent="0.25">
      <c r="A107" s="467">
        <v>1001746376</v>
      </c>
      <c r="B107" s="468" t="s">
        <v>410</v>
      </c>
      <c r="C107" s="468" t="s">
        <v>448</v>
      </c>
      <c r="D107" s="468">
        <v>580327740</v>
      </c>
      <c r="E107" s="468">
        <v>40221541</v>
      </c>
      <c r="F107" s="468" t="s">
        <v>454</v>
      </c>
      <c r="G107" s="468">
        <v>2024</v>
      </c>
      <c r="H107" s="469">
        <v>60000</v>
      </c>
      <c r="I107" s="469">
        <v>33881</v>
      </c>
      <c r="J107" s="468" t="s">
        <v>465</v>
      </c>
      <c r="K107" s="468" t="s">
        <v>466</v>
      </c>
      <c r="L107" s="468">
        <v>16711</v>
      </c>
    </row>
    <row r="108" spans="1:12" s="466" customFormat="1" ht="15" x14ac:dyDescent="0.25">
      <c r="A108" s="467">
        <v>1001746377</v>
      </c>
      <c r="B108" s="468" t="s">
        <v>406</v>
      </c>
      <c r="C108" s="468" t="s">
        <v>453</v>
      </c>
      <c r="D108" s="468">
        <v>580327740</v>
      </c>
      <c r="E108" s="468">
        <v>40221541</v>
      </c>
      <c r="F108" s="468" t="s">
        <v>454</v>
      </c>
      <c r="G108" s="468">
        <v>2024</v>
      </c>
      <c r="H108" s="469">
        <v>60000</v>
      </c>
      <c r="I108" s="469">
        <v>0</v>
      </c>
      <c r="J108" s="468" t="s">
        <v>465</v>
      </c>
      <c r="K108" s="468" t="s">
        <v>466</v>
      </c>
      <c r="L108" s="468">
        <v>16711</v>
      </c>
    </row>
    <row r="109" spans="1:12" s="466" customFormat="1" ht="15" x14ac:dyDescent="0.25">
      <c r="A109" s="467">
        <v>1001746379</v>
      </c>
      <c r="B109" s="468" t="s">
        <v>425</v>
      </c>
      <c r="C109" s="468" t="s">
        <v>453</v>
      </c>
      <c r="D109" s="468">
        <v>580327740</v>
      </c>
      <c r="E109" s="468">
        <v>40221541</v>
      </c>
      <c r="F109" s="468" t="s">
        <v>454</v>
      </c>
      <c r="G109" s="468">
        <v>2024</v>
      </c>
      <c r="H109" s="469">
        <v>45000</v>
      </c>
      <c r="I109" s="469">
        <v>0</v>
      </c>
      <c r="J109" s="468" t="s">
        <v>465</v>
      </c>
      <c r="K109" s="468" t="s">
        <v>466</v>
      </c>
      <c r="L109" s="468">
        <v>16711</v>
      </c>
    </row>
    <row r="110" spans="1:12" s="466" customFormat="1" ht="15" x14ac:dyDescent="0.25">
      <c r="A110" s="467">
        <v>1001746400</v>
      </c>
      <c r="B110" s="468" t="s">
        <v>407</v>
      </c>
      <c r="C110" s="468" t="s">
        <v>453</v>
      </c>
      <c r="D110" s="468">
        <v>580327740</v>
      </c>
      <c r="E110" s="468">
        <v>40221541</v>
      </c>
      <c r="F110" s="468" t="s">
        <v>454</v>
      </c>
      <c r="G110" s="468">
        <v>2024</v>
      </c>
      <c r="H110" s="469">
        <v>50000</v>
      </c>
      <c r="I110" s="469">
        <v>0</v>
      </c>
      <c r="J110" s="468" t="s">
        <v>465</v>
      </c>
      <c r="K110" s="468" t="s">
        <v>466</v>
      </c>
      <c r="L110" s="468">
        <v>16711</v>
      </c>
    </row>
    <row r="111" spans="1:12" s="466" customFormat="1" ht="15" x14ac:dyDescent="0.25">
      <c r="A111" s="467">
        <v>1001746401</v>
      </c>
      <c r="B111" s="468" t="s">
        <v>405</v>
      </c>
      <c r="C111" s="468" t="s">
        <v>448</v>
      </c>
      <c r="D111" s="468">
        <v>580327740</v>
      </c>
      <c r="E111" s="468">
        <v>40221541</v>
      </c>
      <c r="F111" s="468" t="s">
        <v>454</v>
      </c>
      <c r="G111" s="468">
        <v>2024</v>
      </c>
      <c r="H111" s="469">
        <v>50000</v>
      </c>
      <c r="I111" s="469">
        <v>47983</v>
      </c>
      <c r="J111" s="468" t="s">
        <v>465</v>
      </c>
      <c r="K111" s="468" t="s">
        <v>466</v>
      </c>
      <c r="L111" s="468">
        <v>16711</v>
      </c>
    </row>
    <row r="112" spans="1:12" s="466" customFormat="1" ht="15" x14ac:dyDescent="0.25">
      <c r="A112" s="467">
        <v>1001746402</v>
      </c>
      <c r="B112" s="468" t="s">
        <v>955</v>
      </c>
      <c r="C112" s="468" t="s">
        <v>952</v>
      </c>
      <c r="D112" s="468">
        <v>580327740</v>
      </c>
      <c r="E112" s="468">
        <v>40221541</v>
      </c>
      <c r="F112" s="468" t="s">
        <v>454</v>
      </c>
      <c r="G112" s="468">
        <v>2024</v>
      </c>
      <c r="H112" s="469">
        <v>45000</v>
      </c>
      <c r="I112" s="469">
        <v>0</v>
      </c>
      <c r="J112" s="468" t="s">
        <v>465</v>
      </c>
      <c r="K112" s="468" t="s">
        <v>466</v>
      </c>
      <c r="L112" s="468">
        <v>16711</v>
      </c>
    </row>
    <row r="113" spans="1:12" s="466" customFormat="1" ht="15" x14ac:dyDescent="0.25">
      <c r="A113" s="467">
        <v>1001746403</v>
      </c>
      <c r="B113" s="468" t="s">
        <v>424</v>
      </c>
      <c r="C113" s="468" t="s">
        <v>448</v>
      </c>
      <c r="D113" s="468">
        <v>580327740</v>
      </c>
      <c r="E113" s="468">
        <v>40221541</v>
      </c>
      <c r="F113" s="468" t="s">
        <v>454</v>
      </c>
      <c r="G113" s="468">
        <v>2024</v>
      </c>
      <c r="H113" s="469">
        <v>60000</v>
      </c>
      <c r="I113" s="469">
        <v>33612</v>
      </c>
      <c r="J113" s="468" t="s">
        <v>465</v>
      </c>
      <c r="K113" s="468" t="s">
        <v>466</v>
      </c>
      <c r="L113" s="468">
        <v>16711</v>
      </c>
    </row>
    <row r="114" spans="1:12" s="466" customFormat="1" ht="15" x14ac:dyDescent="0.25">
      <c r="A114" s="467">
        <v>1001746404</v>
      </c>
      <c r="B114" s="468" t="s">
        <v>409</v>
      </c>
      <c r="C114" s="468" t="s">
        <v>448</v>
      </c>
      <c r="D114" s="468">
        <v>580327740</v>
      </c>
      <c r="E114" s="468">
        <v>40221541</v>
      </c>
      <c r="F114" s="468" t="s">
        <v>454</v>
      </c>
      <c r="G114" s="468">
        <v>2024</v>
      </c>
      <c r="H114" s="469">
        <v>45000</v>
      </c>
      <c r="I114" s="469">
        <v>38215</v>
      </c>
      <c r="J114" s="468" t="s">
        <v>465</v>
      </c>
      <c r="K114" s="468" t="s">
        <v>466</v>
      </c>
      <c r="L114" s="468">
        <v>16711</v>
      </c>
    </row>
    <row r="115" spans="1:12" s="466" customFormat="1" ht="15" x14ac:dyDescent="0.25">
      <c r="A115" s="467">
        <v>1001746424</v>
      </c>
      <c r="B115" s="468" t="s">
        <v>628</v>
      </c>
      <c r="C115" s="468" t="s">
        <v>448</v>
      </c>
      <c r="D115" s="468">
        <v>580609584</v>
      </c>
      <c r="E115" s="468">
        <v>41558072</v>
      </c>
      <c r="F115" s="468" t="s">
        <v>484</v>
      </c>
      <c r="G115" s="468">
        <v>2024</v>
      </c>
      <c r="H115" s="469">
        <v>500000</v>
      </c>
      <c r="I115" s="469">
        <v>70188</v>
      </c>
      <c r="J115" s="468" t="s">
        <v>465</v>
      </c>
      <c r="K115" s="468" t="s">
        <v>466</v>
      </c>
      <c r="L115" s="468">
        <v>16707</v>
      </c>
    </row>
    <row r="116" spans="1:12" s="466" customFormat="1" ht="15" x14ac:dyDescent="0.25">
      <c r="A116" s="467">
        <v>1001746505</v>
      </c>
      <c r="B116" s="468" t="s">
        <v>629</v>
      </c>
      <c r="C116" s="468" t="s">
        <v>448</v>
      </c>
      <c r="D116" s="468">
        <v>511757114</v>
      </c>
      <c r="E116" s="468">
        <v>40000291</v>
      </c>
      <c r="F116" s="468" t="s">
        <v>456</v>
      </c>
      <c r="G116" s="468">
        <v>2024</v>
      </c>
      <c r="H116" s="469">
        <v>160000</v>
      </c>
      <c r="I116" s="469">
        <v>106169</v>
      </c>
      <c r="J116" s="468" t="s">
        <v>465</v>
      </c>
      <c r="K116" s="468" t="s">
        <v>466</v>
      </c>
      <c r="L116" s="468">
        <v>16712</v>
      </c>
    </row>
    <row r="117" spans="1:12" s="466" customFormat="1" ht="15" x14ac:dyDescent="0.25">
      <c r="A117" s="467">
        <v>1001747548</v>
      </c>
      <c r="B117" s="468" t="s">
        <v>630</v>
      </c>
      <c r="C117" s="468" t="s">
        <v>453</v>
      </c>
      <c r="D117" s="468">
        <v>580238699</v>
      </c>
      <c r="E117" s="468">
        <v>40000594</v>
      </c>
      <c r="F117" s="468" t="s">
        <v>555</v>
      </c>
      <c r="G117" s="468">
        <v>2024</v>
      </c>
      <c r="H117" s="469">
        <v>45000</v>
      </c>
      <c r="I117" s="469">
        <v>0</v>
      </c>
      <c r="J117" s="468" t="s">
        <v>465</v>
      </c>
      <c r="K117" s="468" t="s">
        <v>466</v>
      </c>
      <c r="L117" s="468">
        <v>16707</v>
      </c>
    </row>
    <row r="118" spans="1:12" s="466" customFormat="1" ht="15" x14ac:dyDescent="0.25">
      <c r="A118" s="467">
        <v>1001747581</v>
      </c>
      <c r="B118" s="468" t="s">
        <v>554</v>
      </c>
      <c r="C118" s="468" t="s">
        <v>952</v>
      </c>
      <c r="D118" s="468">
        <v>580238699</v>
      </c>
      <c r="E118" s="468">
        <v>40000594</v>
      </c>
      <c r="F118" s="468" t="s">
        <v>555</v>
      </c>
      <c r="G118" s="468">
        <v>2024</v>
      </c>
      <c r="H118" s="469">
        <v>380000</v>
      </c>
      <c r="I118" s="469">
        <v>0</v>
      </c>
      <c r="J118" s="468" t="s">
        <v>465</v>
      </c>
      <c r="K118" s="468" t="s">
        <v>466</v>
      </c>
      <c r="L118" s="468">
        <v>16711</v>
      </c>
    </row>
    <row r="119" spans="1:12" s="466" customFormat="1" ht="15" x14ac:dyDescent="0.25">
      <c r="A119" s="467">
        <v>1001747583</v>
      </c>
      <c r="B119" s="468" t="s">
        <v>631</v>
      </c>
      <c r="C119" s="468" t="s">
        <v>448</v>
      </c>
      <c r="D119" s="468">
        <v>580238699</v>
      </c>
      <c r="E119" s="468">
        <v>40000594</v>
      </c>
      <c r="F119" s="468" t="s">
        <v>555</v>
      </c>
      <c r="G119" s="468">
        <v>2024</v>
      </c>
      <c r="H119" s="469">
        <v>250000</v>
      </c>
      <c r="I119" s="469">
        <v>149103</v>
      </c>
      <c r="J119" s="468" t="s">
        <v>465</v>
      </c>
      <c r="K119" s="468" t="s">
        <v>466</v>
      </c>
      <c r="L119" s="468">
        <v>16713</v>
      </c>
    </row>
    <row r="120" spans="1:12" s="466" customFormat="1" ht="15" x14ac:dyDescent="0.25">
      <c r="A120" s="467">
        <v>1001748074</v>
      </c>
      <c r="B120" s="468" t="s">
        <v>412</v>
      </c>
      <c r="C120" s="468" t="s">
        <v>448</v>
      </c>
      <c r="D120" s="468">
        <v>580164325</v>
      </c>
      <c r="E120" s="468">
        <v>40000161</v>
      </c>
      <c r="F120" s="468" t="s">
        <v>522</v>
      </c>
      <c r="G120" s="468">
        <v>2024</v>
      </c>
      <c r="H120" s="469">
        <v>150000</v>
      </c>
      <c r="I120" s="469">
        <v>93743</v>
      </c>
      <c r="J120" s="468" t="s">
        <v>465</v>
      </c>
      <c r="K120" s="468" t="s">
        <v>466</v>
      </c>
      <c r="L120" s="468">
        <v>16711</v>
      </c>
    </row>
    <row r="121" spans="1:12" s="466" customFormat="1" ht="15" x14ac:dyDescent="0.25">
      <c r="A121" s="467">
        <v>1001754207</v>
      </c>
      <c r="B121" s="468" t="s">
        <v>632</v>
      </c>
      <c r="C121" s="468" t="s">
        <v>453</v>
      </c>
      <c r="D121" s="468">
        <v>510662190</v>
      </c>
      <c r="E121" s="468">
        <v>40000271</v>
      </c>
      <c r="F121" s="468" t="s">
        <v>633</v>
      </c>
      <c r="G121" s="468">
        <v>2024</v>
      </c>
      <c r="H121" s="469">
        <v>80000</v>
      </c>
      <c r="I121" s="469">
        <v>0</v>
      </c>
      <c r="J121" s="468" t="s">
        <v>465</v>
      </c>
      <c r="K121" s="468" t="s">
        <v>466</v>
      </c>
      <c r="L121" s="468">
        <v>16707</v>
      </c>
    </row>
    <row r="122" spans="1:12" s="466" customFormat="1" ht="15" x14ac:dyDescent="0.25">
      <c r="A122" s="467">
        <v>1001754412</v>
      </c>
      <c r="B122" s="468" t="s">
        <v>634</v>
      </c>
      <c r="C122" s="468" t="s">
        <v>448</v>
      </c>
      <c r="D122" s="468">
        <v>515770444</v>
      </c>
      <c r="E122" s="468">
        <v>41968455</v>
      </c>
      <c r="F122" s="468" t="s">
        <v>539</v>
      </c>
      <c r="G122" s="468">
        <v>2024</v>
      </c>
      <c r="H122" s="469">
        <v>1050000</v>
      </c>
      <c r="I122" s="469">
        <v>146280</v>
      </c>
      <c r="J122" s="468" t="s">
        <v>465</v>
      </c>
      <c r="K122" s="468" t="s">
        <v>466</v>
      </c>
      <c r="L122" s="468">
        <v>16710</v>
      </c>
    </row>
    <row r="123" spans="1:12" s="466" customFormat="1" ht="15" x14ac:dyDescent="0.25">
      <c r="A123" s="467">
        <v>1001754448</v>
      </c>
      <c r="B123" s="468" t="s">
        <v>176</v>
      </c>
      <c r="C123" s="468" t="s">
        <v>448</v>
      </c>
      <c r="D123" s="468">
        <v>580147239</v>
      </c>
      <c r="E123" s="468">
        <v>40000506</v>
      </c>
      <c r="F123" s="468" t="s">
        <v>392</v>
      </c>
      <c r="G123" s="468">
        <v>2024</v>
      </c>
      <c r="H123" s="469">
        <v>400000</v>
      </c>
      <c r="I123" s="469">
        <v>167540</v>
      </c>
      <c r="J123" s="468" t="s">
        <v>465</v>
      </c>
      <c r="K123" s="468" t="s">
        <v>466</v>
      </c>
      <c r="L123" s="468">
        <v>16711</v>
      </c>
    </row>
    <row r="124" spans="1:12" s="466" customFormat="1" ht="15" x14ac:dyDescent="0.25">
      <c r="A124" s="467">
        <v>1001774142</v>
      </c>
      <c r="B124" s="468" t="s">
        <v>635</v>
      </c>
      <c r="C124" s="468" t="s">
        <v>448</v>
      </c>
      <c r="D124" s="468">
        <v>580540672</v>
      </c>
      <c r="E124" s="468">
        <v>40526318</v>
      </c>
      <c r="F124" s="468" t="s">
        <v>545</v>
      </c>
      <c r="G124" s="468">
        <v>2024</v>
      </c>
      <c r="H124" s="469">
        <v>500000</v>
      </c>
      <c r="I124" s="469">
        <v>359161</v>
      </c>
      <c r="J124" s="468" t="s">
        <v>465</v>
      </c>
      <c r="K124" s="468" t="s">
        <v>466</v>
      </c>
      <c r="L124" s="468">
        <v>16716</v>
      </c>
    </row>
    <row r="125" spans="1:12" s="466" customFormat="1" ht="15" x14ac:dyDescent="0.25">
      <c r="A125" s="467">
        <v>1001774188</v>
      </c>
      <c r="B125" s="468" t="s">
        <v>636</v>
      </c>
      <c r="C125" s="468" t="s">
        <v>448</v>
      </c>
      <c r="D125" s="468">
        <v>580132249</v>
      </c>
      <c r="E125" s="468">
        <v>40000490</v>
      </c>
      <c r="F125" s="468" t="s">
        <v>533</v>
      </c>
      <c r="G125" s="468">
        <v>2024</v>
      </c>
      <c r="H125" s="469">
        <v>125000</v>
      </c>
      <c r="I125" s="469">
        <v>40785</v>
      </c>
      <c r="J125" s="468" t="s">
        <v>465</v>
      </c>
      <c r="K125" s="468" t="s">
        <v>466</v>
      </c>
      <c r="L125" s="468">
        <v>16713</v>
      </c>
    </row>
    <row r="126" spans="1:12" s="466" customFormat="1" ht="15" x14ac:dyDescent="0.25">
      <c r="A126" s="467">
        <v>1001774197</v>
      </c>
      <c r="B126" s="468" t="s">
        <v>637</v>
      </c>
      <c r="C126" s="468" t="s">
        <v>448</v>
      </c>
      <c r="D126" s="468">
        <v>580029148</v>
      </c>
      <c r="E126" s="468">
        <v>40000362</v>
      </c>
      <c r="F126" s="468" t="s">
        <v>552</v>
      </c>
      <c r="G126" s="468">
        <v>2024</v>
      </c>
      <c r="H126" s="469">
        <v>150000</v>
      </c>
      <c r="I126" s="469">
        <v>128205</v>
      </c>
      <c r="J126" s="468" t="s">
        <v>465</v>
      </c>
      <c r="K126" s="468" t="s">
        <v>466</v>
      </c>
      <c r="L126" s="468">
        <v>16710</v>
      </c>
    </row>
    <row r="127" spans="1:12" s="466" customFormat="1" ht="15" x14ac:dyDescent="0.25">
      <c r="A127" s="467">
        <v>1001774209</v>
      </c>
      <c r="B127" s="468" t="s">
        <v>560</v>
      </c>
      <c r="C127" s="468" t="s">
        <v>448</v>
      </c>
      <c r="D127" s="468">
        <v>513377457</v>
      </c>
      <c r="E127" s="468">
        <v>40474818</v>
      </c>
      <c r="F127" s="468" t="s">
        <v>561</v>
      </c>
      <c r="G127" s="468">
        <v>2024</v>
      </c>
      <c r="H127" s="469">
        <v>150000</v>
      </c>
      <c r="I127" s="469">
        <v>37925</v>
      </c>
      <c r="J127" s="468" t="s">
        <v>465</v>
      </c>
      <c r="K127" s="468" t="s">
        <v>466</v>
      </c>
      <c r="L127" s="468">
        <v>16707</v>
      </c>
    </row>
    <row r="128" spans="1:12" s="466" customFormat="1" ht="15" x14ac:dyDescent="0.25">
      <c r="A128" s="467">
        <v>1001774444</v>
      </c>
      <c r="B128" s="468" t="s">
        <v>553</v>
      </c>
      <c r="C128" s="468" t="s">
        <v>448</v>
      </c>
      <c r="D128" s="468">
        <v>580029148</v>
      </c>
      <c r="E128" s="468">
        <v>40000362</v>
      </c>
      <c r="F128" s="468" t="s">
        <v>552</v>
      </c>
      <c r="G128" s="468">
        <v>2024</v>
      </c>
      <c r="H128" s="469">
        <v>70000</v>
      </c>
      <c r="I128" s="469">
        <v>64933</v>
      </c>
      <c r="J128" s="468" t="s">
        <v>465</v>
      </c>
      <c r="K128" s="468" t="s">
        <v>466</v>
      </c>
      <c r="L128" s="468">
        <v>16712</v>
      </c>
    </row>
    <row r="129" spans="1:12" s="466" customFormat="1" ht="15" x14ac:dyDescent="0.25">
      <c r="A129" s="467">
        <v>1001774540</v>
      </c>
      <c r="B129" s="468" t="s">
        <v>638</v>
      </c>
      <c r="C129" s="468" t="s">
        <v>448</v>
      </c>
      <c r="D129" s="468">
        <v>580210870</v>
      </c>
      <c r="E129" s="468">
        <v>40000558</v>
      </c>
      <c r="F129" s="468" t="s">
        <v>558</v>
      </c>
      <c r="G129" s="468">
        <v>2024</v>
      </c>
      <c r="H129" s="469">
        <v>200000</v>
      </c>
      <c r="I129" s="469">
        <v>129173</v>
      </c>
      <c r="J129" s="468" t="s">
        <v>465</v>
      </c>
      <c r="K129" s="468" t="s">
        <v>466</v>
      </c>
      <c r="L129" s="468">
        <v>16716</v>
      </c>
    </row>
    <row r="130" spans="1:12" s="466" customFormat="1" ht="15" x14ac:dyDescent="0.25">
      <c r="A130" s="467">
        <v>1001775289</v>
      </c>
      <c r="B130" s="468" t="s">
        <v>554</v>
      </c>
      <c r="C130" s="468" t="s">
        <v>448</v>
      </c>
      <c r="D130" s="468">
        <v>580238699</v>
      </c>
      <c r="E130" s="468">
        <v>40000594</v>
      </c>
      <c r="F130" s="468" t="s">
        <v>555</v>
      </c>
      <c r="G130" s="468">
        <v>2024</v>
      </c>
      <c r="H130" s="469">
        <v>380000</v>
      </c>
      <c r="I130" s="469">
        <v>355064</v>
      </c>
      <c r="J130" s="468" t="s">
        <v>465</v>
      </c>
      <c r="K130" s="468" t="s">
        <v>466</v>
      </c>
      <c r="L130" s="468">
        <v>16713</v>
      </c>
    </row>
    <row r="131" spans="1:12" s="466" customFormat="1" ht="15" x14ac:dyDescent="0.25">
      <c r="A131" s="467">
        <v>1001775543</v>
      </c>
      <c r="B131" s="468" t="s">
        <v>639</v>
      </c>
      <c r="C131" s="468" t="s">
        <v>448</v>
      </c>
      <c r="D131" s="468">
        <v>580099638</v>
      </c>
      <c r="E131" s="468">
        <v>40000133</v>
      </c>
      <c r="F131" s="468" t="s">
        <v>501</v>
      </c>
      <c r="G131" s="468">
        <v>2024</v>
      </c>
      <c r="H131" s="469">
        <v>22750000</v>
      </c>
      <c r="I131" s="469">
        <v>20112294</v>
      </c>
      <c r="J131" s="468" t="s">
        <v>465</v>
      </c>
      <c r="K131" s="468" t="s">
        <v>466</v>
      </c>
      <c r="L131" s="468">
        <v>16714</v>
      </c>
    </row>
    <row r="132" spans="1:12" s="466" customFormat="1" ht="15" x14ac:dyDescent="0.25">
      <c r="A132" s="467">
        <v>1001775685</v>
      </c>
      <c r="B132" s="468" t="s">
        <v>421</v>
      </c>
      <c r="C132" s="468" t="s">
        <v>448</v>
      </c>
      <c r="D132" s="468">
        <v>580064103</v>
      </c>
      <c r="E132" s="468">
        <v>40000415</v>
      </c>
      <c r="F132" s="468" t="s">
        <v>400</v>
      </c>
      <c r="G132" s="468">
        <v>2024</v>
      </c>
      <c r="H132" s="469">
        <v>220000</v>
      </c>
      <c r="I132" s="469">
        <v>147540</v>
      </c>
      <c r="J132" s="468" t="s">
        <v>465</v>
      </c>
      <c r="K132" s="468" t="s">
        <v>466</v>
      </c>
      <c r="L132" s="468">
        <v>16711</v>
      </c>
    </row>
    <row r="133" spans="1:12" s="466" customFormat="1" ht="15" x14ac:dyDescent="0.25">
      <c r="A133" s="467">
        <v>1001775686</v>
      </c>
      <c r="B133" s="468" t="s">
        <v>640</v>
      </c>
      <c r="C133" s="468" t="s">
        <v>448</v>
      </c>
      <c r="D133" s="468">
        <v>580064103</v>
      </c>
      <c r="E133" s="468">
        <v>40000415</v>
      </c>
      <c r="F133" s="468" t="s">
        <v>400</v>
      </c>
      <c r="G133" s="468">
        <v>2024</v>
      </c>
      <c r="H133" s="469">
        <v>50000</v>
      </c>
      <c r="I133" s="469">
        <v>50000</v>
      </c>
      <c r="J133" s="468" t="s">
        <v>465</v>
      </c>
      <c r="K133" s="468" t="s">
        <v>466</v>
      </c>
      <c r="L133" s="468">
        <v>16707</v>
      </c>
    </row>
    <row r="134" spans="1:12" s="466" customFormat="1" ht="15" x14ac:dyDescent="0.25">
      <c r="A134" s="467">
        <v>1001775687</v>
      </c>
      <c r="B134" s="468" t="s">
        <v>641</v>
      </c>
      <c r="C134" s="468" t="s">
        <v>448</v>
      </c>
      <c r="D134" s="468">
        <v>580064103</v>
      </c>
      <c r="E134" s="468">
        <v>40000415</v>
      </c>
      <c r="F134" s="468" t="s">
        <v>400</v>
      </c>
      <c r="G134" s="468">
        <v>2024</v>
      </c>
      <c r="H134" s="469">
        <v>30000</v>
      </c>
      <c r="I134" s="469">
        <v>30000</v>
      </c>
      <c r="J134" s="468" t="s">
        <v>465</v>
      </c>
      <c r="K134" s="468" t="s">
        <v>466</v>
      </c>
      <c r="L134" s="468">
        <v>16712</v>
      </c>
    </row>
    <row r="135" spans="1:12" s="466" customFormat="1" ht="15" x14ac:dyDescent="0.25">
      <c r="A135" s="467">
        <v>1001775724</v>
      </c>
      <c r="B135" s="468" t="s">
        <v>642</v>
      </c>
      <c r="C135" s="468" t="s">
        <v>448</v>
      </c>
      <c r="D135" s="468">
        <v>580293454</v>
      </c>
      <c r="E135" s="468">
        <v>40000216</v>
      </c>
      <c r="F135" s="468" t="s">
        <v>568</v>
      </c>
      <c r="G135" s="468">
        <v>2024</v>
      </c>
      <c r="H135" s="469">
        <v>2500000</v>
      </c>
      <c r="I135" s="469">
        <v>2458096</v>
      </c>
      <c r="J135" s="468" t="s">
        <v>465</v>
      </c>
      <c r="K135" s="468" t="s">
        <v>466</v>
      </c>
      <c r="L135" s="468">
        <v>16715</v>
      </c>
    </row>
    <row r="136" spans="1:12" s="466" customFormat="1" ht="15" x14ac:dyDescent="0.25">
      <c r="A136" s="467">
        <v>1001776076</v>
      </c>
      <c r="B136" s="468" t="s">
        <v>643</v>
      </c>
      <c r="C136" s="468" t="s">
        <v>448</v>
      </c>
      <c r="D136" s="468">
        <v>580660512</v>
      </c>
      <c r="E136" s="468">
        <v>42320623</v>
      </c>
      <c r="F136" s="468" t="s">
        <v>644</v>
      </c>
      <c r="G136" s="468">
        <v>2024</v>
      </c>
      <c r="H136" s="469">
        <v>150000</v>
      </c>
      <c r="I136" s="469">
        <v>35126</v>
      </c>
      <c r="J136" s="468" t="s">
        <v>465</v>
      </c>
      <c r="K136" s="468" t="s">
        <v>466</v>
      </c>
      <c r="L136" s="468">
        <v>16707</v>
      </c>
    </row>
    <row r="137" spans="1:12" s="466" customFormat="1" ht="15" x14ac:dyDescent="0.25">
      <c r="A137" s="467">
        <v>1001776230</v>
      </c>
      <c r="B137" s="468" t="s">
        <v>645</v>
      </c>
      <c r="C137" s="468" t="s">
        <v>448</v>
      </c>
      <c r="D137" s="468">
        <v>580060556</v>
      </c>
      <c r="E137" s="468">
        <v>40395556</v>
      </c>
      <c r="F137" s="468" t="s">
        <v>541</v>
      </c>
      <c r="G137" s="468">
        <v>2024</v>
      </c>
      <c r="H137" s="469">
        <v>110000</v>
      </c>
      <c r="I137" s="469">
        <v>40562</v>
      </c>
      <c r="J137" s="468" t="s">
        <v>465</v>
      </c>
      <c r="K137" s="468" t="s">
        <v>466</v>
      </c>
      <c r="L137" s="468">
        <v>16713</v>
      </c>
    </row>
    <row r="138" spans="1:12" s="466" customFormat="1" ht="15" x14ac:dyDescent="0.25">
      <c r="A138" s="467">
        <v>1001776464</v>
      </c>
      <c r="B138" s="468" t="s">
        <v>646</v>
      </c>
      <c r="C138" s="468" t="s">
        <v>448</v>
      </c>
      <c r="D138" s="468">
        <v>580383990</v>
      </c>
      <c r="E138" s="468">
        <v>40216097</v>
      </c>
      <c r="F138" s="468" t="s">
        <v>547</v>
      </c>
      <c r="G138" s="468">
        <v>2024</v>
      </c>
      <c r="H138" s="469">
        <v>1000000</v>
      </c>
      <c r="I138" s="469">
        <v>579990</v>
      </c>
      <c r="J138" s="468" t="s">
        <v>465</v>
      </c>
      <c r="K138" s="468" t="s">
        <v>466</v>
      </c>
      <c r="L138" s="468">
        <v>16715</v>
      </c>
    </row>
    <row r="139" spans="1:12" s="466" customFormat="1" ht="15" x14ac:dyDescent="0.25">
      <c r="A139" s="467">
        <v>1001776470</v>
      </c>
      <c r="B139" s="468" t="s">
        <v>492</v>
      </c>
      <c r="C139" s="468" t="s">
        <v>448</v>
      </c>
      <c r="D139" s="468">
        <v>580181741</v>
      </c>
      <c r="E139" s="468">
        <v>40000538</v>
      </c>
      <c r="F139" s="468" t="s">
        <v>493</v>
      </c>
      <c r="G139" s="468">
        <v>2024</v>
      </c>
      <c r="H139" s="469">
        <v>10000000</v>
      </c>
      <c r="I139" s="469">
        <v>4860440</v>
      </c>
      <c r="J139" s="468" t="s">
        <v>465</v>
      </c>
      <c r="K139" s="468" t="s">
        <v>466</v>
      </c>
      <c r="L139" s="468">
        <v>16715</v>
      </c>
    </row>
    <row r="140" spans="1:12" s="466" customFormat="1" ht="15" x14ac:dyDescent="0.25">
      <c r="A140" s="467">
        <v>1001776476</v>
      </c>
      <c r="B140" s="468" t="s">
        <v>647</v>
      </c>
      <c r="C140" s="468" t="s">
        <v>453</v>
      </c>
      <c r="D140" s="468">
        <v>580692416</v>
      </c>
      <c r="E140" s="468">
        <v>42364900</v>
      </c>
      <c r="F140" s="468" t="s">
        <v>536</v>
      </c>
      <c r="G140" s="468">
        <v>2024</v>
      </c>
      <c r="H140" s="469">
        <v>117000</v>
      </c>
      <c r="I140" s="469">
        <v>0</v>
      </c>
      <c r="J140" s="468" t="s">
        <v>465</v>
      </c>
      <c r="K140" s="468" t="s">
        <v>466</v>
      </c>
      <c r="L140" s="468">
        <v>16707</v>
      </c>
    </row>
    <row r="141" spans="1:12" s="466" customFormat="1" ht="15" x14ac:dyDescent="0.25">
      <c r="A141" s="467">
        <v>1001776499</v>
      </c>
      <c r="B141" s="468" t="s">
        <v>648</v>
      </c>
      <c r="C141" s="468" t="s">
        <v>448</v>
      </c>
      <c r="D141" s="468">
        <v>500210638</v>
      </c>
      <c r="E141" s="468">
        <v>20000102</v>
      </c>
      <c r="F141" s="468" t="s">
        <v>490</v>
      </c>
      <c r="G141" s="468">
        <v>2024</v>
      </c>
      <c r="H141" s="469">
        <v>590000</v>
      </c>
      <c r="I141" s="469">
        <v>590000</v>
      </c>
      <c r="J141" s="468" t="s">
        <v>465</v>
      </c>
      <c r="K141" s="468" t="s">
        <v>466</v>
      </c>
      <c r="L141" s="468">
        <v>16755</v>
      </c>
    </row>
    <row r="142" spans="1:12" s="466" customFormat="1" ht="15" x14ac:dyDescent="0.25">
      <c r="A142" s="467">
        <v>1001776895</v>
      </c>
      <c r="B142" s="468" t="s">
        <v>518</v>
      </c>
      <c r="C142" s="468" t="s">
        <v>448</v>
      </c>
      <c r="D142" s="468">
        <v>580504942</v>
      </c>
      <c r="E142" s="468">
        <v>40822203</v>
      </c>
      <c r="F142" s="468" t="s">
        <v>519</v>
      </c>
      <c r="G142" s="468">
        <v>2024</v>
      </c>
      <c r="H142" s="469">
        <v>220000</v>
      </c>
      <c r="I142" s="469">
        <v>103561</v>
      </c>
      <c r="J142" s="468" t="s">
        <v>465</v>
      </c>
      <c r="K142" s="468" t="s">
        <v>466</v>
      </c>
      <c r="L142" s="468">
        <v>16713</v>
      </c>
    </row>
    <row r="143" spans="1:12" s="466" customFormat="1" ht="15" x14ac:dyDescent="0.25">
      <c r="A143" s="467">
        <v>1001776908</v>
      </c>
      <c r="B143" s="468" t="s">
        <v>512</v>
      </c>
      <c r="C143" s="468" t="s">
        <v>448</v>
      </c>
      <c r="D143" s="468">
        <v>580181741</v>
      </c>
      <c r="E143" s="468">
        <v>40000538</v>
      </c>
      <c r="F143" s="468" t="s">
        <v>493</v>
      </c>
      <c r="G143" s="468">
        <v>2024</v>
      </c>
      <c r="H143" s="469">
        <v>1500000</v>
      </c>
      <c r="I143" s="469">
        <v>492336</v>
      </c>
      <c r="J143" s="468" t="s">
        <v>465</v>
      </c>
      <c r="K143" s="468" t="s">
        <v>466</v>
      </c>
      <c r="L143" s="468">
        <v>16716</v>
      </c>
    </row>
    <row r="144" spans="1:12" s="466" customFormat="1" ht="15" x14ac:dyDescent="0.25">
      <c r="A144" s="467">
        <v>1001776987</v>
      </c>
      <c r="B144" s="468" t="s">
        <v>537</v>
      </c>
      <c r="C144" s="468" t="s">
        <v>448</v>
      </c>
      <c r="D144" s="468">
        <v>580350841</v>
      </c>
      <c r="E144" s="468">
        <v>40001704</v>
      </c>
      <c r="F144" s="468" t="s">
        <v>538</v>
      </c>
      <c r="G144" s="468">
        <v>2024</v>
      </c>
      <c r="H144" s="469">
        <v>120000</v>
      </c>
      <c r="I144" s="469">
        <v>36399</v>
      </c>
      <c r="J144" s="468" t="s">
        <v>465</v>
      </c>
      <c r="K144" s="468" t="s">
        <v>466</v>
      </c>
      <c r="L144" s="468">
        <v>16713</v>
      </c>
    </row>
    <row r="145" spans="1:12" s="466" customFormat="1" ht="15" x14ac:dyDescent="0.25">
      <c r="A145" s="467">
        <v>1001776988</v>
      </c>
      <c r="B145" s="468" t="s">
        <v>649</v>
      </c>
      <c r="C145" s="468" t="s">
        <v>453</v>
      </c>
      <c r="D145" s="468">
        <v>580350841</v>
      </c>
      <c r="E145" s="468">
        <v>40001704</v>
      </c>
      <c r="F145" s="468" t="s">
        <v>538</v>
      </c>
      <c r="G145" s="468">
        <v>2024</v>
      </c>
      <c r="H145" s="469">
        <v>140000</v>
      </c>
      <c r="I145" s="469">
        <v>0</v>
      </c>
      <c r="J145" s="468" t="s">
        <v>465</v>
      </c>
      <c r="K145" s="468" t="s">
        <v>466</v>
      </c>
      <c r="L145" s="468">
        <v>16713</v>
      </c>
    </row>
    <row r="146" spans="1:12" s="466" customFormat="1" ht="15" x14ac:dyDescent="0.25">
      <c r="A146" s="467">
        <v>1001777438</v>
      </c>
      <c r="B146" s="468" t="s">
        <v>650</v>
      </c>
      <c r="C146" s="468" t="s">
        <v>448</v>
      </c>
      <c r="D146" s="468">
        <v>510506504</v>
      </c>
      <c r="E146" s="468">
        <v>40000010</v>
      </c>
      <c r="F146" s="468" t="s">
        <v>567</v>
      </c>
      <c r="G146" s="468">
        <v>2024</v>
      </c>
      <c r="H146" s="469">
        <v>350000</v>
      </c>
      <c r="I146" s="469">
        <v>71219</v>
      </c>
      <c r="J146" s="468" t="s">
        <v>465</v>
      </c>
      <c r="K146" s="468" t="s">
        <v>466</v>
      </c>
      <c r="L146" s="468">
        <v>16713</v>
      </c>
    </row>
    <row r="147" spans="1:12" s="466" customFormat="1" ht="15" x14ac:dyDescent="0.25">
      <c r="A147" s="467">
        <v>1001777786</v>
      </c>
      <c r="B147" s="468" t="s">
        <v>651</v>
      </c>
      <c r="C147" s="468" t="s">
        <v>448</v>
      </c>
      <c r="D147" s="468">
        <v>580715068</v>
      </c>
      <c r="E147" s="468">
        <v>42428613</v>
      </c>
      <c r="F147" s="468" t="s">
        <v>652</v>
      </c>
      <c r="G147" s="468">
        <v>2024</v>
      </c>
      <c r="H147" s="469">
        <v>800000</v>
      </c>
      <c r="I147" s="469">
        <v>178198</v>
      </c>
      <c r="J147" s="468" t="s">
        <v>465</v>
      </c>
      <c r="K147" s="468" t="s">
        <v>466</v>
      </c>
      <c r="L147" s="468">
        <v>16716</v>
      </c>
    </row>
    <row r="148" spans="1:12" s="466" customFormat="1" ht="15" x14ac:dyDescent="0.25">
      <c r="A148" s="467">
        <v>1001777788</v>
      </c>
      <c r="B148" s="468" t="s">
        <v>956</v>
      </c>
      <c r="C148" s="468" t="s">
        <v>952</v>
      </c>
      <c r="D148" s="468">
        <v>580223899</v>
      </c>
      <c r="E148" s="468">
        <v>40016768</v>
      </c>
      <c r="F148" s="468" t="s">
        <v>957</v>
      </c>
      <c r="G148" s="468">
        <v>2024</v>
      </c>
      <c r="H148" s="469">
        <v>136000</v>
      </c>
      <c r="I148" s="469">
        <v>0</v>
      </c>
      <c r="J148" s="468" t="s">
        <v>465</v>
      </c>
      <c r="K148" s="468" t="s">
        <v>466</v>
      </c>
      <c r="L148" s="468">
        <v>16707</v>
      </c>
    </row>
    <row r="149" spans="1:12" s="466" customFormat="1" ht="15" x14ac:dyDescent="0.25">
      <c r="A149" s="467">
        <v>1001777789</v>
      </c>
      <c r="B149" s="468" t="s">
        <v>653</v>
      </c>
      <c r="C149" s="468" t="s">
        <v>453</v>
      </c>
      <c r="D149" s="468">
        <v>580323863</v>
      </c>
      <c r="E149" s="468">
        <v>40216066</v>
      </c>
      <c r="F149" s="468" t="s">
        <v>544</v>
      </c>
      <c r="G149" s="468">
        <v>2024</v>
      </c>
      <c r="H149" s="469">
        <v>80000</v>
      </c>
      <c r="I149" s="469">
        <v>0</v>
      </c>
      <c r="J149" s="468" t="s">
        <v>465</v>
      </c>
      <c r="K149" s="468" t="s">
        <v>466</v>
      </c>
      <c r="L149" s="468">
        <v>16713</v>
      </c>
    </row>
    <row r="150" spans="1:12" s="466" customFormat="1" ht="15" x14ac:dyDescent="0.25">
      <c r="A150" s="467">
        <v>1001777996</v>
      </c>
      <c r="B150" s="468" t="s">
        <v>654</v>
      </c>
      <c r="C150" s="468" t="s">
        <v>448</v>
      </c>
      <c r="D150" s="468">
        <v>580175966</v>
      </c>
      <c r="E150" s="468">
        <v>40000533</v>
      </c>
      <c r="F150" s="468" t="s">
        <v>523</v>
      </c>
      <c r="G150" s="468">
        <v>2024</v>
      </c>
      <c r="H150" s="469">
        <v>1100000</v>
      </c>
      <c r="I150" s="469">
        <v>1016973</v>
      </c>
      <c r="J150" s="468" t="s">
        <v>465</v>
      </c>
      <c r="K150" s="468" t="s">
        <v>466</v>
      </c>
      <c r="L150" s="468">
        <v>16715</v>
      </c>
    </row>
    <row r="151" spans="1:12" s="466" customFormat="1" ht="15" x14ac:dyDescent="0.25">
      <c r="A151" s="467">
        <v>1001778129</v>
      </c>
      <c r="B151" s="468" t="s">
        <v>655</v>
      </c>
      <c r="C151" s="468" t="s">
        <v>448</v>
      </c>
      <c r="D151" s="468">
        <v>580025807</v>
      </c>
      <c r="E151" s="468">
        <v>40000079</v>
      </c>
      <c r="F151" s="468" t="s">
        <v>546</v>
      </c>
      <c r="G151" s="468">
        <v>2024</v>
      </c>
      <c r="H151" s="469">
        <v>900000</v>
      </c>
      <c r="I151" s="469">
        <v>771717</v>
      </c>
      <c r="J151" s="468" t="s">
        <v>465</v>
      </c>
      <c r="K151" s="468" t="s">
        <v>466</v>
      </c>
      <c r="L151" s="468">
        <v>16712</v>
      </c>
    </row>
    <row r="152" spans="1:12" s="466" customFormat="1" ht="15" x14ac:dyDescent="0.25">
      <c r="A152" s="467">
        <v>1001778140</v>
      </c>
      <c r="B152" s="468" t="s">
        <v>656</v>
      </c>
      <c r="C152" s="468" t="s">
        <v>459</v>
      </c>
      <c r="D152" s="468">
        <v>580025807</v>
      </c>
      <c r="E152" s="468">
        <v>40000079</v>
      </c>
      <c r="F152" s="468" t="s">
        <v>546</v>
      </c>
      <c r="G152" s="468">
        <v>2024</v>
      </c>
      <c r="H152" s="469">
        <v>300000</v>
      </c>
      <c r="I152" s="469">
        <v>0</v>
      </c>
      <c r="J152" s="468" t="s">
        <v>465</v>
      </c>
      <c r="K152" s="468" t="s">
        <v>466</v>
      </c>
      <c r="L152" s="468">
        <v>16711</v>
      </c>
    </row>
    <row r="153" spans="1:12" s="466" customFormat="1" ht="15" x14ac:dyDescent="0.25">
      <c r="A153" s="467">
        <v>1001778180</v>
      </c>
      <c r="B153" s="468" t="s">
        <v>657</v>
      </c>
      <c r="C153" s="468" t="s">
        <v>448</v>
      </c>
      <c r="D153" s="468">
        <v>580682540</v>
      </c>
      <c r="E153" s="468">
        <v>42342626</v>
      </c>
      <c r="F153" s="468" t="s">
        <v>569</v>
      </c>
      <c r="G153" s="468">
        <v>2024</v>
      </c>
      <c r="H153" s="469">
        <v>800000</v>
      </c>
      <c r="I153" s="469">
        <v>366103</v>
      </c>
      <c r="J153" s="468" t="s">
        <v>465</v>
      </c>
      <c r="K153" s="468" t="s">
        <v>466</v>
      </c>
      <c r="L153" s="468">
        <v>16715</v>
      </c>
    </row>
    <row r="154" spans="1:12" s="466" customFormat="1" ht="15" x14ac:dyDescent="0.25">
      <c r="A154" s="467">
        <v>1001778577</v>
      </c>
      <c r="B154" s="468" t="s">
        <v>562</v>
      </c>
      <c r="C154" s="468" t="s">
        <v>448</v>
      </c>
      <c r="D154" s="468">
        <v>510651482</v>
      </c>
      <c r="E154" s="468">
        <v>40233029</v>
      </c>
      <c r="F154" s="468" t="s">
        <v>563</v>
      </c>
      <c r="G154" s="468">
        <v>2024</v>
      </c>
      <c r="H154" s="469">
        <v>700000</v>
      </c>
      <c r="I154" s="469">
        <v>206829</v>
      </c>
      <c r="J154" s="468" t="s">
        <v>465</v>
      </c>
      <c r="K154" s="468" t="s">
        <v>466</v>
      </c>
      <c r="L154" s="468">
        <v>16710</v>
      </c>
    </row>
    <row r="155" spans="1:12" s="466" customFormat="1" ht="15" x14ac:dyDescent="0.25">
      <c r="A155" s="467">
        <v>1001778595</v>
      </c>
      <c r="B155" s="468" t="s">
        <v>564</v>
      </c>
      <c r="C155" s="468" t="s">
        <v>448</v>
      </c>
      <c r="D155" s="468">
        <v>510651482</v>
      </c>
      <c r="E155" s="468">
        <v>40233029</v>
      </c>
      <c r="F155" s="468" t="s">
        <v>563</v>
      </c>
      <c r="G155" s="468">
        <v>2024</v>
      </c>
      <c r="H155" s="469">
        <v>36000</v>
      </c>
      <c r="I155" s="469">
        <v>36000</v>
      </c>
      <c r="J155" s="468" t="s">
        <v>465</v>
      </c>
      <c r="K155" s="468" t="s">
        <v>466</v>
      </c>
      <c r="L155" s="468">
        <v>16707</v>
      </c>
    </row>
    <row r="156" spans="1:12" s="466" customFormat="1" ht="15" x14ac:dyDescent="0.25">
      <c r="A156" s="467">
        <v>1001778596</v>
      </c>
      <c r="B156" s="468" t="s">
        <v>565</v>
      </c>
      <c r="C156" s="468" t="s">
        <v>448</v>
      </c>
      <c r="D156" s="468">
        <v>510651482</v>
      </c>
      <c r="E156" s="468">
        <v>40233029</v>
      </c>
      <c r="F156" s="468" t="s">
        <v>563</v>
      </c>
      <c r="G156" s="468">
        <v>2024</v>
      </c>
      <c r="H156" s="469">
        <v>50000</v>
      </c>
      <c r="I156" s="469">
        <v>49705</v>
      </c>
      <c r="J156" s="468" t="s">
        <v>465</v>
      </c>
      <c r="K156" s="468" t="s">
        <v>466</v>
      </c>
      <c r="L156" s="468">
        <v>16707</v>
      </c>
    </row>
    <row r="157" spans="1:12" s="466" customFormat="1" ht="15" x14ac:dyDescent="0.25">
      <c r="A157" s="467">
        <v>1001778651</v>
      </c>
      <c r="B157" s="468" t="s">
        <v>658</v>
      </c>
      <c r="C157" s="468" t="s">
        <v>448</v>
      </c>
      <c r="D157" s="468">
        <v>580637221</v>
      </c>
      <c r="E157" s="468">
        <v>41553249</v>
      </c>
      <c r="F157" s="468" t="s">
        <v>513</v>
      </c>
      <c r="G157" s="468">
        <v>2024</v>
      </c>
      <c r="H157" s="469">
        <v>3000000</v>
      </c>
      <c r="I157" s="469">
        <v>1675450</v>
      </c>
      <c r="J157" s="468" t="s">
        <v>465</v>
      </c>
      <c r="K157" s="468" t="s">
        <v>466</v>
      </c>
      <c r="L157" s="468">
        <v>16715</v>
      </c>
    </row>
    <row r="158" spans="1:12" s="466" customFormat="1" ht="15" x14ac:dyDescent="0.25">
      <c r="A158" s="467">
        <v>1001778693</v>
      </c>
      <c r="B158" s="468" t="s">
        <v>659</v>
      </c>
      <c r="C158" s="468" t="s">
        <v>448</v>
      </c>
      <c r="D158" s="468">
        <v>580666717</v>
      </c>
      <c r="E158" s="468">
        <v>41914867</v>
      </c>
      <c r="F158" s="468" t="s">
        <v>415</v>
      </c>
      <c r="G158" s="468">
        <v>2024</v>
      </c>
      <c r="H158" s="469">
        <v>300000</v>
      </c>
      <c r="I158" s="469">
        <v>52781</v>
      </c>
      <c r="J158" s="468" t="s">
        <v>465</v>
      </c>
      <c r="K158" s="468" t="s">
        <v>466</v>
      </c>
      <c r="L158" s="468">
        <v>16707</v>
      </c>
    </row>
    <row r="159" spans="1:12" s="466" customFormat="1" ht="15" x14ac:dyDescent="0.25">
      <c r="A159" s="467">
        <v>1001778694</v>
      </c>
      <c r="B159" s="468" t="s">
        <v>414</v>
      </c>
      <c r="C159" s="468" t="s">
        <v>448</v>
      </c>
      <c r="D159" s="468">
        <v>580666717</v>
      </c>
      <c r="E159" s="468">
        <v>41914867</v>
      </c>
      <c r="F159" s="468" t="s">
        <v>415</v>
      </c>
      <c r="G159" s="468">
        <v>2024</v>
      </c>
      <c r="H159" s="469">
        <v>300000</v>
      </c>
      <c r="I159" s="469">
        <v>101872</v>
      </c>
      <c r="J159" s="468" t="s">
        <v>465</v>
      </c>
      <c r="K159" s="468" t="s">
        <v>466</v>
      </c>
      <c r="L159" s="468">
        <v>16711</v>
      </c>
    </row>
    <row r="160" spans="1:12" s="466" customFormat="1" ht="15" x14ac:dyDescent="0.25">
      <c r="A160" s="467">
        <v>1001778695</v>
      </c>
      <c r="B160" s="468" t="s">
        <v>660</v>
      </c>
      <c r="C160" s="468" t="s">
        <v>453</v>
      </c>
      <c r="D160" s="468">
        <v>580666717</v>
      </c>
      <c r="E160" s="468">
        <v>41914867</v>
      </c>
      <c r="F160" s="468" t="s">
        <v>415</v>
      </c>
      <c r="G160" s="468">
        <v>2024</v>
      </c>
      <c r="H160" s="469">
        <v>150000</v>
      </c>
      <c r="I160" s="469">
        <v>0</v>
      </c>
      <c r="J160" s="468" t="s">
        <v>465</v>
      </c>
      <c r="K160" s="468" t="s">
        <v>466</v>
      </c>
      <c r="L160" s="468">
        <v>16707</v>
      </c>
    </row>
    <row r="161" spans="1:12" s="466" customFormat="1" ht="15" x14ac:dyDescent="0.25">
      <c r="A161" s="467">
        <v>1001778776</v>
      </c>
      <c r="B161" s="468" t="s">
        <v>661</v>
      </c>
      <c r="C161" s="468" t="s">
        <v>453</v>
      </c>
      <c r="D161" s="468">
        <v>500287008</v>
      </c>
      <c r="E161" s="468">
        <v>20000251</v>
      </c>
      <c r="F161" s="468" t="s">
        <v>461</v>
      </c>
      <c r="G161" s="468">
        <v>2024</v>
      </c>
      <c r="H161" s="469">
        <v>480000</v>
      </c>
      <c r="I161" s="469">
        <v>0</v>
      </c>
      <c r="J161" s="468" t="s">
        <v>465</v>
      </c>
      <c r="K161" s="468" t="s">
        <v>466</v>
      </c>
      <c r="L161" s="468">
        <v>16759</v>
      </c>
    </row>
    <row r="162" spans="1:12" s="466" customFormat="1" ht="15" x14ac:dyDescent="0.25">
      <c r="A162" s="467">
        <v>1001778777</v>
      </c>
      <c r="B162" s="468" t="s">
        <v>958</v>
      </c>
      <c r="C162" s="468" t="s">
        <v>952</v>
      </c>
      <c r="D162" s="468">
        <v>500287008</v>
      </c>
      <c r="E162" s="468">
        <v>20000251</v>
      </c>
      <c r="F162" s="468" t="s">
        <v>461</v>
      </c>
      <c r="G162" s="468">
        <v>2024</v>
      </c>
      <c r="H162" s="469">
        <v>480000</v>
      </c>
      <c r="I162" s="469">
        <v>0</v>
      </c>
      <c r="J162" s="468" t="s">
        <v>465</v>
      </c>
      <c r="K162" s="468" t="s">
        <v>466</v>
      </c>
      <c r="L162" s="468">
        <v>16757</v>
      </c>
    </row>
    <row r="163" spans="1:12" s="466" customFormat="1" ht="15" x14ac:dyDescent="0.25">
      <c r="A163" s="467">
        <v>1001778834</v>
      </c>
      <c r="B163" s="468" t="s">
        <v>450</v>
      </c>
      <c r="C163" s="468" t="s">
        <v>448</v>
      </c>
      <c r="D163" s="468">
        <v>580496719</v>
      </c>
      <c r="E163" s="468">
        <v>40384701</v>
      </c>
      <c r="F163" s="468" t="s">
        <v>480</v>
      </c>
      <c r="G163" s="468">
        <v>2024</v>
      </c>
      <c r="H163" s="469">
        <v>1800000</v>
      </c>
      <c r="I163" s="469">
        <v>831037</v>
      </c>
      <c r="J163" s="468" t="s">
        <v>465</v>
      </c>
      <c r="K163" s="468" t="s">
        <v>466</v>
      </c>
      <c r="L163" s="468">
        <v>16715</v>
      </c>
    </row>
    <row r="164" spans="1:12" s="466" customFormat="1" ht="15" x14ac:dyDescent="0.25">
      <c r="A164" s="467">
        <v>1001778931</v>
      </c>
      <c r="B164" s="468" t="s">
        <v>662</v>
      </c>
      <c r="C164" s="468" t="s">
        <v>448</v>
      </c>
      <c r="D164" s="468">
        <v>580263507</v>
      </c>
      <c r="E164" s="468">
        <v>40000632</v>
      </c>
      <c r="F164" s="468" t="s">
        <v>514</v>
      </c>
      <c r="G164" s="468">
        <v>2024</v>
      </c>
      <c r="H164" s="469">
        <v>1200000</v>
      </c>
      <c r="I164" s="469">
        <v>808363</v>
      </c>
      <c r="J164" s="468" t="s">
        <v>465</v>
      </c>
      <c r="K164" s="468" t="s">
        <v>466</v>
      </c>
      <c r="L164" s="468">
        <v>16713</v>
      </c>
    </row>
    <row r="165" spans="1:12" s="466" customFormat="1" ht="15" x14ac:dyDescent="0.25">
      <c r="A165" s="467">
        <v>1001778936</v>
      </c>
      <c r="B165" s="468" t="s">
        <v>959</v>
      </c>
      <c r="C165" s="468" t="s">
        <v>952</v>
      </c>
      <c r="D165" s="468">
        <v>580263507</v>
      </c>
      <c r="E165" s="468">
        <v>40000632</v>
      </c>
      <c r="F165" s="468" t="s">
        <v>514</v>
      </c>
      <c r="G165" s="468">
        <v>2024</v>
      </c>
      <c r="H165" s="469">
        <v>50000</v>
      </c>
      <c r="I165" s="469">
        <v>0</v>
      </c>
      <c r="J165" s="468" t="s">
        <v>465</v>
      </c>
      <c r="K165" s="468" t="s">
        <v>466</v>
      </c>
      <c r="L165" s="468">
        <v>16709</v>
      </c>
    </row>
    <row r="166" spans="1:12" s="466" customFormat="1" ht="15" x14ac:dyDescent="0.25">
      <c r="A166" s="467">
        <v>1001778956</v>
      </c>
      <c r="B166" s="468" t="s">
        <v>452</v>
      </c>
      <c r="C166" s="468" t="s">
        <v>448</v>
      </c>
      <c r="D166" s="468">
        <v>580033470</v>
      </c>
      <c r="E166" s="468">
        <v>40000373</v>
      </c>
      <c r="F166" s="468" t="s">
        <v>529</v>
      </c>
      <c r="G166" s="468">
        <v>2024</v>
      </c>
      <c r="H166" s="469">
        <v>50000</v>
      </c>
      <c r="I166" s="469">
        <v>27855</v>
      </c>
      <c r="J166" s="468" t="s">
        <v>465</v>
      </c>
      <c r="K166" s="468" t="s">
        <v>466</v>
      </c>
      <c r="L166" s="468">
        <v>16713</v>
      </c>
    </row>
    <row r="167" spans="1:12" s="466" customFormat="1" ht="15" x14ac:dyDescent="0.25">
      <c r="A167" s="467">
        <v>1001779064</v>
      </c>
      <c r="B167" s="468" t="s">
        <v>663</v>
      </c>
      <c r="C167" s="468" t="s">
        <v>448</v>
      </c>
      <c r="D167" s="468">
        <v>500250006</v>
      </c>
      <c r="E167" s="468">
        <v>20000201</v>
      </c>
      <c r="F167" s="468" t="s">
        <v>457</v>
      </c>
      <c r="G167" s="468">
        <v>2024</v>
      </c>
      <c r="H167" s="469">
        <v>110000</v>
      </c>
      <c r="I167" s="469">
        <v>62008</v>
      </c>
      <c r="J167" s="468" t="s">
        <v>465</v>
      </c>
      <c r="K167" s="468" t="s">
        <v>466</v>
      </c>
      <c r="L167" s="468">
        <v>16756</v>
      </c>
    </row>
    <row r="168" spans="1:12" s="466" customFormat="1" ht="15" x14ac:dyDescent="0.25">
      <c r="A168" s="467">
        <v>1001779083</v>
      </c>
      <c r="B168" s="468" t="s">
        <v>960</v>
      </c>
      <c r="C168" s="468" t="s">
        <v>952</v>
      </c>
      <c r="D168" s="468">
        <v>580637940</v>
      </c>
      <c r="E168" s="468">
        <v>41964624</v>
      </c>
      <c r="F168" s="468" t="s">
        <v>503</v>
      </c>
      <c r="G168" s="468">
        <v>2024</v>
      </c>
      <c r="H168" s="469">
        <v>400000</v>
      </c>
      <c r="I168" s="469">
        <v>0</v>
      </c>
      <c r="J168" s="468" t="s">
        <v>465</v>
      </c>
      <c r="K168" s="468" t="s">
        <v>466</v>
      </c>
      <c r="L168" s="468">
        <v>16715</v>
      </c>
    </row>
    <row r="169" spans="1:12" s="466" customFormat="1" ht="15" x14ac:dyDescent="0.25">
      <c r="A169" s="467">
        <v>1001779086</v>
      </c>
      <c r="B169" s="468" t="s">
        <v>419</v>
      </c>
      <c r="C169" s="468" t="s">
        <v>448</v>
      </c>
      <c r="D169" s="468">
        <v>580637940</v>
      </c>
      <c r="E169" s="468">
        <v>41964624</v>
      </c>
      <c r="F169" s="468" t="s">
        <v>503</v>
      </c>
      <c r="G169" s="468">
        <v>2024</v>
      </c>
      <c r="H169" s="469">
        <v>500000</v>
      </c>
      <c r="I169" s="469">
        <v>76074</v>
      </c>
      <c r="J169" s="468" t="s">
        <v>465</v>
      </c>
      <c r="K169" s="468" t="s">
        <v>466</v>
      </c>
      <c r="L169" s="468">
        <v>16711</v>
      </c>
    </row>
    <row r="170" spans="1:12" s="466" customFormat="1" ht="15" x14ac:dyDescent="0.25">
      <c r="A170" s="467">
        <v>1001779099</v>
      </c>
      <c r="B170" s="468" t="s">
        <v>664</v>
      </c>
      <c r="C170" s="468" t="s">
        <v>453</v>
      </c>
      <c r="D170" s="468">
        <v>515538684</v>
      </c>
      <c r="E170" s="468">
        <v>41598536</v>
      </c>
      <c r="F170" s="468" t="s">
        <v>460</v>
      </c>
      <c r="G170" s="468">
        <v>2024</v>
      </c>
      <c r="H170" s="469">
        <v>150000</v>
      </c>
      <c r="I170" s="469">
        <v>0</v>
      </c>
      <c r="J170" s="468" t="s">
        <v>465</v>
      </c>
      <c r="K170" s="468" t="s">
        <v>466</v>
      </c>
      <c r="L170" s="468">
        <v>16707</v>
      </c>
    </row>
    <row r="171" spans="1:12" s="466" customFormat="1" ht="15" x14ac:dyDescent="0.25">
      <c r="A171" s="467">
        <v>1001779105</v>
      </c>
      <c r="B171" s="468" t="s">
        <v>665</v>
      </c>
      <c r="C171" s="468" t="s">
        <v>453</v>
      </c>
      <c r="D171" s="468">
        <v>500250006</v>
      </c>
      <c r="E171" s="468">
        <v>20000201</v>
      </c>
      <c r="F171" s="468" t="s">
        <v>457</v>
      </c>
      <c r="G171" s="468">
        <v>2024</v>
      </c>
      <c r="H171" s="469">
        <v>161800</v>
      </c>
      <c r="I171" s="469">
        <v>0</v>
      </c>
      <c r="J171" s="468" t="s">
        <v>465</v>
      </c>
      <c r="K171" s="468" t="s">
        <v>466</v>
      </c>
      <c r="L171" s="468">
        <v>16761</v>
      </c>
    </row>
    <row r="172" spans="1:12" s="466" customFormat="1" ht="15" x14ac:dyDescent="0.25">
      <c r="A172" s="467">
        <v>1001779107</v>
      </c>
      <c r="B172" s="468" t="s">
        <v>666</v>
      </c>
      <c r="C172" s="468" t="s">
        <v>448</v>
      </c>
      <c r="D172" s="468">
        <v>500250006</v>
      </c>
      <c r="E172" s="468">
        <v>20000201</v>
      </c>
      <c r="F172" s="468" t="s">
        <v>457</v>
      </c>
      <c r="G172" s="468">
        <v>2024</v>
      </c>
      <c r="H172" s="469">
        <v>600000</v>
      </c>
      <c r="I172" s="469">
        <v>99037</v>
      </c>
      <c r="J172" s="468" t="s">
        <v>465</v>
      </c>
      <c r="K172" s="468" t="s">
        <v>466</v>
      </c>
      <c r="L172" s="468">
        <v>16759</v>
      </c>
    </row>
    <row r="173" spans="1:12" s="466" customFormat="1" ht="15" x14ac:dyDescent="0.25">
      <c r="A173" s="467">
        <v>1001779124</v>
      </c>
      <c r="B173" s="468" t="s">
        <v>657</v>
      </c>
      <c r="C173" s="468" t="s">
        <v>453</v>
      </c>
      <c r="D173" s="468">
        <v>580682540</v>
      </c>
      <c r="E173" s="468">
        <v>42342626</v>
      </c>
      <c r="F173" s="468" t="s">
        <v>569</v>
      </c>
      <c r="G173" s="468">
        <v>2024</v>
      </c>
      <c r="H173" s="469">
        <v>800000</v>
      </c>
      <c r="I173" s="469">
        <v>0</v>
      </c>
      <c r="J173" s="468" t="s">
        <v>465</v>
      </c>
      <c r="K173" s="468" t="s">
        <v>466</v>
      </c>
      <c r="L173" s="468">
        <v>16711</v>
      </c>
    </row>
    <row r="174" spans="1:12" s="466" customFormat="1" ht="15" x14ac:dyDescent="0.25">
      <c r="A174" s="467">
        <v>1001779126</v>
      </c>
      <c r="B174" s="468" t="s">
        <v>667</v>
      </c>
      <c r="C174" s="468" t="s">
        <v>448</v>
      </c>
      <c r="D174" s="468">
        <v>500287008</v>
      </c>
      <c r="E174" s="468">
        <v>20000251</v>
      </c>
      <c r="F174" s="468" t="s">
        <v>461</v>
      </c>
      <c r="G174" s="468">
        <v>2024</v>
      </c>
      <c r="H174" s="469">
        <v>480000</v>
      </c>
      <c r="I174" s="469">
        <v>32298</v>
      </c>
      <c r="J174" s="468" t="s">
        <v>465</v>
      </c>
      <c r="K174" s="468" t="s">
        <v>466</v>
      </c>
      <c r="L174" s="468">
        <v>16761</v>
      </c>
    </row>
    <row r="175" spans="1:12" s="466" customFormat="1" ht="15" x14ac:dyDescent="0.25">
      <c r="A175" s="467">
        <v>1001779192</v>
      </c>
      <c r="B175" s="468" t="s">
        <v>668</v>
      </c>
      <c r="C175" s="468" t="s">
        <v>448</v>
      </c>
      <c r="D175" s="468">
        <v>580542264</v>
      </c>
      <c r="E175" s="468">
        <v>41386301</v>
      </c>
      <c r="F175" s="468" t="s">
        <v>516</v>
      </c>
      <c r="G175" s="468">
        <v>2024</v>
      </c>
      <c r="H175" s="469">
        <v>750000</v>
      </c>
      <c r="I175" s="469">
        <v>443418</v>
      </c>
      <c r="J175" s="468" t="s">
        <v>465</v>
      </c>
      <c r="K175" s="468" t="s">
        <v>466</v>
      </c>
      <c r="L175" s="468">
        <v>16715</v>
      </c>
    </row>
    <row r="176" spans="1:12" s="466" customFormat="1" ht="15" x14ac:dyDescent="0.25">
      <c r="A176" s="467">
        <v>1001779193</v>
      </c>
      <c r="B176" s="468" t="s">
        <v>961</v>
      </c>
      <c r="C176" s="468" t="s">
        <v>952</v>
      </c>
      <c r="D176" s="468">
        <v>580542264</v>
      </c>
      <c r="E176" s="468">
        <v>41386301</v>
      </c>
      <c r="F176" s="468" t="s">
        <v>516</v>
      </c>
      <c r="G176" s="468">
        <v>2024</v>
      </c>
      <c r="H176" s="469">
        <v>750000</v>
      </c>
      <c r="I176" s="469">
        <v>0</v>
      </c>
      <c r="J176" s="468" t="s">
        <v>465</v>
      </c>
      <c r="K176" s="468" t="s">
        <v>466</v>
      </c>
      <c r="L176" s="468">
        <v>16711</v>
      </c>
    </row>
    <row r="177" spans="1:12" s="466" customFormat="1" ht="15" x14ac:dyDescent="0.25">
      <c r="A177" s="467">
        <v>1001779194</v>
      </c>
      <c r="B177" s="468" t="s">
        <v>413</v>
      </c>
      <c r="C177" s="468" t="s">
        <v>453</v>
      </c>
      <c r="D177" s="468">
        <v>580542264</v>
      </c>
      <c r="E177" s="468">
        <v>41386301</v>
      </c>
      <c r="F177" s="468" t="s">
        <v>516</v>
      </c>
      <c r="G177" s="468">
        <v>2024</v>
      </c>
      <c r="H177" s="469">
        <v>400000</v>
      </c>
      <c r="I177" s="469">
        <v>0</v>
      </c>
      <c r="J177" s="468" t="s">
        <v>465</v>
      </c>
      <c r="K177" s="468" t="s">
        <v>466</v>
      </c>
      <c r="L177" s="468">
        <v>16711</v>
      </c>
    </row>
    <row r="178" spans="1:12" s="466" customFormat="1" ht="15" x14ac:dyDescent="0.25">
      <c r="A178" s="467">
        <v>1001779235</v>
      </c>
      <c r="B178" s="468" t="s">
        <v>669</v>
      </c>
      <c r="C178" s="468" t="s">
        <v>448</v>
      </c>
      <c r="D178" s="468">
        <v>580023968</v>
      </c>
      <c r="E178" s="468">
        <v>40000076</v>
      </c>
      <c r="F178" s="468" t="s">
        <v>395</v>
      </c>
      <c r="G178" s="468">
        <v>2024</v>
      </c>
      <c r="H178" s="469">
        <v>300000</v>
      </c>
      <c r="I178" s="469">
        <v>187117</v>
      </c>
      <c r="J178" s="468" t="s">
        <v>465</v>
      </c>
      <c r="K178" s="468" t="s">
        <v>466</v>
      </c>
      <c r="L178" s="468">
        <v>16716</v>
      </c>
    </row>
    <row r="179" spans="1:12" s="466" customFormat="1" ht="15" x14ac:dyDescent="0.25">
      <c r="A179" s="467">
        <v>1001779236</v>
      </c>
      <c r="B179" s="468" t="s">
        <v>396</v>
      </c>
      <c r="C179" s="468" t="s">
        <v>448</v>
      </c>
      <c r="D179" s="468">
        <v>580023968</v>
      </c>
      <c r="E179" s="468">
        <v>40000076</v>
      </c>
      <c r="F179" s="468" t="s">
        <v>395</v>
      </c>
      <c r="G179" s="468">
        <v>2024</v>
      </c>
      <c r="H179" s="469">
        <v>180000</v>
      </c>
      <c r="I179" s="469">
        <v>45810</v>
      </c>
      <c r="J179" s="468" t="s">
        <v>465</v>
      </c>
      <c r="K179" s="468" t="s">
        <v>466</v>
      </c>
      <c r="L179" s="468">
        <v>16711</v>
      </c>
    </row>
    <row r="180" spans="1:12" s="466" customFormat="1" ht="15" x14ac:dyDescent="0.25">
      <c r="A180" s="467">
        <v>1001779646</v>
      </c>
      <c r="B180" s="468" t="s">
        <v>670</v>
      </c>
      <c r="C180" s="468" t="s">
        <v>453</v>
      </c>
      <c r="D180" s="468">
        <v>580041994</v>
      </c>
      <c r="E180" s="468">
        <v>40000393</v>
      </c>
      <c r="F180" s="468" t="s">
        <v>551</v>
      </c>
      <c r="G180" s="468">
        <v>2024</v>
      </c>
      <c r="H180" s="469">
        <v>100000</v>
      </c>
      <c r="I180" s="469">
        <v>0</v>
      </c>
      <c r="J180" s="468" t="s">
        <v>465</v>
      </c>
      <c r="K180" s="468" t="s">
        <v>466</v>
      </c>
      <c r="L180" s="468">
        <v>16713</v>
      </c>
    </row>
    <row r="181" spans="1:12" s="466" customFormat="1" ht="15" x14ac:dyDescent="0.25">
      <c r="A181" s="467">
        <v>1001779648</v>
      </c>
      <c r="B181" s="468" t="s">
        <v>452</v>
      </c>
      <c r="C181" s="468" t="s">
        <v>453</v>
      </c>
      <c r="D181" s="468">
        <v>580041994</v>
      </c>
      <c r="E181" s="468">
        <v>40000393</v>
      </c>
      <c r="F181" s="468" t="s">
        <v>551</v>
      </c>
      <c r="G181" s="468">
        <v>2024</v>
      </c>
      <c r="H181" s="469">
        <v>150000</v>
      </c>
      <c r="I181" s="469">
        <v>0</v>
      </c>
      <c r="J181" s="468" t="s">
        <v>465</v>
      </c>
      <c r="K181" s="468" t="s">
        <v>466</v>
      </c>
      <c r="L181" s="468">
        <v>16713</v>
      </c>
    </row>
    <row r="182" spans="1:12" s="466" customFormat="1" ht="15" x14ac:dyDescent="0.25">
      <c r="A182" s="467">
        <v>1001779817</v>
      </c>
      <c r="B182" s="468" t="s">
        <v>422</v>
      </c>
      <c r="C182" s="468" t="s">
        <v>448</v>
      </c>
      <c r="D182" s="468">
        <v>580485340</v>
      </c>
      <c r="E182" s="468">
        <v>42759321</v>
      </c>
      <c r="F182" s="468" t="s">
        <v>671</v>
      </c>
      <c r="G182" s="468">
        <v>2024</v>
      </c>
      <c r="H182" s="469">
        <v>30000</v>
      </c>
      <c r="I182" s="469">
        <v>30000</v>
      </c>
      <c r="J182" s="468" t="s">
        <v>465</v>
      </c>
      <c r="K182" s="468" t="s">
        <v>466</v>
      </c>
      <c r="L182" s="468">
        <v>16711</v>
      </c>
    </row>
    <row r="183" spans="1:12" s="466" customFormat="1" ht="15" x14ac:dyDescent="0.25">
      <c r="A183" s="467">
        <v>1001779854</v>
      </c>
      <c r="B183" s="468" t="s">
        <v>672</v>
      </c>
      <c r="C183" s="468" t="s">
        <v>448</v>
      </c>
      <c r="D183" s="468">
        <v>580658094</v>
      </c>
      <c r="E183" s="468">
        <v>42202886</v>
      </c>
      <c r="F183" s="468" t="s">
        <v>559</v>
      </c>
      <c r="G183" s="468">
        <v>2024</v>
      </c>
      <c r="H183" s="469">
        <v>100000</v>
      </c>
      <c r="I183" s="469">
        <v>57474</v>
      </c>
      <c r="J183" s="468" t="s">
        <v>465</v>
      </c>
      <c r="K183" s="468" t="s">
        <v>466</v>
      </c>
      <c r="L183" s="468">
        <v>16707</v>
      </c>
    </row>
    <row r="184" spans="1:12" s="466" customFormat="1" ht="15" x14ac:dyDescent="0.25">
      <c r="A184" s="467">
        <v>1001779942</v>
      </c>
      <c r="B184" s="468" t="s">
        <v>550</v>
      </c>
      <c r="C184" s="468" t="s">
        <v>448</v>
      </c>
      <c r="D184" s="468">
        <v>515355196</v>
      </c>
      <c r="E184" s="468">
        <v>41903517</v>
      </c>
      <c r="F184" s="468" t="s">
        <v>673</v>
      </c>
      <c r="G184" s="468">
        <v>2024</v>
      </c>
      <c r="H184" s="469">
        <v>150000</v>
      </c>
      <c r="I184" s="469">
        <v>107734</v>
      </c>
      <c r="J184" s="468" t="s">
        <v>465</v>
      </c>
      <c r="K184" s="468" t="s">
        <v>466</v>
      </c>
      <c r="L184" s="468">
        <v>16713</v>
      </c>
    </row>
    <row r="185" spans="1:12" s="466" customFormat="1" ht="15" x14ac:dyDescent="0.25">
      <c r="A185" s="467">
        <v>1001801318</v>
      </c>
      <c r="B185" s="468" t="s">
        <v>656</v>
      </c>
      <c r="C185" s="468" t="s">
        <v>448</v>
      </c>
      <c r="D185" s="468">
        <v>580025807</v>
      </c>
      <c r="E185" s="468">
        <v>40000079</v>
      </c>
      <c r="F185" s="468" t="s">
        <v>546</v>
      </c>
      <c r="G185" s="468">
        <v>2024</v>
      </c>
      <c r="H185" s="469">
        <v>300000</v>
      </c>
      <c r="I185" s="469">
        <v>94181</v>
      </c>
      <c r="J185" s="468" t="s">
        <v>465</v>
      </c>
      <c r="K185" s="468" t="s">
        <v>466</v>
      </c>
      <c r="L185" s="468">
        <v>0</v>
      </c>
    </row>
    <row r="186" spans="1:12" s="466" customFormat="1" ht="15" x14ac:dyDescent="0.25">
      <c r="A186" s="467">
        <v>1001801319</v>
      </c>
      <c r="B186" s="468" t="s">
        <v>653</v>
      </c>
      <c r="C186" s="468" t="s">
        <v>448</v>
      </c>
      <c r="D186" s="468">
        <v>580323863</v>
      </c>
      <c r="E186" s="468">
        <v>40216066</v>
      </c>
      <c r="F186" s="468" t="s">
        <v>544</v>
      </c>
      <c r="G186" s="468">
        <v>2024</v>
      </c>
      <c r="H186" s="469">
        <v>80000</v>
      </c>
      <c r="I186" s="469">
        <v>37134</v>
      </c>
      <c r="J186" s="468" t="s">
        <v>465</v>
      </c>
      <c r="K186" s="468" t="s">
        <v>466</v>
      </c>
      <c r="L186" s="468">
        <v>0</v>
      </c>
    </row>
    <row r="187" spans="1:12" s="466" customFormat="1" ht="15" x14ac:dyDescent="0.25">
      <c r="A187" s="467">
        <v>1001801570</v>
      </c>
      <c r="B187" s="468" t="s">
        <v>649</v>
      </c>
      <c r="C187" s="468" t="s">
        <v>453</v>
      </c>
      <c r="D187" s="468">
        <v>580350841</v>
      </c>
      <c r="E187" s="468">
        <v>40001704</v>
      </c>
      <c r="F187" s="468" t="s">
        <v>538</v>
      </c>
      <c r="G187" s="468">
        <v>2024</v>
      </c>
      <c r="H187" s="469">
        <v>140000</v>
      </c>
      <c r="I187" s="469">
        <v>0</v>
      </c>
      <c r="J187" s="468" t="s">
        <v>465</v>
      </c>
      <c r="K187" s="468" t="s">
        <v>466</v>
      </c>
      <c r="L187" s="468">
        <v>0</v>
      </c>
    </row>
    <row r="188" spans="1:12" s="466" customFormat="1" ht="15" x14ac:dyDescent="0.25">
      <c r="A188" s="467">
        <v>1001801571</v>
      </c>
      <c r="B188" s="468" t="s">
        <v>674</v>
      </c>
      <c r="C188" s="468" t="s">
        <v>448</v>
      </c>
      <c r="D188" s="468">
        <v>580540722</v>
      </c>
      <c r="E188" s="468">
        <v>42741666</v>
      </c>
      <c r="F188" s="468" t="s">
        <v>675</v>
      </c>
      <c r="G188" s="468">
        <v>2024</v>
      </c>
      <c r="H188" s="469">
        <v>200000</v>
      </c>
      <c r="I188" s="469">
        <v>42793</v>
      </c>
      <c r="J188" s="468" t="s">
        <v>465</v>
      </c>
      <c r="K188" s="468" t="s">
        <v>466</v>
      </c>
      <c r="L188" s="468">
        <v>0</v>
      </c>
    </row>
    <row r="189" spans="1:12" s="466" customFormat="1" ht="15" x14ac:dyDescent="0.25">
      <c r="A189" s="467">
        <v>1001823185</v>
      </c>
      <c r="B189" s="468" t="s">
        <v>452</v>
      </c>
      <c r="C189" s="468" t="s">
        <v>459</v>
      </c>
      <c r="D189" s="468">
        <v>580029379</v>
      </c>
      <c r="E189" s="468">
        <v>40000363</v>
      </c>
      <c r="F189" s="468" t="s">
        <v>467</v>
      </c>
      <c r="G189" s="468">
        <v>2025</v>
      </c>
      <c r="H189" s="469">
        <v>1400000</v>
      </c>
      <c r="I189" s="469">
        <v>0</v>
      </c>
      <c r="J189" s="468" t="s">
        <v>465</v>
      </c>
      <c r="K189" s="468" t="s">
        <v>466</v>
      </c>
      <c r="L189" s="468">
        <v>17643</v>
      </c>
    </row>
    <row r="190" spans="1:12" s="466" customFormat="1" ht="15" x14ac:dyDescent="0.25">
      <c r="A190" s="467">
        <v>1001823186</v>
      </c>
      <c r="B190" s="468" t="s">
        <v>962</v>
      </c>
      <c r="C190" s="468" t="s">
        <v>459</v>
      </c>
      <c r="D190" s="468">
        <v>515355196</v>
      </c>
      <c r="E190" s="468">
        <v>41903517</v>
      </c>
      <c r="F190" s="468" t="s">
        <v>673</v>
      </c>
      <c r="G190" s="468">
        <v>2025</v>
      </c>
      <c r="H190" s="469">
        <v>180000</v>
      </c>
      <c r="I190" s="469">
        <v>0</v>
      </c>
      <c r="J190" s="468" t="s">
        <v>465</v>
      </c>
      <c r="K190" s="468" t="s">
        <v>466</v>
      </c>
      <c r="L190" s="468">
        <v>17559</v>
      </c>
    </row>
    <row r="191" spans="1:12" s="466" customFormat="1" ht="15" x14ac:dyDescent="0.25">
      <c r="A191" s="467">
        <v>1001823867</v>
      </c>
      <c r="B191" s="468" t="s">
        <v>963</v>
      </c>
      <c r="C191" s="468" t="s">
        <v>462</v>
      </c>
      <c r="D191" s="468">
        <v>580450898</v>
      </c>
      <c r="E191" s="468">
        <v>41099000</v>
      </c>
      <c r="F191" s="468" t="s">
        <v>486</v>
      </c>
      <c r="G191" s="468">
        <v>2025</v>
      </c>
      <c r="H191" s="469">
        <v>150000</v>
      </c>
      <c r="I191" s="469">
        <v>0</v>
      </c>
      <c r="J191" s="468" t="s">
        <v>465</v>
      </c>
      <c r="K191" s="468" t="s">
        <v>466</v>
      </c>
      <c r="L191" s="468">
        <v>17559</v>
      </c>
    </row>
    <row r="192" spans="1:12" s="466" customFormat="1" ht="15" x14ac:dyDescent="0.25">
      <c r="A192" s="467">
        <v>1001823868</v>
      </c>
      <c r="B192" s="468" t="s">
        <v>964</v>
      </c>
      <c r="C192" s="468" t="s">
        <v>462</v>
      </c>
      <c r="D192" s="468">
        <v>580450898</v>
      </c>
      <c r="E192" s="468">
        <v>41099000</v>
      </c>
      <c r="F192" s="468" t="s">
        <v>486</v>
      </c>
      <c r="G192" s="468">
        <v>2025</v>
      </c>
      <c r="H192" s="469">
        <v>150000</v>
      </c>
      <c r="I192" s="469">
        <v>0</v>
      </c>
      <c r="J192" s="468" t="s">
        <v>465</v>
      </c>
      <c r="K192" s="468" t="s">
        <v>466</v>
      </c>
      <c r="L192" s="468">
        <v>17559</v>
      </c>
    </row>
    <row r="193" spans="1:12" s="466" customFormat="1" ht="15" x14ac:dyDescent="0.25">
      <c r="A193" s="467">
        <v>1001824930</v>
      </c>
      <c r="B193" s="468" t="s">
        <v>965</v>
      </c>
      <c r="C193" s="468" t="s">
        <v>459</v>
      </c>
      <c r="D193" s="468">
        <v>580103323</v>
      </c>
      <c r="E193" s="468">
        <v>40000464</v>
      </c>
      <c r="F193" s="468" t="s">
        <v>470</v>
      </c>
      <c r="G193" s="468">
        <v>2025</v>
      </c>
      <c r="H193" s="469">
        <v>45000</v>
      </c>
      <c r="I193" s="469">
        <v>0</v>
      </c>
      <c r="J193" s="468" t="s">
        <v>465</v>
      </c>
      <c r="K193" s="468" t="s">
        <v>466</v>
      </c>
      <c r="L193" s="468">
        <v>17559</v>
      </c>
    </row>
    <row r="194" spans="1:12" s="466" customFormat="1" ht="15" x14ac:dyDescent="0.25">
      <c r="A194" s="467">
        <v>1001824975</v>
      </c>
      <c r="B194" s="468" t="s">
        <v>966</v>
      </c>
      <c r="C194" s="468" t="s">
        <v>459</v>
      </c>
      <c r="D194" s="468">
        <v>580147239</v>
      </c>
      <c r="E194" s="468">
        <v>40000506</v>
      </c>
      <c r="F194" s="468" t="s">
        <v>392</v>
      </c>
      <c r="G194" s="468">
        <v>2025</v>
      </c>
      <c r="H194" s="469">
        <v>610000</v>
      </c>
      <c r="I194" s="469">
        <v>0</v>
      </c>
      <c r="J194" s="468" t="s">
        <v>465</v>
      </c>
      <c r="K194" s="468" t="s">
        <v>466</v>
      </c>
      <c r="L194" s="468">
        <v>17643</v>
      </c>
    </row>
    <row r="195" spans="1:12" s="466" customFormat="1" ht="15" x14ac:dyDescent="0.25">
      <c r="A195" s="467">
        <v>1001825239</v>
      </c>
      <c r="B195" s="468" t="s">
        <v>967</v>
      </c>
      <c r="C195" s="468" t="s">
        <v>459</v>
      </c>
      <c r="D195" s="468">
        <v>580509024</v>
      </c>
      <c r="E195" s="468">
        <v>40527700</v>
      </c>
      <c r="F195" s="468" t="s">
        <v>478</v>
      </c>
      <c r="G195" s="468">
        <v>2025</v>
      </c>
      <c r="H195" s="469">
        <v>1000000</v>
      </c>
      <c r="I195" s="469">
        <v>0</v>
      </c>
      <c r="J195" s="468" t="s">
        <v>465</v>
      </c>
      <c r="K195" s="468" t="s">
        <v>466</v>
      </c>
      <c r="L195" s="468">
        <v>17559</v>
      </c>
    </row>
    <row r="196" spans="1:12" s="466" customFormat="1" ht="15" x14ac:dyDescent="0.25">
      <c r="A196" s="467">
        <v>1001825316</v>
      </c>
      <c r="B196" s="468" t="s">
        <v>968</v>
      </c>
      <c r="C196" s="468" t="s">
        <v>459</v>
      </c>
      <c r="D196" s="468">
        <v>580033470</v>
      </c>
      <c r="E196" s="468">
        <v>40000373</v>
      </c>
      <c r="F196" s="468" t="s">
        <v>529</v>
      </c>
      <c r="G196" s="468">
        <v>2025</v>
      </c>
      <c r="H196" s="469">
        <v>60000</v>
      </c>
      <c r="I196" s="469">
        <v>0</v>
      </c>
      <c r="J196" s="468" t="s">
        <v>465</v>
      </c>
      <c r="K196" s="468" t="s">
        <v>466</v>
      </c>
      <c r="L196" s="468">
        <v>17559</v>
      </c>
    </row>
    <row r="197" spans="1:12" s="466" customFormat="1" ht="15" x14ac:dyDescent="0.25">
      <c r="A197" s="467">
        <v>1001825471</v>
      </c>
      <c r="B197" s="468" t="s">
        <v>553</v>
      </c>
      <c r="C197" s="468" t="s">
        <v>459</v>
      </c>
      <c r="D197" s="468">
        <v>580029148</v>
      </c>
      <c r="E197" s="468">
        <v>40000362</v>
      </c>
      <c r="F197" s="468" t="s">
        <v>552</v>
      </c>
      <c r="G197" s="468">
        <v>2025</v>
      </c>
      <c r="H197" s="469">
        <v>70000</v>
      </c>
      <c r="I197" s="469">
        <v>0</v>
      </c>
      <c r="J197" s="468" t="s">
        <v>465</v>
      </c>
      <c r="K197" s="468" t="s">
        <v>466</v>
      </c>
      <c r="L197" s="468">
        <v>17560</v>
      </c>
    </row>
    <row r="198" spans="1:12" s="466" customFormat="1" ht="15" x14ac:dyDescent="0.25">
      <c r="A198" s="467">
        <v>1001826710</v>
      </c>
      <c r="B198" s="468" t="s">
        <v>969</v>
      </c>
      <c r="C198" s="468" t="s">
        <v>459</v>
      </c>
      <c r="D198" s="468">
        <v>580715068</v>
      </c>
      <c r="E198" s="468">
        <v>42428613</v>
      </c>
      <c r="F198" s="468" t="s">
        <v>652</v>
      </c>
      <c r="G198" s="468">
        <v>2025</v>
      </c>
      <c r="H198" s="469">
        <v>300000</v>
      </c>
      <c r="I198" s="469">
        <v>0</v>
      </c>
      <c r="J198" s="468" t="s">
        <v>465</v>
      </c>
      <c r="K198" s="468" t="s">
        <v>466</v>
      </c>
      <c r="L198" s="468">
        <v>17557</v>
      </c>
    </row>
    <row r="199" spans="1:12" s="466" customFormat="1" ht="15" x14ac:dyDescent="0.25">
      <c r="A199" s="467">
        <v>1001827295</v>
      </c>
      <c r="B199" s="468" t="s">
        <v>970</v>
      </c>
      <c r="C199" s="468" t="s">
        <v>459</v>
      </c>
      <c r="D199" s="468">
        <v>580013522</v>
      </c>
      <c r="E199" s="468">
        <v>40000333</v>
      </c>
      <c r="F199" s="468" t="s">
        <v>393</v>
      </c>
      <c r="G199" s="468">
        <v>2025</v>
      </c>
      <c r="H199" s="469">
        <v>300000</v>
      </c>
      <c r="I199" s="469">
        <v>0</v>
      </c>
      <c r="J199" s="468" t="s">
        <v>465</v>
      </c>
      <c r="K199" s="468" t="s">
        <v>466</v>
      </c>
      <c r="L199" s="468">
        <v>17557</v>
      </c>
    </row>
    <row r="200" spans="1:12" s="466" customFormat="1" ht="15" x14ac:dyDescent="0.25">
      <c r="A200" s="467">
        <v>1001827887</v>
      </c>
      <c r="B200" s="468" t="s">
        <v>971</v>
      </c>
      <c r="C200" s="468" t="s">
        <v>459</v>
      </c>
      <c r="D200" s="468">
        <v>580337913</v>
      </c>
      <c r="E200" s="468">
        <v>40221476</v>
      </c>
      <c r="F200" s="468" t="s">
        <v>517</v>
      </c>
      <c r="G200" s="468">
        <v>2025</v>
      </c>
      <c r="H200" s="469">
        <v>380000</v>
      </c>
      <c r="I200" s="469">
        <v>0</v>
      </c>
      <c r="J200" s="468" t="s">
        <v>465</v>
      </c>
      <c r="K200" s="468" t="s">
        <v>466</v>
      </c>
      <c r="L200" s="468">
        <v>17557</v>
      </c>
    </row>
    <row r="201" spans="1:12" s="466" customFormat="1" ht="15" x14ac:dyDescent="0.25">
      <c r="A201" s="467">
        <v>1001828819</v>
      </c>
      <c r="B201" s="468" t="s">
        <v>972</v>
      </c>
      <c r="C201" s="468" t="s">
        <v>459</v>
      </c>
      <c r="D201" s="468">
        <v>580132249</v>
      </c>
      <c r="E201" s="468">
        <v>40000490</v>
      </c>
      <c r="F201" s="468" t="s">
        <v>533</v>
      </c>
      <c r="G201" s="468">
        <v>2025</v>
      </c>
      <c r="H201" s="469">
        <v>125000</v>
      </c>
      <c r="I201" s="469">
        <v>0</v>
      </c>
      <c r="J201" s="468" t="s">
        <v>465</v>
      </c>
      <c r="K201" s="468" t="s">
        <v>466</v>
      </c>
      <c r="L201" s="468">
        <v>17559</v>
      </c>
    </row>
    <row r="202" spans="1:12" s="466" customFormat="1" ht="15" x14ac:dyDescent="0.25">
      <c r="A202" s="467">
        <v>1001829382</v>
      </c>
      <c r="B202" s="468" t="s">
        <v>973</v>
      </c>
      <c r="C202" s="468" t="s">
        <v>459</v>
      </c>
      <c r="D202" s="468">
        <v>510490451</v>
      </c>
      <c r="E202" s="468">
        <v>40000009</v>
      </c>
      <c r="F202" s="468" t="s">
        <v>475</v>
      </c>
      <c r="G202" s="468">
        <v>2025</v>
      </c>
      <c r="H202" s="469">
        <v>350000</v>
      </c>
      <c r="I202" s="469">
        <v>0</v>
      </c>
      <c r="J202" s="468" t="s">
        <v>465</v>
      </c>
      <c r="K202" s="468" t="s">
        <v>466</v>
      </c>
      <c r="L202" s="468">
        <v>17559</v>
      </c>
    </row>
    <row r="203" spans="1:12" s="466" customFormat="1" ht="15" x14ac:dyDescent="0.25">
      <c r="A203" s="467">
        <v>1001830013</v>
      </c>
      <c r="B203" s="468" t="s">
        <v>974</v>
      </c>
      <c r="C203" s="468" t="s">
        <v>459</v>
      </c>
      <c r="D203" s="468">
        <v>580288728</v>
      </c>
      <c r="E203" s="468">
        <v>40000655</v>
      </c>
      <c r="F203" s="468" t="s">
        <v>498</v>
      </c>
      <c r="G203" s="468">
        <v>2025</v>
      </c>
      <c r="H203" s="469">
        <v>200000</v>
      </c>
      <c r="I203" s="469">
        <v>0</v>
      </c>
      <c r="J203" s="468" t="s">
        <v>465</v>
      </c>
      <c r="K203" s="468" t="s">
        <v>466</v>
      </c>
      <c r="L203" s="468">
        <v>17559</v>
      </c>
    </row>
    <row r="204" spans="1:12" s="466" customFormat="1" ht="15" x14ac:dyDescent="0.25">
      <c r="A204" s="467">
        <v>1001830677</v>
      </c>
      <c r="B204" s="468" t="s">
        <v>975</v>
      </c>
      <c r="C204" s="468" t="s">
        <v>459</v>
      </c>
      <c r="D204" s="468">
        <v>580032035</v>
      </c>
      <c r="E204" s="468">
        <v>40331189</v>
      </c>
      <c r="F204" s="468" t="s">
        <v>496</v>
      </c>
      <c r="G204" s="468">
        <v>2025</v>
      </c>
      <c r="H204" s="469">
        <v>200000</v>
      </c>
      <c r="I204" s="469">
        <v>0</v>
      </c>
      <c r="J204" s="468" t="s">
        <v>465</v>
      </c>
      <c r="K204" s="468" t="s">
        <v>466</v>
      </c>
      <c r="L204" s="468">
        <v>17560</v>
      </c>
    </row>
    <row r="205" spans="1:12" s="466" customFormat="1" ht="15" x14ac:dyDescent="0.25">
      <c r="A205" s="467">
        <v>1001832263</v>
      </c>
      <c r="B205" s="468" t="s">
        <v>976</v>
      </c>
      <c r="C205" s="468" t="s">
        <v>459</v>
      </c>
      <c r="D205" s="468">
        <v>500284005</v>
      </c>
      <c r="E205" s="468">
        <v>20000248</v>
      </c>
      <c r="F205" s="468" t="s">
        <v>455</v>
      </c>
      <c r="G205" s="468">
        <v>2025</v>
      </c>
      <c r="H205" s="469">
        <v>60000</v>
      </c>
      <c r="I205" s="469">
        <v>0</v>
      </c>
      <c r="J205" s="468" t="s">
        <v>465</v>
      </c>
      <c r="K205" s="468" t="s">
        <v>466</v>
      </c>
      <c r="L205" s="468">
        <v>17570</v>
      </c>
    </row>
    <row r="206" spans="1:12" s="466" customFormat="1" ht="15" x14ac:dyDescent="0.25">
      <c r="A206" s="467">
        <v>1001833289</v>
      </c>
      <c r="B206" s="468" t="s">
        <v>977</v>
      </c>
      <c r="C206" s="468" t="s">
        <v>459</v>
      </c>
      <c r="D206" s="468">
        <v>580091395</v>
      </c>
      <c r="E206" s="468">
        <v>40000456</v>
      </c>
      <c r="F206" s="468" t="s">
        <v>488</v>
      </c>
      <c r="G206" s="468">
        <v>2025</v>
      </c>
      <c r="H206" s="469">
        <v>250000</v>
      </c>
      <c r="I206" s="469">
        <v>0</v>
      </c>
      <c r="J206" s="468" t="s">
        <v>465</v>
      </c>
      <c r="K206" s="468" t="s">
        <v>466</v>
      </c>
      <c r="L206" s="468">
        <v>17559</v>
      </c>
    </row>
    <row r="207" spans="1:12" s="466" customFormat="1" ht="15" x14ac:dyDescent="0.25">
      <c r="A207" s="467">
        <v>1001835097</v>
      </c>
      <c r="B207" s="468" t="s">
        <v>518</v>
      </c>
      <c r="C207" s="468" t="s">
        <v>459</v>
      </c>
      <c r="D207" s="468">
        <v>580504942</v>
      </c>
      <c r="E207" s="468">
        <v>40822203</v>
      </c>
      <c r="F207" s="468" t="s">
        <v>519</v>
      </c>
      <c r="G207" s="468">
        <v>2025</v>
      </c>
      <c r="H207" s="469">
        <v>210000</v>
      </c>
      <c r="I207" s="469">
        <v>0</v>
      </c>
      <c r="J207" s="468" t="s">
        <v>465</v>
      </c>
      <c r="K207" s="468" t="s">
        <v>466</v>
      </c>
      <c r="L207" s="468">
        <v>17559</v>
      </c>
    </row>
    <row r="208" spans="1:12" s="466" customFormat="1" ht="15" x14ac:dyDescent="0.25">
      <c r="A208" s="467">
        <v>1001835561</v>
      </c>
      <c r="B208" s="468" t="s">
        <v>978</v>
      </c>
      <c r="C208" s="468" t="s">
        <v>459</v>
      </c>
      <c r="D208" s="468">
        <v>580489847</v>
      </c>
      <c r="E208" s="468">
        <v>40467070</v>
      </c>
      <c r="F208" s="468" t="s">
        <v>479</v>
      </c>
      <c r="G208" s="468">
        <v>2025</v>
      </c>
      <c r="H208" s="469">
        <v>350000</v>
      </c>
      <c r="I208" s="469">
        <v>0</v>
      </c>
      <c r="J208" s="468" t="s">
        <v>465</v>
      </c>
      <c r="K208" s="468" t="s">
        <v>466</v>
      </c>
      <c r="L208" s="468">
        <v>17559</v>
      </c>
    </row>
    <row r="209" spans="1:12" s="466" customFormat="1" ht="15" x14ac:dyDescent="0.25">
      <c r="A209" s="467">
        <v>1001835780</v>
      </c>
      <c r="B209" s="468" t="s">
        <v>515</v>
      </c>
      <c r="C209" s="468" t="s">
        <v>952</v>
      </c>
      <c r="D209" s="468">
        <v>580064103</v>
      </c>
      <c r="E209" s="468">
        <v>40000415</v>
      </c>
      <c r="F209" s="468" t="s">
        <v>400</v>
      </c>
      <c r="G209" s="468">
        <v>2025</v>
      </c>
      <c r="H209" s="469">
        <v>40000</v>
      </c>
      <c r="I209" s="469">
        <v>0</v>
      </c>
      <c r="J209" s="468" t="s">
        <v>465</v>
      </c>
      <c r="K209" s="468" t="s">
        <v>466</v>
      </c>
      <c r="L209" s="468">
        <v>17560</v>
      </c>
    </row>
    <row r="210" spans="1:12" s="466" customFormat="1" ht="15" x14ac:dyDescent="0.25">
      <c r="A210" s="467">
        <v>1001836298</v>
      </c>
      <c r="B210" s="468" t="s">
        <v>965</v>
      </c>
      <c r="C210" s="468" t="s">
        <v>462</v>
      </c>
      <c r="D210" s="468">
        <v>580337608</v>
      </c>
      <c r="E210" s="468">
        <v>42864062</v>
      </c>
      <c r="F210" s="468" t="s">
        <v>979</v>
      </c>
      <c r="G210" s="468">
        <v>2025</v>
      </c>
      <c r="H210" s="469">
        <v>500000</v>
      </c>
      <c r="I210" s="469">
        <v>0</v>
      </c>
      <c r="J210" s="468" t="s">
        <v>465</v>
      </c>
      <c r="K210" s="468" t="s">
        <v>466</v>
      </c>
      <c r="L210" s="468">
        <v>17557</v>
      </c>
    </row>
    <row r="211" spans="1:12" s="466" customFormat="1" ht="15" x14ac:dyDescent="0.25">
      <c r="A211" s="467">
        <v>1001836811</v>
      </c>
      <c r="B211" s="468" t="s">
        <v>980</v>
      </c>
      <c r="C211" s="468" t="s">
        <v>462</v>
      </c>
      <c r="D211" s="468">
        <v>580021897</v>
      </c>
      <c r="E211" s="468">
        <v>40000074</v>
      </c>
      <c r="F211" s="468" t="s">
        <v>557</v>
      </c>
      <c r="G211" s="468">
        <v>2025</v>
      </c>
      <c r="H211" s="469">
        <v>200000</v>
      </c>
      <c r="I211" s="469">
        <v>0</v>
      </c>
      <c r="J211" s="468" t="s">
        <v>465</v>
      </c>
      <c r="K211" s="468" t="s">
        <v>466</v>
      </c>
      <c r="L211" s="468">
        <v>17559</v>
      </c>
    </row>
    <row r="212" spans="1:12" s="466" customFormat="1" ht="15" x14ac:dyDescent="0.25">
      <c r="A212" s="467">
        <v>1001836813</v>
      </c>
      <c r="B212" s="468" t="s">
        <v>981</v>
      </c>
      <c r="C212" s="468" t="s">
        <v>952</v>
      </c>
      <c r="D212" s="468">
        <v>580064103</v>
      </c>
      <c r="E212" s="468">
        <v>40000415</v>
      </c>
      <c r="F212" s="468" t="s">
        <v>400</v>
      </c>
      <c r="G212" s="468">
        <v>2025</v>
      </c>
      <c r="H212" s="469">
        <v>150000</v>
      </c>
      <c r="I212" s="469">
        <v>0</v>
      </c>
      <c r="J212" s="468" t="s">
        <v>465</v>
      </c>
      <c r="K212" s="468" t="s">
        <v>466</v>
      </c>
      <c r="L212" s="468">
        <v>17560</v>
      </c>
    </row>
    <row r="213" spans="1:12" s="466" customFormat="1" ht="15" x14ac:dyDescent="0.25">
      <c r="A213" s="467">
        <v>1001837047</v>
      </c>
      <c r="B213" s="468" t="s">
        <v>982</v>
      </c>
      <c r="C213" s="468" t="s">
        <v>459</v>
      </c>
      <c r="D213" s="468">
        <v>580210870</v>
      </c>
      <c r="E213" s="468">
        <v>40000558</v>
      </c>
      <c r="F213" s="468" t="s">
        <v>558</v>
      </c>
      <c r="G213" s="468">
        <v>2025</v>
      </c>
      <c r="H213" s="469">
        <v>300000</v>
      </c>
      <c r="I213" s="469">
        <v>0</v>
      </c>
      <c r="J213" s="468" t="s">
        <v>465</v>
      </c>
      <c r="K213" s="468" t="s">
        <v>466</v>
      </c>
      <c r="L213" s="468">
        <v>17557</v>
      </c>
    </row>
    <row r="214" spans="1:12" s="466" customFormat="1" ht="15" x14ac:dyDescent="0.25">
      <c r="A214" s="467">
        <v>1001837623</v>
      </c>
      <c r="B214" s="468" t="s">
        <v>983</v>
      </c>
      <c r="C214" s="468" t="s">
        <v>459</v>
      </c>
      <c r="D214" s="468">
        <v>580064103</v>
      </c>
      <c r="E214" s="468">
        <v>40000415</v>
      </c>
      <c r="F214" s="468" t="s">
        <v>400</v>
      </c>
      <c r="G214" s="468">
        <v>2025</v>
      </c>
      <c r="H214" s="469">
        <v>10000</v>
      </c>
      <c r="I214" s="469">
        <v>0</v>
      </c>
      <c r="J214" s="468" t="s">
        <v>465</v>
      </c>
      <c r="K214" s="468" t="s">
        <v>466</v>
      </c>
      <c r="L214" s="468">
        <v>17560</v>
      </c>
    </row>
    <row r="215" spans="1:12" s="466" customFormat="1" ht="15" x14ac:dyDescent="0.25">
      <c r="A215" s="467">
        <v>1001838551</v>
      </c>
      <c r="B215" s="468" t="s">
        <v>669</v>
      </c>
      <c r="C215" s="468" t="s">
        <v>459</v>
      </c>
      <c r="D215" s="468">
        <v>580023968</v>
      </c>
      <c r="E215" s="468">
        <v>40000076</v>
      </c>
      <c r="F215" s="468" t="s">
        <v>395</v>
      </c>
      <c r="G215" s="468">
        <v>2025</v>
      </c>
      <c r="H215" s="469">
        <v>300000</v>
      </c>
      <c r="I215" s="469">
        <v>0</v>
      </c>
      <c r="J215" s="468" t="s">
        <v>465</v>
      </c>
      <c r="K215" s="468" t="s">
        <v>466</v>
      </c>
      <c r="L215" s="468">
        <v>17557</v>
      </c>
    </row>
    <row r="216" spans="1:12" s="466" customFormat="1" ht="15" x14ac:dyDescent="0.25">
      <c r="A216" s="467">
        <v>1001838823</v>
      </c>
      <c r="B216" s="468" t="s">
        <v>655</v>
      </c>
      <c r="C216" s="468" t="s">
        <v>459</v>
      </c>
      <c r="D216" s="468">
        <v>580025807</v>
      </c>
      <c r="E216" s="468">
        <v>40000079</v>
      </c>
      <c r="F216" s="468" t="s">
        <v>546</v>
      </c>
      <c r="G216" s="468">
        <v>2025</v>
      </c>
      <c r="H216" s="469">
        <v>900000</v>
      </c>
      <c r="I216" s="469">
        <v>0</v>
      </c>
      <c r="J216" s="468" t="s">
        <v>465</v>
      </c>
      <c r="K216" s="468" t="s">
        <v>466</v>
      </c>
      <c r="L216" s="468">
        <v>17560</v>
      </c>
    </row>
    <row r="217" spans="1:12" s="466" customFormat="1" ht="15" x14ac:dyDescent="0.25">
      <c r="A217" s="467">
        <v>1001838828</v>
      </c>
      <c r="B217" s="468" t="s">
        <v>984</v>
      </c>
      <c r="C217" s="468" t="s">
        <v>952</v>
      </c>
      <c r="D217" s="468">
        <v>580025807</v>
      </c>
      <c r="E217" s="468">
        <v>40000079</v>
      </c>
      <c r="F217" s="468" t="s">
        <v>546</v>
      </c>
      <c r="G217" s="468">
        <v>2025</v>
      </c>
      <c r="H217" s="469">
        <v>200000</v>
      </c>
      <c r="I217" s="469">
        <v>0</v>
      </c>
      <c r="J217" s="468" t="s">
        <v>465</v>
      </c>
      <c r="K217" s="468" t="s">
        <v>466</v>
      </c>
      <c r="L217" s="468">
        <v>17560</v>
      </c>
    </row>
    <row r="218" spans="1:12" s="466" customFormat="1" ht="15" x14ac:dyDescent="0.25">
      <c r="A218" s="467">
        <v>1001838917</v>
      </c>
      <c r="B218" s="468" t="s">
        <v>985</v>
      </c>
      <c r="C218" s="468" t="s">
        <v>462</v>
      </c>
      <c r="D218" s="468">
        <v>580060556</v>
      </c>
      <c r="E218" s="468">
        <v>40395556</v>
      </c>
      <c r="F218" s="468" t="s">
        <v>541</v>
      </c>
      <c r="G218" s="468">
        <v>2025</v>
      </c>
      <c r="H218" s="469">
        <v>150000</v>
      </c>
      <c r="I218" s="469">
        <v>0</v>
      </c>
      <c r="J218" s="468" t="s">
        <v>465</v>
      </c>
      <c r="K218" s="468" t="s">
        <v>466</v>
      </c>
      <c r="L218" s="468">
        <v>17559</v>
      </c>
    </row>
    <row r="219" spans="1:12" s="466" customFormat="1" ht="15" x14ac:dyDescent="0.25">
      <c r="A219" s="467">
        <v>1001838932</v>
      </c>
      <c r="B219" s="468" t="s">
        <v>986</v>
      </c>
      <c r="C219" s="468" t="s">
        <v>459</v>
      </c>
      <c r="D219" s="468">
        <v>580540672</v>
      </c>
      <c r="E219" s="468">
        <v>40526318</v>
      </c>
      <c r="F219" s="468" t="s">
        <v>545</v>
      </c>
      <c r="G219" s="468">
        <v>2025</v>
      </c>
      <c r="H219" s="469">
        <v>500000</v>
      </c>
      <c r="I219" s="469">
        <v>0</v>
      </c>
      <c r="J219" s="468" t="s">
        <v>465</v>
      </c>
      <c r="K219" s="468" t="s">
        <v>466</v>
      </c>
      <c r="L219" s="468">
        <v>17557</v>
      </c>
    </row>
    <row r="220" spans="1:12" s="466" customFormat="1" ht="15" x14ac:dyDescent="0.25">
      <c r="A220" s="467">
        <v>1001839835</v>
      </c>
      <c r="B220" s="468" t="s">
        <v>452</v>
      </c>
      <c r="C220" s="468" t="s">
        <v>459</v>
      </c>
      <c r="D220" s="468">
        <v>580480788</v>
      </c>
      <c r="E220" s="468">
        <v>40525310</v>
      </c>
      <c r="F220" s="468" t="s">
        <v>510</v>
      </c>
      <c r="G220" s="468">
        <v>2025</v>
      </c>
      <c r="H220" s="469">
        <v>230000</v>
      </c>
      <c r="I220" s="469">
        <v>0</v>
      </c>
      <c r="J220" s="468" t="s">
        <v>465</v>
      </c>
      <c r="K220" s="468" t="s">
        <v>466</v>
      </c>
      <c r="L220" s="468">
        <v>17557</v>
      </c>
    </row>
    <row r="221" spans="1:12" s="466" customFormat="1" ht="15" x14ac:dyDescent="0.25">
      <c r="A221" s="467">
        <v>1001839876</v>
      </c>
      <c r="B221" s="468" t="s">
        <v>987</v>
      </c>
      <c r="C221" s="468" t="s">
        <v>459</v>
      </c>
      <c r="D221" s="468">
        <v>500250006</v>
      </c>
      <c r="E221" s="468">
        <v>20000201</v>
      </c>
      <c r="F221" s="468" t="s">
        <v>457</v>
      </c>
      <c r="G221" s="468">
        <v>2025</v>
      </c>
      <c r="H221" s="469">
        <v>110000</v>
      </c>
      <c r="I221" s="469">
        <v>0</v>
      </c>
      <c r="J221" s="468" t="s">
        <v>465</v>
      </c>
      <c r="K221" s="468" t="s">
        <v>466</v>
      </c>
      <c r="L221" s="468">
        <v>17570</v>
      </c>
    </row>
    <row r="222" spans="1:12" s="466" customFormat="1" ht="15" x14ac:dyDescent="0.25">
      <c r="A222" s="467">
        <v>1001841839</v>
      </c>
      <c r="B222" s="468" t="s">
        <v>988</v>
      </c>
      <c r="C222" s="468" t="s">
        <v>459</v>
      </c>
      <c r="D222" s="468">
        <v>511757114</v>
      </c>
      <c r="E222" s="468">
        <v>40000291</v>
      </c>
      <c r="F222" s="468" t="s">
        <v>456</v>
      </c>
      <c r="G222" s="468">
        <v>2025</v>
      </c>
      <c r="H222" s="469">
        <v>170700</v>
      </c>
      <c r="I222" s="469">
        <v>0</v>
      </c>
      <c r="J222" s="468" t="s">
        <v>465</v>
      </c>
      <c r="K222" s="468" t="s">
        <v>466</v>
      </c>
      <c r="L222" s="468">
        <v>17560</v>
      </c>
    </row>
    <row r="223" spans="1:12" s="466" customFormat="1" ht="15" x14ac:dyDescent="0.25">
      <c r="A223" s="467">
        <v>1001841999</v>
      </c>
      <c r="B223" s="468" t="s">
        <v>508</v>
      </c>
      <c r="C223" s="468" t="s">
        <v>459</v>
      </c>
      <c r="D223" s="468">
        <v>580327740</v>
      </c>
      <c r="E223" s="468">
        <v>40221541</v>
      </c>
      <c r="F223" s="468" t="s">
        <v>454</v>
      </c>
      <c r="G223" s="468">
        <v>2025</v>
      </c>
      <c r="H223" s="469">
        <v>50000</v>
      </c>
      <c r="I223" s="469">
        <v>0</v>
      </c>
      <c r="J223" s="468" t="s">
        <v>465</v>
      </c>
      <c r="K223" s="468" t="s">
        <v>466</v>
      </c>
      <c r="L223" s="468">
        <v>17559</v>
      </c>
    </row>
    <row r="224" spans="1:12" s="466" customFormat="1" ht="15" x14ac:dyDescent="0.25">
      <c r="A224" s="467">
        <v>1001842222</v>
      </c>
      <c r="B224" s="468" t="s">
        <v>509</v>
      </c>
      <c r="C224" s="468" t="s">
        <v>459</v>
      </c>
      <c r="D224" s="468">
        <v>580327740</v>
      </c>
      <c r="E224" s="468">
        <v>40221541</v>
      </c>
      <c r="F224" s="468" t="s">
        <v>454</v>
      </c>
      <c r="G224" s="468">
        <v>2025</v>
      </c>
      <c r="H224" s="469">
        <v>88000</v>
      </c>
      <c r="I224" s="469">
        <v>0</v>
      </c>
      <c r="J224" s="468" t="s">
        <v>465</v>
      </c>
      <c r="K224" s="468" t="s">
        <v>466</v>
      </c>
      <c r="L224" s="468">
        <v>17559</v>
      </c>
    </row>
    <row r="225" spans="1:12" s="466" customFormat="1" ht="15" x14ac:dyDescent="0.25">
      <c r="A225" s="467">
        <v>1001842231</v>
      </c>
      <c r="B225" s="468" t="s">
        <v>625</v>
      </c>
      <c r="C225" s="468" t="s">
        <v>459</v>
      </c>
      <c r="D225" s="468">
        <v>580016145</v>
      </c>
      <c r="E225" s="468">
        <v>40000343</v>
      </c>
      <c r="F225" s="468" t="s">
        <v>542</v>
      </c>
      <c r="G225" s="468">
        <v>2025</v>
      </c>
      <c r="H225" s="469">
        <v>1750000</v>
      </c>
      <c r="I225" s="469">
        <v>0</v>
      </c>
      <c r="J225" s="468" t="s">
        <v>465</v>
      </c>
      <c r="K225" s="468" t="s">
        <v>466</v>
      </c>
      <c r="L225" s="468">
        <v>17560</v>
      </c>
    </row>
    <row r="226" spans="1:12" s="466" customFormat="1" ht="15" x14ac:dyDescent="0.25">
      <c r="A226" s="467">
        <v>1001842770</v>
      </c>
      <c r="B226" s="468" t="s">
        <v>989</v>
      </c>
      <c r="C226" s="468" t="s">
        <v>459</v>
      </c>
      <c r="D226" s="468">
        <v>580515815</v>
      </c>
      <c r="E226" s="468">
        <v>40984631</v>
      </c>
      <c r="F226" s="468" t="s">
        <v>511</v>
      </c>
      <c r="G226" s="468">
        <v>2025</v>
      </c>
      <c r="H226" s="469">
        <v>550000</v>
      </c>
      <c r="I226" s="469">
        <v>0</v>
      </c>
      <c r="J226" s="468" t="s">
        <v>465</v>
      </c>
      <c r="K226" s="468" t="s">
        <v>466</v>
      </c>
      <c r="L226" s="468">
        <v>17557</v>
      </c>
    </row>
    <row r="227" spans="1:12" s="466" customFormat="1" ht="15" x14ac:dyDescent="0.25">
      <c r="A227" s="467">
        <v>1001843520</v>
      </c>
      <c r="B227" s="468" t="s">
        <v>990</v>
      </c>
      <c r="C227" s="468" t="s">
        <v>462</v>
      </c>
      <c r="D227" s="468">
        <v>580051068</v>
      </c>
      <c r="E227" s="468">
        <v>40000400</v>
      </c>
      <c r="F227" s="468" t="s">
        <v>991</v>
      </c>
      <c r="G227" s="468">
        <v>2025</v>
      </c>
      <c r="H227" s="469">
        <v>80000</v>
      </c>
      <c r="I227" s="469">
        <v>0</v>
      </c>
      <c r="J227" s="468" t="s">
        <v>465</v>
      </c>
      <c r="K227" s="468" t="s">
        <v>466</v>
      </c>
      <c r="L227" s="468">
        <v>17559</v>
      </c>
    </row>
    <row r="228" spans="1:12" s="466" customFormat="1" ht="15" x14ac:dyDescent="0.25">
      <c r="A228" s="467">
        <v>1001843761</v>
      </c>
      <c r="B228" s="468" t="s">
        <v>992</v>
      </c>
      <c r="C228" s="468" t="s">
        <v>459</v>
      </c>
      <c r="D228" s="468">
        <v>510506504</v>
      </c>
      <c r="E228" s="468">
        <v>40000010</v>
      </c>
      <c r="F228" s="468" t="s">
        <v>567</v>
      </c>
      <c r="G228" s="468">
        <v>2025</v>
      </c>
      <c r="H228" s="469">
        <v>300000</v>
      </c>
      <c r="I228" s="469">
        <v>0</v>
      </c>
      <c r="J228" s="468" t="s">
        <v>465</v>
      </c>
      <c r="K228" s="468" t="s">
        <v>466</v>
      </c>
      <c r="L228" s="468">
        <v>17559</v>
      </c>
    </row>
    <row r="229" spans="1:12" s="466" customFormat="1" ht="15" x14ac:dyDescent="0.25">
      <c r="A229" s="467">
        <v>1001843763</v>
      </c>
      <c r="B229" s="468" t="s">
        <v>993</v>
      </c>
      <c r="C229" s="468" t="s">
        <v>459</v>
      </c>
      <c r="D229" s="468">
        <v>580183606</v>
      </c>
      <c r="E229" s="468">
        <v>40000167</v>
      </c>
      <c r="F229" s="468" t="s">
        <v>556</v>
      </c>
      <c r="G229" s="468">
        <v>2025</v>
      </c>
      <c r="H229" s="469">
        <v>500000</v>
      </c>
      <c r="I229" s="469">
        <v>0</v>
      </c>
      <c r="J229" s="468" t="s">
        <v>465</v>
      </c>
      <c r="K229" s="468" t="s">
        <v>466</v>
      </c>
      <c r="L229" s="468">
        <v>17557</v>
      </c>
    </row>
    <row r="230" spans="1:12" s="466" customFormat="1" ht="15" x14ac:dyDescent="0.25">
      <c r="A230" s="467">
        <v>1001843793</v>
      </c>
      <c r="B230" s="468" t="s">
        <v>994</v>
      </c>
      <c r="C230" s="468" t="s">
        <v>459</v>
      </c>
      <c r="D230" s="468">
        <v>510145022</v>
      </c>
      <c r="E230" s="468">
        <v>40000252</v>
      </c>
      <c r="F230" s="468" t="s">
        <v>473</v>
      </c>
      <c r="G230" s="468">
        <v>2025</v>
      </c>
      <c r="H230" s="469">
        <v>80000</v>
      </c>
      <c r="I230" s="469">
        <v>0</v>
      </c>
      <c r="J230" s="468" t="s">
        <v>465</v>
      </c>
      <c r="K230" s="468" t="s">
        <v>466</v>
      </c>
      <c r="L230" s="468">
        <v>17559</v>
      </c>
    </row>
    <row r="231" spans="1:12" s="466" customFormat="1" ht="15" x14ac:dyDescent="0.25">
      <c r="A231" s="467">
        <v>1001843804</v>
      </c>
      <c r="B231" s="468" t="s">
        <v>554</v>
      </c>
      <c r="C231" s="468" t="s">
        <v>459</v>
      </c>
      <c r="D231" s="468">
        <v>580238699</v>
      </c>
      <c r="E231" s="468">
        <v>40000594</v>
      </c>
      <c r="F231" s="468" t="s">
        <v>555</v>
      </c>
      <c r="G231" s="468">
        <v>2025</v>
      </c>
      <c r="H231" s="469">
        <v>380000</v>
      </c>
      <c r="I231" s="469">
        <v>0</v>
      </c>
      <c r="J231" s="468" t="s">
        <v>465</v>
      </c>
      <c r="K231" s="468" t="s">
        <v>466</v>
      </c>
      <c r="L231" s="468">
        <v>17559</v>
      </c>
    </row>
    <row r="232" spans="1:12" s="466" customFormat="1" ht="15" x14ac:dyDescent="0.25">
      <c r="A232" s="467">
        <v>1001843808</v>
      </c>
      <c r="B232" s="468" t="s">
        <v>566</v>
      </c>
      <c r="C232" s="468" t="s">
        <v>459</v>
      </c>
      <c r="D232" s="468">
        <v>580238699</v>
      </c>
      <c r="E232" s="468">
        <v>40000594</v>
      </c>
      <c r="F232" s="468" t="s">
        <v>555</v>
      </c>
      <c r="G232" s="468">
        <v>2025</v>
      </c>
      <c r="H232" s="469">
        <v>250000</v>
      </c>
      <c r="I232" s="469">
        <v>0</v>
      </c>
      <c r="J232" s="468" t="s">
        <v>465</v>
      </c>
      <c r="K232" s="468" t="s">
        <v>466</v>
      </c>
      <c r="L232" s="468">
        <v>17559</v>
      </c>
    </row>
    <row r="233" spans="1:12" s="466" customFormat="1" ht="15" x14ac:dyDescent="0.25">
      <c r="A233" s="467">
        <v>1001843809</v>
      </c>
      <c r="B233" s="468" t="s">
        <v>995</v>
      </c>
      <c r="C233" s="468" t="s">
        <v>459</v>
      </c>
      <c r="D233" s="468">
        <v>514810860</v>
      </c>
      <c r="E233" s="468">
        <v>40821681</v>
      </c>
      <c r="F233" s="468" t="s">
        <v>458</v>
      </c>
      <c r="G233" s="468">
        <v>2025</v>
      </c>
      <c r="H233" s="469">
        <v>80000</v>
      </c>
      <c r="I233" s="469">
        <v>0</v>
      </c>
      <c r="J233" s="468" t="s">
        <v>465</v>
      </c>
      <c r="K233" s="468" t="s">
        <v>466</v>
      </c>
      <c r="L233" s="468">
        <v>17560</v>
      </c>
    </row>
    <row r="234" spans="1:12" s="466" customFormat="1" ht="15" x14ac:dyDescent="0.25">
      <c r="A234" s="467">
        <v>1001843810</v>
      </c>
      <c r="B234" s="468" t="s">
        <v>996</v>
      </c>
      <c r="C234" s="468" t="s">
        <v>459</v>
      </c>
      <c r="D234" s="468">
        <v>580450898</v>
      </c>
      <c r="E234" s="468">
        <v>41099000</v>
      </c>
      <c r="F234" s="468" t="s">
        <v>486</v>
      </c>
      <c r="G234" s="468">
        <v>2025</v>
      </c>
      <c r="H234" s="469">
        <v>400000</v>
      </c>
      <c r="I234" s="469">
        <v>0</v>
      </c>
      <c r="J234" s="468" t="s">
        <v>465</v>
      </c>
      <c r="K234" s="468" t="s">
        <v>466</v>
      </c>
      <c r="L234" s="468">
        <v>17559</v>
      </c>
    </row>
    <row r="235" spans="1:12" s="466" customFormat="1" ht="15" x14ac:dyDescent="0.25">
      <c r="A235" s="467">
        <v>1001843819</v>
      </c>
      <c r="B235" s="468" t="s">
        <v>997</v>
      </c>
      <c r="C235" s="468" t="s">
        <v>462</v>
      </c>
      <c r="D235" s="470">
        <v>580327740</v>
      </c>
      <c r="E235" s="470">
        <v>40221541</v>
      </c>
      <c r="F235" s="470" t="s">
        <v>454</v>
      </c>
      <c r="G235" s="468">
        <v>2025</v>
      </c>
      <c r="H235" s="469">
        <v>45000</v>
      </c>
      <c r="I235" s="469">
        <v>0</v>
      </c>
      <c r="J235" s="468" t="s">
        <v>465</v>
      </c>
      <c r="K235" s="468" t="s">
        <v>466</v>
      </c>
      <c r="L235" s="468">
        <v>17559</v>
      </c>
    </row>
    <row r="236" spans="1:12" s="466" customFormat="1" ht="15" x14ac:dyDescent="0.25">
      <c r="A236" s="467">
        <v>1001843942</v>
      </c>
      <c r="B236" s="468" t="s">
        <v>998</v>
      </c>
      <c r="C236" s="468" t="s">
        <v>462</v>
      </c>
      <c r="D236" s="470">
        <v>515538684</v>
      </c>
      <c r="E236" s="470">
        <v>41598536</v>
      </c>
      <c r="F236" s="470" t="s">
        <v>460</v>
      </c>
      <c r="G236" s="468">
        <v>2025</v>
      </c>
      <c r="H236" s="469">
        <v>90000</v>
      </c>
      <c r="I236" s="469">
        <v>0</v>
      </c>
      <c r="J236" s="468" t="s">
        <v>465</v>
      </c>
      <c r="K236" s="468" t="s">
        <v>466</v>
      </c>
      <c r="L236" s="468">
        <v>17643</v>
      </c>
    </row>
    <row r="237" spans="1:12" s="466" customFormat="1" ht="15" x14ac:dyDescent="0.25">
      <c r="A237" s="467">
        <v>1001843984</v>
      </c>
      <c r="B237" s="468" t="s">
        <v>637</v>
      </c>
      <c r="C237" s="468" t="s">
        <v>952</v>
      </c>
      <c r="D237" s="470">
        <v>580029148</v>
      </c>
      <c r="E237" s="470">
        <v>40000362</v>
      </c>
      <c r="F237" s="470" t="s">
        <v>552</v>
      </c>
      <c r="G237" s="468">
        <v>2025</v>
      </c>
      <c r="H237" s="469">
        <v>150000</v>
      </c>
      <c r="I237" s="469">
        <v>0</v>
      </c>
      <c r="J237" s="468" t="s">
        <v>465</v>
      </c>
      <c r="K237" s="468" t="s">
        <v>466</v>
      </c>
      <c r="L237" s="468">
        <v>17643</v>
      </c>
    </row>
    <row r="238" spans="1:12" s="466" customFormat="1" ht="15" x14ac:dyDescent="0.25">
      <c r="A238" s="467">
        <v>1001844046</v>
      </c>
      <c r="B238" s="468" t="s">
        <v>512</v>
      </c>
      <c r="C238" s="468" t="s">
        <v>459</v>
      </c>
      <c r="D238" s="470">
        <v>580181741</v>
      </c>
      <c r="E238" s="470">
        <v>40000538</v>
      </c>
      <c r="F238" s="470" t="s">
        <v>493</v>
      </c>
      <c r="G238" s="468">
        <v>2025</v>
      </c>
      <c r="H238" s="469">
        <v>1500000</v>
      </c>
      <c r="I238" s="469">
        <v>0</v>
      </c>
      <c r="J238" s="468" t="s">
        <v>465</v>
      </c>
      <c r="K238" s="468" t="s">
        <v>466</v>
      </c>
      <c r="L238" s="468">
        <v>17557</v>
      </c>
    </row>
    <row r="239" spans="1:12" s="466" customFormat="1" ht="15" x14ac:dyDescent="0.25">
      <c r="A239" s="467">
        <v>1001844062</v>
      </c>
      <c r="B239" s="468" t="s">
        <v>537</v>
      </c>
      <c r="C239" s="468" t="s">
        <v>459</v>
      </c>
      <c r="D239" s="470">
        <v>580350841</v>
      </c>
      <c r="E239" s="470">
        <v>40001704</v>
      </c>
      <c r="F239" s="470" t="s">
        <v>538</v>
      </c>
      <c r="G239" s="468">
        <v>2025</v>
      </c>
      <c r="H239" s="469">
        <v>120000</v>
      </c>
      <c r="I239" s="469">
        <v>0</v>
      </c>
      <c r="J239" s="468" t="s">
        <v>465</v>
      </c>
      <c r="K239" s="468" t="s">
        <v>466</v>
      </c>
      <c r="L239" s="468">
        <v>17559</v>
      </c>
    </row>
    <row r="240" spans="1:12" s="466" customFormat="1" ht="15" x14ac:dyDescent="0.25">
      <c r="A240" s="467">
        <v>1001844105</v>
      </c>
      <c r="B240" s="468" t="s">
        <v>999</v>
      </c>
      <c r="C240" s="468" t="s">
        <v>462</v>
      </c>
      <c r="D240" s="470">
        <v>580337608</v>
      </c>
      <c r="E240" s="470">
        <v>42864062</v>
      </c>
      <c r="F240" s="470" t="s">
        <v>979</v>
      </c>
      <c r="G240" s="468">
        <v>2025</v>
      </c>
      <c r="H240" s="469">
        <v>150000</v>
      </c>
      <c r="I240" s="469">
        <v>0</v>
      </c>
      <c r="J240" s="468" t="s">
        <v>465</v>
      </c>
      <c r="K240" s="468" t="s">
        <v>466</v>
      </c>
      <c r="L240" s="468">
        <v>17560</v>
      </c>
    </row>
    <row r="241" spans="1:12" s="466" customFormat="1" ht="15" x14ac:dyDescent="0.25">
      <c r="A241" s="467">
        <v>1001844106</v>
      </c>
      <c r="B241" s="468" t="s">
        <v>1000</v>
      </c>
      <c r="C241" s="468" t="s">
        <v>462</v>
      </c>
      <c r="D241" s="470">
        <v>580337608</v>
      </c>
      <c r="E241" s="470">
        <v>42864062</v>
      </c>
      <c r="F241" s="470" t="s">
        <v>979</v>
      </c>
      <c r="G241" s="468">
        <v>2025</v>
      </c>
      <c r="H241" s="469">
        <v>150000</v>
      </c>
      <c r="I241" s="469">
        <v>0</v>
      </c>
      <c r="J241" s="468" t="s">
        <v>465</v>
      </c>
      <c r="K241" s="468" t="s">
        <v>466</v>
      </c>
      <c r="L241" s="468">
        <v>17560</v>
      </c>
    </row>
    <row r="242" spans="1:12" s="466" customFormat="1" ht="15" x14ac:dyDescent="0.25">
      <c r="A242" s="467">
        <v>1001844698</v>
      </c>
      <c r="B242" s="468" t="s">
        <v>1001</v>
      </c>
      <c r="C242" s="468" t="s">
        <v>459</v>
      </c>
      <c r="D242" s="470">
        <v>580263507</v>
      </c>
      <c r="E242" s="470">
        <v>40000632</v>
      </c>
      <c r="F242" s="470" t="s">
        <v>514</v>
      </c>
      <c r="G242" s="468">
        <v>2025</v>
      </c>
      <c r="H242" s="469">
        <v>1100000</v>
      </c>
      <c r="I242" s="469">
        <v>0</v>
      </c>
      <c r="J242" s="468" t="s">
        <v>465</v>
      </c>
      <c r="K242" s="468" t="s">
        <v>466</v>
      </c>
      <c r="L242" s="468">
        <v>17559</v>
      </c>
    </row>
    <row r="243" spans="1:12" s="466" customFormat="1" ht="15" x14ac:dyDescent="0.25">
      <c r="A243" s="467">
        <v>1001844717</v>
      </c>
      <c r="B243" s="468" t="s">
        <v>1002</v>
      </c>
      <c r="C243" s="468" t="s">
        <v>952</v>
      </c>
      <c r="D243" s="470">
        <v>580263507</v>
      </c>
      <c r="E243" s="470">
        <v>40000632</v>
      </c>
      <c r="F243" s="470" t="s">
        <v>514</v>
      </c>
      <c r="G243" s="468">
        <v>2025</v>
      </c>
      <c r="H243" s="469">
        <v>65000</v>
      </c>
      <c r="I243" s="469">
        <v>0</v>
      </c>
      <c r="J243" s="468" t="s">
        <v>465</v>
      </c>
      <c r="K243" s="468" t="s">
        <v>466</v>
      </c>
      <c r="L243" s="468">
        <v>17559</v>
      </c>
    </row>
    <row r="244" spans="1:12" s="466" customFormat="1" ht="15" x14ac:dyDescent="0.25">
      <c r="A244" s="467">
        <v>1001844725</v>
      </c>
      <c r="B244" s="468" t="s">
        <v>972</v>
      </c>
      <c r="C244" s="468" t="s">
        <v>459</v>
      </c>
      <c r="D244" s="470">
        <v>580099638</v>
      </c>
      <c r="E244" s="470">
        <v>40000133</v>
      </c>
      <c r="F244" s="470" t="s">
        <v>501</v>
      </c>
      <c r="G244" s="468">
        <v>2025</v>
      </c>
      <c r="H244" s="469">
        <v>24000000</v>
      </c>
      <c r="I244" s="469">
        <v>0</v>
      </c>
      <c r="J244" s="468" t="s">
        <v>465</v>
      </c>
      <c r="K244" s="468" t="s">
        <v>466</v>
      </c>
      <c r="L244" s="468">
        <v>17558</v>
      </c>
    </row>
    <row r="245" spans="1:12" s="466" customFormat="1" ht="15" x14ac:dyDescent="0.25">
      <c r="A245" s="467">
        <v>1001854390</v>
      </c>
      <c r="B245" s="468" t="s">
        <v>1003</v>
      </c>
      <c r="C245" s="468" t="s">
        <v>462</v>
      </c>
      <c r="D245" s="470">
        <v>580051068</v>
      </c>
      <c r="E245" s="470">
        <v>40000400</v>
      </c>
      <c r="F245" s="470" t="s">
        <v>991</v>
      </c>
      <c r="G245" s="468">
        <v>2025</v>
      </c>
      <c r="H245" s="469">
        <v>20000</v>
      </c>
      <c r="I245" s="469">
        <v>0</v>
      </c>
      <c r="J245" s="468" t="s">
        <v>465</v>
      </c>
      <c r="K245" s="468" t="s">
        <v>466</v>
      </c>
      <c r="L245" s="468">
        <v>17559</v>
      </c>
    </row>
    <row r="246" spans="1:12" s="466" customFormat="1" ht="15" x14ac:dyDescent="0.25">
      <c r="A246" s="467">
        <v>1001854391</v>
      </c>
      <c r="B246" s="468" t="s">
        <v>1004</v>
      </c>
      <c r="C246" s="468" t="s">
        <v>462</v>
      </c>
      <c r="D246" s="470">
        <v>580051068</v>
      </c>
      <c r="E246" s="470">
        <v>40000400</v>
      </c>
      <c r="F246" s="470" t="s">
        <v>991</v>
      </c>
      <c r="G246" s="468">
        <v>2025</v>
      </c>
      <c r="H246" s="469">
        <v>99000</v>
      </c>
      <c r="I246" s="469">
        <v>0</v>
      </c>
      <c r="J246" s="468" t="s">
        <v>465</v>
      </c>
      <c r="K246" s="468" t="s">
        <v>466</v>
      </c>
      <c r="L246" s="468">
        <v>17559</v>
      </c>
    </row>
    <row r="247" spans="1:12" s="466" customFormat="1" ht="15" x14ac:dyDescent="0.25">
      <c r="A247" s="467">
        <v>1001872136</v>
      </c>
      <c r="B247" s="468" t="s">
        <v>524</v>
      </c>
      <c r="C247" s="468" t="s">
        <v>459</v>
      </c>
      <c r="D247" s="470">
        <v>580086270</v>
      </c>
      <c r="E247" s="470">
        <v>40299484</v>
      </c>
      <c r="F247" s="470" t="s">
        <v>525</v>
      </c>
      <c r="G247" s="468">
        <v>2025</v>
      </c>
      <c r="H247" s="469">
        <v>9000000</v>
      </c>
      <c r="I247" s="469">
        <v>0</v>
      </c>
      <c r="J247" s="468" t="s">
        <v>465</v>
      </c>
      <c r="K247" s="468" t="s">
        <v>466</v>
      </c>
      <c r="L247" s="468">
        <v>18037</v>
      </c>
    </row>
    <row r="248" spans="1:12" s="466" customFormat="1" ht="15" x14ac:dyDescent="0.25">
      <c r="A248" s="467">
        <v>1001872139</v>
      </c>
      <c r="B248" s="468" t="s">
        <v>1005</v>
      </c>
      <c r="C248" s="468" t="s">
        <v>459</v>
      </c>
      <c r="D248" s="470">
        <v>580450898</v>
      </c>
      <c r="E248" s="470">
        <v>41099000</v>
      </c>
      <c r="F248" s="470" t="s">
        <v>486</v>
      </c>
      <c r="G248" s="468">
        <v>2025</v>
      </c>
      <c r="H248" s="469">
        <v>1500000</v>
      </c>
      <c r="I248" s="469">
        <v>0</v>
      </c>
      <c r="J248" s="468" t="s">
        <v>465</v>
      </c>
      <c r="K248" s="468" t="s">
        <v>466</v>
      </c>
      <c r="L248" s="468">
        <v>18037</v>
      </c>
    </row>
    <row r="249" spans="1:12" s="466" customFormat="1" ht="15" x14ac:dyDescent="0.25">
      <c r="A249" s="467">
        <v>1001872143</v>
      </c>
      <c r="B249" s="468" t="s">
        <v>1006</v>
      </c>
      <c r="C249" s="468" t="s">
        <v>459</v>
      </c>
      <c r="D249" s="470">
        <v>580044873</v>
      </c>
      <c r="E249" s="470">
        <v>40000106</v>
      </c>
      <c r="F249" s="470" t="s">
        <v>540</v>
      </c>
      <c r="G249" s="468">
        <v>2025</v>
      </c>
      <c r="H249" s="469">
        <v>4000000</v>
      </c>
      <c r="I249" s="469">
        <v>0</v>
      </c>
      <c r="J249" s="468" t="s">
        <v>465</v>
      </c>
      <c r="K249" s="468" t="s">
        <v>466</v>
      </c>
      <c r="L249" s="468">
        <v>18037</v>
      </c>
    </row>
    <row r="250" spans="1:12" s="466" customFormat="1" ht="15" x14ac:dyDescent="0.25">
      <c r="A250" s="467">
        <v>1001872147</v>
      </c>
      <c r="B250" s="468" t="s">
        <v>1007</v>
      </c>
      <c r="C250" s="468" t="s">
        <v>459</v>
      </c>
      <c r="D250" s="470">
        <v>580037760</v>
      </c>
      <c r="E250" s="470">
        <v>40000096</v>
      </c>
      <c r="F250" s="470" t="s">
        <v>494</v>
      </c>
      <c r="G250" s="468">
        <v>2025</v>
      </c>
      <c r="H250" s="469">
        <v>6000000</v>
      </c>
      <c r="I250" s="469">
        <v>0</v>
      </c>
      <c r="J250" s="468" t="s">
        <v>465</v>
      </c>
      <c r="K250" s="468" t="s">
        <v>466</v>
      </c>
      <c r="L250" s="468">
        <v>18037</v>
      </c>
    </row>
    <row r="251" spans="1:12" s="466" customFormat="1" ht="15" x14ac:dyDescent="0.25">
      <c r="A251" s="467">
        <v>1001872230</v>
      </c>
      <c r="B251" s="468" t="s">
        <v>1008</v>
      </c>
      <c r="C251" s="468" t="s">
        <v>459</v>
      </c>
      <c r="D251" s="470">
        <v>580208486</v>
      </c>
      <c r="E251" s="470">
        <v>40000179</v>
      </c>
      <c r="F251" s="470" t="s">
        <v>464</v>
      </c>
      <c r="G251" s="468">
        <v>2025</v>
      </c>
      <c r="H251" s="469">
        <v>1100000</v>
      </c>
      <c r="I251" s="469">
        <v>0</v>
      </c>
      <c r="J251" s="468" t="s">
        <v>465</v>
      </c>
      <c r="K251" s="468" t="s">
        <v>466</v>
      </c>
      <c r="L251" s="468">
        <v>18037</v>
      </c>
    </row>
    <row r="252" spans="1:12" s="466" customFormat="1" ht="15" x14ac:dyDescent="0.25">
      <c r="A252" s="467">
        <v>1001872306</v>
      </c>
      <c r="B252" s="468" t="s">
        <v>468</v>
      </c>
      <c r="C252" s="468" t="s">
        <v>459</v>
      </c>
      <c r="D252" s="470">
        <v>580014231</v>
      </c>
      <c r="E252" s="470">
        <v>40471611</v>
      </c>
      <c r="F252" s="470" t="s">
        <v>469</v>
      </c>
      <c r="G252" s="468">
        <v>2025</v>
      </c>
      <c r="H252" s="469">
        <v>1936000</v>
      </c>
      <c r="I252" s="469">
        <v>0</v>
      </c>
      <c r="J252" s="468" t="s">
        <v>465</v>
      </c>
      <c r="K252" s="468" t="s">
        <v>466</v>
      </c>
      <c r="L252" s="468">
        <v>18037</v>
      </c>
    </row>
    <row r="253" spans="1:12" s="466" customFormat="1" ht="15" x14ac:dyDescent="0.25">
      <c r="A253" s="467">
        <v>1001873048</v>
      </c>
      <c r="B253" s="468" t="s">
        <v>1009</v>
      </c>
      <c r="C253" s="468" t="s">
        <v>459</v>
      </c>
      <c r="D253" s="470">
        <v>580122034</v>
      </c>
      <c r="E253" s="470">
        <v>40000484</v>
      </c>
      <c r="F253" s="470" t="s">
        <v>535</v>
      </c>
      <c r="G253" s="468">
        <v>2025</v>
      </c>
      <c r="H253" s="469">
        <v>10000000</v>
      </c>
      <c r="I253" s="469">
        <v>0</v>
      </c>
      <c r="J253" s="468" t="s">
        <v>465</v>
      </c>
      <c r="K253" s="468" t="s">
        <v>466</v>
      </c>
      <c r="L253" s="468">
        <v>18037</v>
      </c>
    </row>
    <row r="254" spans="1:12" s="466" customFormat="1" ht="15" x14ac:dyDescent="0.25">
      <c r="A254" s="467">
        <v>1001873598</v>
      </c>
      <c r="B254" s="468" t="s">
        <v>1010</v>
      </c>
      <c r="C254" s="468" t="s">
        <v>459</v>
      </c>
      <c r="D254" s="470">
        <v>580474906</v>
      </c>
      <c r="E254" s="470">
        <v>40374797</v>
      </c>
      <c r="F254" s="470" t="s">
        <v>476</v>
      </c>
      <c r="G254" s="468">
        <v>2025</v>
      </c>
      <c r="H254" s="469">
        <v>1400000</v>
      </c>
      <c r="I254" s="469">
        <v>0</v>
      </c>
      <c r="J254" s="468" t="s">
        <v>465</v>
      </c>
      <c r="K254" s="468" t="s">
        <v>466</v>
      </c>
      <c r="L254" s="468">
        <v>18037</v>
      </c>
    </row>
    <row r="255" spans="1:12" s="466" customFormat="1" ht="15" x14ac:dyDescent="0.25">
      <c r="A255" s="467">
        <v>1001874371</v>
      </c>
      <c r="B255" s="468" t="s">
        <v>472</v>
      </c>
      <c r="C255" s="468" t="s">
        <v>459</v>
      </c>
      <c r="D255" s="470">
        <v>510145022</v>
      </c>
      <c r="E255" s="470">
        <v>40000252</v>
      </c>
      <c r="F255" s="470" t="s">
        <v>473</v>
      </c>
      <c r="G255" s="468">
        <v>2025</v>
      </c>
      <c r="H255" s="469">
        <v>3600000</v>
      </c>
      <c r="I255" s="469">
        <v>0</v>
      </c>
      <c r="J255" s="468" t="s">
        <v>465</v>
      </c>
      <c r="K255" s="468" t="s">
        <v>466</v>
      </c>
      <c r="L255" s="468">
        <v>18037</v>
      </c>
    </row>
    <row r="256" spans="1:12" s="466" customFormat="1" ht="15" x14ac:dyDescent="0.25">
      <c r="A256" s="467">
        <v>1001874372</v>
      </c>
      <c r="B256" s="468" t="s">
        <v>591</v>
      </c>
      <c r="C256" s="468" t="s">
        <v>459</v>
      </c>
      <c r="D256" s="470">
        <v>510145022</v>
      </c>
      <c r="E256" s="470">
        <v>40000252</v>
      </c>
      <c r="F256" s="470" t="s">
        <v>473</v>
      </c>
      <c r="G256" s="468">
        <v>2025</v>
      </c>
      <c r="H256" s="469">
        <v>420000</v>
      </c>
      <c r="I256" s="469">
        <v>0</v>
      </c>
      <c r="J256" s="468" t="s">
        <v>465</v>
      </c>
      <c r="K256" s="468" t="s">
        <v>466</v>
      </c>
      <c r="L256" s="468">
        <v>18037</v>
      </c>
    </row>
    <row r="257" spans="1:12" s="466" customFormat="1" ht="15" x14ac:dyDescent="0.25">
      <c r="A257" s="467">
        <v>1001874917</v>
      </c>
      <c r="B257" s="468" t="s">
        <v>965</v>
      </c>
      <c r="C257" s="468" t="s">
        <v>459</v>
      </c>
      <c r="D257" s="470">
        <v>512295353</v>
      </c>
      <c r="E257" s="470">
        <v>40000294</v>
      </c>
      <c r="F257" s="470" t="s">
        <v>482</v>
      </c>
      <c r="G257" s="468">
        <v>2025</v>
      </c>
      <c r="H257" s="469">
        <v>13500000</v>
      </c>
      <c r="I257" s="469">
        <v>0</v>
      </c>
      <c r="J257" s="468" t="s">
        <v>465</v>
      </c>
      <c r="K257" s="468" t="s">
        <v>466</v>
      </c>
      <c r="L257" s="468">
        <v>18037</v>
      </c>
    </row>
    <row r="258" spans="1:12" s="466" customFormat="1" ht="15" x14ac:dyDescent="0.25">
      <c r="A258" s="467">
        <v>1001874987</v>
      </c>
      <c r="B258" s="468" t="s">
        <v>1011</v>
      </c>
      <c r="C258" s="468" t="s">
        <v>459</v>
      </c>
      <c r="D258" s="470">
        <v>580175966</v>
      </c>
      <c r="E258" s="470">
        <v>40000533</v>
      </c>
      <c r="F258" s="470" t="s">
        <v>523</v>
      </c>
      <c r="G258" s="468">
        <v>2025</v>
      </c>
      <c r="H258" s="469">
        <v>1250000</v>
      </c>
      <c r="I258" s="469">
        <v>0</v>
      </c>
      <c r="J258" s="468" t="s">
        <v>465</v>
      </c>
      <c r="K258" s="468" t="s">
        <v>466</v>
      </c>
      <c r="L258" s="468">
        <v>18037</v>
      </c>
    </row>
    <row r="259" spans="1:12" s="466" customFormat="1" ht="15" x14ac:dyDescent="0.25">
      <c r="A259" s="467">
        <v>1001876126</v>
      </c>
      <c r="B259" s="468" t="s">
        <v>1012</v>
      </c>
      <c r="C259" s="468" t="s">
        <v>459</v>
      </c>
      <c r="D259" s="470">
        <v>580256683</v>
      </c>
      <c r="E259" s="470">
        <v>40000624</v>
      </c>
      <c r="F259" s="470" t="s">
        <v>500</v>
      </c>
      <c r="G259" s="468">
        <v>2025</v>
      </c>
      <c r="H259" s="469">
        <v>6000000</v>
      </c>
      <c r="I259" s="469">
        <v>0</v>
      </c>
      <c r="J259" s="468" t="s">
        <v>465</v>
      </c>
      <c r="K259" s="468" t="s">
        <v>466</v>
      </c>
      <c r="L259" s="468">
        <v>18037</v>
      </c>
    </row>
    <row r="260" spans="1:12" s="466" customFormat="1" ht="15" x14ac:dyDescent="0.25">
      <c r="A260" s="467">
        <v>1001876497</v>
      </c>
      <c r="B260" s="468" t="s">
        <v>1013</v>
      </c>
      <c r="C260" s="468" t="s">
        <v>459</v>
      </c>
      <c r="D260" s="470">
        <v>580658334</v>
      </c>
      <c r="E260" s="470">
        <v>41634844</v>
      </c>
      <c r="F260" s="470" t="s">
        <v>534</v>
      </c>
      <c r="G260" s="468">
        <v>2025</v>
      </c>
      <c r="H260" s="469">
        <v>700000</v>
      </c>
      <c r="I260" s="469">
        <v>0</v>
      </c>
      <c r="J260" s="468" t="s">
        <v>465</v>
      </c>
      <c r="K260" s="468" t="s">
        <v>466</v>
      </c>
      <c r="L260" s="468">
        <v>18037</v>
      </c>
    </row>
    <row r="261" spans="1:12" s="466" customFormat="1" ht="15" x14ac:dyDescent="0.25">
      <c r="A261" s="467">
        <v>1001876530</v>
      </c>
      <c r="B261" s="468" t="s">
        <v>1014</v>
      </c>
      <c r="C261" s="468" t="s">
        <v>459</v>
      </c>
      <c r="D261" s="470">
        <v>580637221</v>
      </c>
      <c r="E261" s="470">
        <v>41553249</v>
      </c>
      <c r="F261" s="470" t="s">
        <v>513</v>
      </c>
      <c r="G261" s="468">
        <v>2025</v>
      </c>
      <c r="H261" s="469">
        <v>4000000</v>
      </c>
      <c r="I261" s="469">
        <v>0</v>
      </c>
      <c r="J261" s="468" t="s">
        <v>465</v>
      </c>
      <c r="K261" s="468" t="s">
        <v>466</v>
      </c>
      <c r="L261" s="468">
        <v>18037</v>
      </c>
    </row>
    <row r="262" spans="1:12" s="466" customFormat="1" ht="15" x14ac:dyDescent="0.25">
      <c r="A262" s="467">
        <v>1001876572</v>
      </c>
      <c r="B262" s="468" t="s">
        <v>1015</v>
      </c>
      <c r="C262" s="468" t="s">
        <v>459</v>
      </c>
      <c r="D262" s="470">
        <v>580383990</v>
      </c>
      <c r="E262" s="470">
        <v>40216097</v>
      </c>
      <c r="F262" s="470" t="s">
        <v>547</v>
      </c>
      <c r="G262" s="468">
        <v>2025</v>
      </c>
      <c r="H262" s="469">
        <v>1000000</v>
      </c>
      <c r="I262" s="469">
        <v>0</v>
      </c>
      <c r="J262" s="468" t="s">
        <v>465</v>
      </c>
      <c r="K262" s="468" t="s">
        <v>466</v>
      </c>
      <c r="L262" s="468">
        <v>18037</v>
      </c>
    </row>
    <row r="263" spans="1:12" s="466" customFormat="1" ht="15" x14ac:dyDescent="0.25">
      <c r="A263" s="467">
        <v>1001876624</v>
      </c>
      <c r="B263" s="468" t="s">
        <v>1016</v>
      </c>
      <c r="C263" s="468" t="s">
        <v>459</v>
      </c>
      <c r="D263" s="470">
        <v>580682540</v>
      </c>
      <c r="E263" s="470">
        <v>42342626</v>
      </c>
      <c r="F263" s="470" t="s">
        <v>569</v>
      </c>
      <c r="G263" s="468">
        <v>2025</v>
      </c>
      <c r="H263" s="469">
        <v>1000000</v>
      </c>
      <c r="I263" s="469">
        <v>0</v>
      </c>
      <c r="J263" s="468" t="s">
        <v>465</v>
      </c>
      <c r="K263" s="468" t="s">
        <v>466</v>
      </c>
      <c r="L263" s="468">
        <v>18037</v>
      </c>
    </row>
    <row r="264" spans="1:12" s="466" customFormat="1" ht="15" x14ac:dyDescent="0.25">
      <c r="A264" s="467">
        <v>1001876653</v>
      </c>
      <c r="B264" s="468" t="s">
        <v>601</v>
      </c>
      <c r="C264" s="468" t="s">
        <v>459</v>
      </c>
      <c r="D264" s="470">
        <v>580049708</v>
      </c>
      <c r="E264" s="470">
        <v>40000399</v>
      </c>
      <c r="F264" s="470" t="s">
        <v>528</v>
      </c>
      <c r="G264" s="468">
        <v>2025</v>
      </c>
      <c r="H264" s="469">
        <v>5300000</v>
      </c>
      <c r="I264" s="469">
        <v>0</v>
      </c>
      <c r="J264" s="468" t="s">
        <v>465</v>
      </c>
      <c r="K264" s="468" t="s">
        <v>466</v>
      </c>
      <c r="L264" s="468">
        <v>18037</v>
      </c>
    </row>
    <row r="265" spans="1:12" s="466" customFormat="1" ht="15" x14ac:dyDescent="0.25">
      <c r="A265" s="467">
        <v>1001877304</v>
      </c>
      <c r="B265" s="468" t="s">
        <v>1017</v>
      </c>
      <c r="C265" s="468" t="s">
        <v>459</v>
      </c>
      <c r="D265" s="470">
        <v>580198471</v>
      </c>
      <c r="E265" s="470">
        <v>40000173</v>
      </c>
      <c r="F265" s="470" t="s">
        <v>485</v>
      </c>
      <c r="G265" s="468">
        <v>2025</v>
      </c>
      <c r="H265" s="469">
        <v>3800000</v>
      </c>
      <c r="I265" s="469">
        <v>0</v>
      </c>
      <c r="J265" s="468" t="s">
        <v>465</v>
      </c>
      <c r="K265" s="468" t="s">
        <v>466</v>
      </c>
      <c r="L265" s="468">
        <v>18037</v>
      </c>
    </row>
    <row r="266" spans="1:12" s="466" customFormat="1" ht="15" x14ac:dyDescent="0.25">
      <c r="A266" s="467">
        <v>1001877315</v>
      </c>
      <c r="B266" s="468" t="s">
        <v>492</v>
      </c>
      <c r="C266" s="468" t="s">
        <v>459</v>
      </c>
      <c r="D266" s="470">
        <v>580181741</v>
      </c>
      <c r="E266" s="470">
        <v>40000538</v>
      </c>
      <c r="F266" s="470" t="s">
        <v>493</v>
      </c>
      <c r="G266" s="468">
        <v>2025</v>
      </c>
      <c r="H266" s="469">
        <v>10000000</v>
      </c>
      <c r="I266" s="469">
        <v>0</v>
      </c>
      <c r="J266" s="468" t="s">
        <v>465</v>
      </c>
      <c r="K266" s="468" t="s">
        <v>466</v>
      </c>
      <c r="L266" s="468">
        <v>18037</v>
      </c>
    </row>
    <row r="267" spans="1:12" s="466" customFormat="1" ht="15" x14ac:dyDescent="0.25">
      <c r="A267" s="467">
        <v>1001896593</v>
      </c>
      <c r="B267" s="468" t="s">
        <v>1018</v>
      </c>
      <c r="C267" s="468" t="s">
        <v>459</v>
      </c>
      <c r="D267" s="470">
        <v>580496719</v>
      </c>
      <c r="E267" s="470">
        <v>40384701</v>
      </c>
      <c r="F267" s="470" t="s">
        <v>480</v>
      </c>
      <c r="G267" s="468">
        <v>2025</v>
      </c>
      <c r="H267" s="469">
        <v>1500000</v>
      </c>
      <c r="I267" s="469">
        <v>0</v>
      </c>
      <c r="J267" s="468" t="s">
        <v>465</v>
      </c>
      <c r="K267" s="468" t="s">
        <v>466</v>
      </c>
      <c r="L267" s="468">
        <v>18037</v>
      </c>
    </row>
    <row r="268" spans="1:12" s="466" customFormat="1" ht="15" x14ac:dyDescent="0.25">
      <c r="A268" s="467">
        <v>1001896621</v>
      </c>
      <c r="B268" s="468" t="s">
        <v>1019</v>
      </c>
      <c r="C268" s="468" t="s">
        <v>459</v>
      </c>
      <c r="D268" s="470">
        <v>580293454</v>
      </c>
      <c r="E268" s="470">
        <v>40000216</v>
      </c>
      <c r="F268" s="470" t="s">
        <v>568</v>
      </c>
      <c r="G268" s="468">
        <v>2025</v>
      </c>
      <c r="H268" s="469">
        <v>2500000</v>
      </c>
      <c r="I268" s="469">
        <v>0</v>
      </c>
      <c r="J268" s="468" t="s">
        <v>465</v>
      </c>
      <c r="K268" s="468" t="s">
        <v>466</v>
      </c>
      <c r="L268" s="468">
        <v>18037</v>
      </c>
    </row>
    <row r="269" spans="1:12" s="466" customFormat="1" ht="15" x14ac:dyDescent="0.25">
      <c r="A269" s="467">
        <v>1001896670</v>
      </c>
      <c r="B269" s="468" t="s">
        <v>1020</v>
      </c>
      <c r="C269" s="468" t="s">
        <v>459</v>
      </c>
      <c r="D269" s="470">
        <v>580542264</v>
      </c>
      <c r="E269" s="470">
        <v>41386301</v>
      </c>
      <c r="F269" s="470" t="s">
        <v>516</v>
      </c>
      <c r="G269" s="468">
        <v>2025</v>
      </c>
      <c r="H269" s="469">
        <v>1000000</v>
      </c>
      <c r="I269" s="469">
        <v>0</v>
      </c>
      <c r="J269" s="468" t="s">
        <v>465</v>
      </c>
      <c r="K269" s="468" t="s">
        <v>466</v>
      </c>
      <c r="L269" s="468">
        <v>18037</v>
      </c>
    </row>
    <row r="270" spans="1:12" s="466" customFormat="1" ht="15" x14ac:dyDescent="0.25">
      <c r="A270" s="467">
        <v>1001899131</v>
      </c>
      <c r="B270" s="468" t="s">
        <v>1021</v>
      </c>
      <c r="C270" s="468" t="s">
        <v>1022</v>
      </c>
      <c r="D270" s="470">
        <v>500210638</v>
      </c>
      <c r="E270" s="470">
        <v>20000102</v>
      </c>
      <c r="F270" s="470" t="s">
        <v>490</v>
      </c>
      <c r="G270" s="468">
        <v>2025</v>
      </c>
      <c r="H270" s="469">
        <v>590000</v>
      </c>
      <c r="I270" s="469">
        <v>0</v>
      </c>
      <c r="J270" s="468" t="s">
        <v>465</v>
      </c>
      <c r="K270" s="468" t="s">
        <v>466</v>
      </c>
      <c r="L270" s="468">
        <v>18038</v>
      </c>
    </row>
    <row r="271" spans="1:12" s="466" customFormat="1" ht="15" x14ac:dyDescent="0.25">
      <c r="A271" s="467">
        <v>1001906876</v>
      </c>
      <c r="B271" s="468" t="s">
        <v>491</v>
      </c>
      <c r="C271" s="468" t="s">
        <v>462</v>
      </c>
      <c r="D271" s="470">
        <v>580352490</v>
      </c>
      <c r="E271" s="470">
        <v>40000242</v>
      </c>
      <c r="F271" s="470" t="s">
        <v>451</v>
      </c>
      <c r="G271" s="468">
        <v>2025</v>
      </c>
      <c r="H271" s="469">
        <v>100000</v>
      </c>
      <c r="I271" s="469">
        <v>0</v>
      </c>
      <c r="J271" s="468" t="s">
        <v>465</v>
      </c>
      <c r="K271" s="468" t="s">
        <v>466</v>
      </c>
      <c r="L271" s="468">
        <v>18208</v>
      </c>
    </row>
    <row r="272" spans="1:12" s="466" customFormat="1" ht="15" x14ac:dyDescent="0.25">
      <c r="A272" s="467">
        <v>1001906878</v>
      </c>
      <c r="B272" s="468" t="s">
        <v>1023</v>
      </c>
      <c r="C272" s="468" t="s">
        <v>462</v>
      </c>
      <c r="D272" s="470">
        <v>580208486</v>
      </c>
      <c r="E272" s="470">
        <v>40000179</v>
      </c>
      <c r="F272" s="470" t="s">
        <v>464</v>
      </c>
      <c r="G272" s="468">
        <v>2025</v>
      </c>
      <c r="H272" s="469">
        <v>200000</v>
      </c>
      <c r="I272" s="469">
        <v>0</v>
      </c>
      <c r="J272" s="468" t="s">
        <v>465</v>
      </c>
      <c r="K272" s="468" t="s">
        <v>466</v>
      </c>
      <c r="L272" s="468">
        <v>18207</v>
      </c>
    </row>
    <row r="273" spans="1:12" s="466" customFormat="1" ht="15" x14ac:dyDescent="0.25">
      <c r="A273" s="467">
        <v>1001906928</v>
      </c>
      <c r="B273" s="468" t="s">
        <v>1024</v>
      </c>
      <c r="C273" s="468" t="s">
        <v>462</v>
      </c>
      <c r="D273" s="470">
        <v>580450898</v>
      </c>
      <c r="E273" s="470">
        <v>41099000</v>
      </c>
      <c r="F273" s="470" t="s">
        <v>486</v>
      </c>
      <c r="G273" s="468">
        <v>2025</v>
      </c>
      <c r="H273" s="469">
        <v>1000000</v>
      </c>
      <c r="I273" s="469">
        <v>0</v>
      </c>
      <c r="J273" s="468" t="s">
        <v>465</v>
      </c>
      <c r="K273" s="468" t="s">
        <v>466</v>
      </c>
      <c r="L273" s="468">
        <v>18207</v>
      </c>
    </row>
    <row r="274" spans="1:12" s="466" customFormat="1" ht="15" x14ac:dyDescent="0.25">
      <c r="A274" s="467">
        <v>1001906929</v>
      </c>
      <c r="B274" s="468" t="s">
        <v>1025</v>
      </c>
      <c r="C274" s="468" t="s">
        <v>462</v>
      </c>
      <c r="D274" s="470">
        <v>580450898</v>
      </c>
      <c r="E274" s="470">
        <v>41099000</v>
      </c>
      <c r="F274" s="470" t="s">
        <v>486</v>
      </c>
      <c r="G274" s="468">
        <v>2025</v>
      </c>
      <c r="H274" s="469">
        <v>100000</v>
      </c>
      <c r="I274" s="469">
        <v>0</v>
      </c>
      <c r="J274" s="468" t="s">
        <v>465</v>
      </c>
      <c r="K274" s="468" t="s">
        <v>466</v>
      </c>
      <c r="L274" s="468">
        <v>18208</v>
      </c>
    </row>
    <row r="275" spans="1:12" ht="15" x14ac:dyDescent="0.25">
      <c r="A275" s="665">
        <v>1001906941</v>
      </c>
      <c r="B275" s="666" t="s">
        <v>417</v>
      </c>
      <c r="C275" s="666" t="s">
        <v>462</v>
      </c>
      <c r="D275" s="667">
        <v>580013522</v>
      </c>
      <c r="E275" s="667">
        <v>40000333</v>
      </c>
      <c r="F275" s="667" t="s">
        <v>393</v>
      </c>
      <c r="G275" s="666">
        <v>2025</v>
      </c>
      <c r="H275" s="668">
        <v>500000</v>
      </c>
      <c r="I275" s="668">
        <v>0</v>
      </c>
      <c r="J275" s="666" t="s">
        <v>465</v>
      </c>
      <c r="K275" s="666" t="s">
        <v>466</v>
      </c>
      <c r="L275" s="666">
        <v>18206</v>
      </c>
    </row>
    <row r="276" spans="1:12" ht="15" x14ac:dyDescent="0.25">
      <c r="A276" s="665">
        <v>1001906944</v>
      </c>
      <c r="B276" s="666" t="s">
        <v>1026</v>
      </c>
      <c r="C276" s="666" t="s">
        <v>462</v>
      </c>
      <c r="D276" s="667">
        <v>580450898</v>
      </c>
      <c r="E276" s="667">
        <v>41099000</v>
      </c>
      <c r="F276" s="667" t="s">
        <v>486</v>
      </c>
      <c r="G276" s="666">
        <v>2025</v>
      </c>
      <c r="H276" s="668">
        <v>200000</v>
      </c>
      <c r="I276" s="668">
        <v>0</v>
      </c>
      <c r="J276" s="666" t="s">
        <v>465</v>
      </c>
      <c r="K276" s="666" t="s">
        <v>466</v>
      </c>
      <c r="L276" s="666">
        <v>18206</v>
      </c>
    </row>
    <row r="277" spans="1:12" ht="15" x14ac:dyDescent="0.25">
      <c r="A277" s="665">
        <v>1001906947</v>
      </c>
      <c r="B277" s="666" t="s">
        <v>1027</v>
      </c>
      <c r="C277" s="666" t="s">
        <v>462</v>
      </c>
      <c r="D277" s="667">
        <v>580450898</v>
      </c>
      <c r="E277" s="667">
        <v>41099000</v>
      </c>
      <c r="F277" s="667" t="s">
        <v>486</v>
      </c>
      <c r="G277" s="666">
        <v>2025</v>
      </c>
      <c r="H277" s="668">
        <v>250000</v>
      </c>
      <c r="I277" s="668">
        <v>0</v>
      </c>
      <c r="J277" s="666" t="s">
        <v>465</v>
      </c>
      <c r="K277" s="666" t="s">
        <v>466</v>
      </c>
      <c r="L277" s="666">
        <v>18206</v>
      </c>
    </row>
    <row r="278" spans="1:12" s="466" customFormat="1" ht="15" x14ac:dyDescent="0.25">
      <c r="A278" s="467">
        <v>1001906949</v>
      </c>
      <c r="B278" s="468" t="s">
        <v>1028</v>
      </c>
      <c r="C278" s="468" t="s">
        <v>462</v>
      </c>
      <c r="D278" s="470">
        <v>580450898</v>
      </c>
      <c r="E278" s="470">
        <v>41099000</v>
      </c>
      <c r="F278" s="470" t="s">
        <v>486</v>
      </c>
      <c r="G278" s="468">
        <v>2025</v>
      </c>
      <c r="H278" s="469">
        <v>200000</v>
      </c>
      <c r="I278" s="469">
        <v>0</v>
      </c>
      <c r="J278" s="468" t="s">
        <v>465</v>
      </c>
      <c r="K278" s="468" t="s">
        <v>466</v>
      </c>
      <c r="L278" s="468">
        <v>18208</v>
      </c>
    </row>
    <row r="279" spans="1:12" s="466" customFormat="1" ht="15" x14ac:dyDescent="0.25">
      <c r="A279" s="467">
        <v>1001906950</v>
      </c>
      <c r="B279" s="468" t="s">
        <v>1029</v>
      </c>
      <c r="C279" s="468" t="s">
        <v>462</v>
      </c>
      <c r="D279" s="470">
        <v>580450898</v>
      </c>
      <c r="E279" s="470">
        <v>41099000</v>
      </c>
      <c r="F279" s="470" t="s">
        <v>486</v>
      </c>
      <c r="G279" s="468">
        <v>2025</v>
      </c>
      <c r="H279" s="469">
        <v>100000</v>
      </c>
      <c r="I279" s="469">
        <v>0</v>
      </c>
      <c r="J279" s="468" t="s">
        <v>465</v>
      </c>
      <c r="K279" s="468" t="s">
        <v>466</v>
      </c>
      <c r="L279" s="468">
        <v>18208</v>
      </c>
    </row>
    <row r="280" spans="1:12" s="466" customFormat="1" ht="15" x14ac:dyDescent="0.25">
      <c r="A280" s="467">
        <v>1001906951</v>
      </c>
      <c r="B280" s="468" t="s">
        <v>1030</v>
      </c>
      <c r="C280" s="468" t="s">
        <v>462</v>
      </c>
      <c r="D280" s="470">
        <v>580450898</v>
      </c>
      <c r="E280" s="470">
        <v>41099000</v>
      </c>
      <c r="F280" s="470" t="s">
        <v>486</v>
      </c>
      <c r="G280" s="468">
        <v>2025</v>
      </c>
      <c r="H280" s="469">
        <v>120000</v>
      </c>
      <c r="I280" s="469">
        <v>0</v>
      </c>
      <c r="J280" s="468" t="s">
        <v>465</v>
      </c>
      <c r="K280" s="468" t="s">
        <v>466</v>
      </c>
      <c r="L280" s="468">
        <v>18208</v>
      </c>
    </row>
    <row r="281" spans="1:12" s="466" customFormat="1" ht="15" x14ac:dyDescent="0.25">
      <c r="A281" s="467">
        <v>1001906961</v>
      </c>
      <c r="B281" s="468" t="s">
        <v>1031</v>
      </c>
      <c r="C281" s="468" t="s">
        <v>462</v>
      </c>
      <c r="D281" s="470">
        <v>580450898</v>
      </c>
      <c r="E281" s="470">
        <v>41099000</v>
      </c>
      <c r="F281" s="470" t="s">
        <v>486</v>
      </c>
      <c r="G281" s="468">
        <v>2025</v>
      </c>
      <c r="H281" s="469">
        <v>100000</v>
      </c>
      <c r="I281" s="469">
        <v>0</v>
      </c>
      <c r="J281" s="468" t="s">
        <v>465</v>
      </c>
      <c r="K281" s="468" t="s">
        <v>466</v>
      </c>
      <c r="L281" s="468">
        <v>18208</v>
      </c>
    </row>
    <row r="282" spans="1:12" s="466" customFormat="1" ht="15" x14ac:dyDescent="0.25">
      <c r="A282" s="467">
        <v>1001907332</v>
      </c>
      <c r="B282" s="468" t="s">
        <v>1032</v>
      </c>
      <c r="C282" s="468" t="s">
        <v>462</v>
      </c>
      <c r="D282" s="470">
        <v>580362804</v>
      </c>
      <c r="E282" s="470">
        <v>40000709</v>
      </c>
      <c r="F282" s="470" t="s">
        <v>495</v>
      </c>
      <c r="G282" s="468">
        <v>2025</v>
      </c>
      <c r="H282" s="469">
        <v>2000000</v>
      </c>
      <c r="I282" s="469">
        <v>0</v>
      </c>
      <c r="J282" s="468" t="s">
        <v>465</v>
      </c>
      <c r="K282" s="468" t="s">
        <v>466</v>
      </c>
      <c r="L282" s="468">
        <v>18207</v>
      </c>
    </row>
    <row r="283" spans="1:12" s="466" customFormat="1" ht="15" x14ac:dyDescent="0.25">
      <c r="A283" s="467">
        <v>1001907370</v>
      </c>
      <c r="B283" s="468" t="s">
        <v>1033</v>
      </c>
      <c r="C283" s="468" t="s">
        <v>462</v>
      </c>
      <c r="D283" s="470">
        <v>500250006</v>
      </c>
      <c r="E283" s="470">
        <v>20000201</v>
      </c>
      <c r="F283" s="470" t="s">
        <v>457</v>
      </c>
      <c r="G283" s="468">
        <v>2025</v>
      </c>
      <c r="H283" s="469">
        <v>600000</v>
      </c>
      <c r="I283" s="469">
        <v>0</v>
      </c>
      <c r="J283" s="468" t="s">
        <v>465</v>
      </c>
      <c r="K283" s="468" t="s">
        <v>466</v>
      </c>
      <c r="L283" s="468">
        <v>18210</v>
      </c>
    </row>
    <row r="284" spans="1:12" ht="15" x14ac:dyDescent="0.25">
      <c r="A284" s="665">
        <v>1001907394</v>
      </c>
      <c r="B284" s="666" t="s">
        <v>1034</v>
      </c>
      <c r="C284" s="666" t="s">
        <v>462</v>
      </c>
      <c r="D284" s="667">
        <v>580269561</v>
      </c>
      <c r="E284" s="667">
        <v>40002884</v>
      </c>
      <c r="F284" s="667" t="s">
        <v>398</v>
      </c>
      <c r="G284" s="666">
        <v>2025</v>
      </c>
      <c r="H284" s="668">
        <v>600000</v>
      </c>
      <c r="I284" s="668">
        <v>0</v>
      </c>
      <c r="J284" s="666" t="s">
        <v>465</v>
      </c>
      <c r="K284" s="666" t="s">
        <v>466</v>
      </c>
      <c r="L284" s="666">
        <v>18206</v>
      </c>
    </row>
    <row r="285" spans="1:12" s="466" customFormat="1" ht="15" x14ac:dyDescent="0.25">
      <c r="A285" s="467">
        <v>1001907425</v>
      </c>
      <c r="B285" s="468" t="s">
        <v>1035</v>
      </c>
      <c r="C285" s="468" t="s">
        <v>462</v>
      </c>
      <c r="D285" s="470">
        <v>580238699</v>
      </c>
      <c r="E285" s="470">
        <v>40000594</v>
      </c>
      <c r="F285" s="470" t="s">
        <v>555</v>
      </c>
      <c r="G285" s="468">
        <v>2025</v>
      </c>
      <c r="H285" s="469">
        <v>45000</v>
      </c>
      <c r="I285" s="469">
        <v>0</v>
      </c>
      <c r="J285" s="468" t="s">
        <v>465</v>
      </c>
      <c r="K285" s="468" t="s">
        <v>466</v>
      </c>
      <c r="L285" s="468">
        <v>18208</v>
      </c>
    </row>
    <row r="286" spans="1:12" ht="15" x14ac:dyDescent="0.25">
      <c r="A286" s="665">
        <v>1001907429</v>
      </c>
      <c r="B286" s="666" t="s">
        <v>1036</v>
      </c>
      <c r="C286" s="666" t="s">
        <v>462</v>
      </c>
      <c r="D286" s="667">
        <v>580676252</v>
      </c>
      <c r="E286" s="667">
        <v>42871405</v>
      </c>
      <c r="F286" s="669" t="s">
        <v>1037</v>
      </c>
      <c r="G286" s="666">
        <v>2025</v>
      </c>
      <c r="H286" s="668">
        <v>298738</v>
      </c>
      <c r="I286" s="668">
        <v>0</v>
      </c>
      <c r="J286" s="666" t="s">
        <v>465</v>
      </c>
      <c r="K286" s="666" t="s">
        <v>466</v>
      </c>
      <c r="L286" s="666">
        <v>18206</v>
      </c>
    </row>
    <row r="287" spans="1:12" s="466" customFormat="1" ht="15" x14ac:dyDescent="0.25">
      <c r="A287" s="467">
        <v>1001907450</v>
      </c>
      <c r="B287" s="468" t="s">
        <v>1038</v>
      </c>
      <c r="C287" s="468" t="s">
        <v>462</v>
      </c>
      <c r="D287" s="470">
        <v>580431245</v>
      </c>
      <c r="E287" s="470">
        <v>40228523</v>
      </c>
      <c r="F287" s="470" t="s">
        <v>477</v>
      </c>
      <c r="G287" s="468">
        <v>2025</v>
      </c>
      <c r="H287" s="469">
        <v>66000</v>
      </c>
      <c r="I287" s="469">
        <v>0</v>
      </c>
      <c r="J287" s="468" t="s">
        <v>465</v>
      </c>
      <c r="K287" s="468" t="s">
        <v>466</v>
      </c>
      <c r="L287" s="468">
        <v>18208</v>
      </c>
    </row>
    <row r="288" spans="1:12" s="466" customFormat="1" ht="15" x14ac:dyDescent="0.25">
      <c r="A288" s="467">
        <v>1001907546</v>
      </c>
      <c r="B288" s="468" t="s">
        <v>526</v>
      </c>
      <c r="C288" s="468" t="s">
        <v>462</v>
      </c>
      <c r="D288" s="470">
        <v>580103026</v>
      </c>
      <c r="E288" s="470">
        <v>40000134</v>
      </c>
      <c r="F288" s="470" t="s">
        <v>449</v>
      </c>
      <c r="G288" s="468">
        <v>2025</v>
      </c>
      <c r="H288" s="469">
        <v>250000</v>
      </c>
      <c r="I288" s="469">
        <v>0</v>
      </c>
      <c r="J288" s="468" t="s">
        <v>465</v>
      </c>
      <c r="K288" s="468" t="s">
        <v>466</v>
      </c>
      <c r="L288" s="468">
        <v>18207</v>
      </c>
    </row>
    <row r="289" spans="1:12" s="466" customFormat="1" ht="15" x14ac:dyDescent="0.25">
      <c r="A289" s="467">
        <v>1001907582</v>
      </c>
      <c r="B289" s="468" t="s">
        <v>1039</v>
      </c>
      <c r="C289" s="468" t="s">
        <v>462</v>
      </c>
      <c r="D289" s="470">
        <v>580609584</v>
      </c>
      <c r="E289" s="470">
        <v>41558072</v>
      </c>
      <c r="F289" s="470" t="s">
        <v>484</v>
      </c>
      <c r="G289" s="468">
        <v>2025</v>
      </c>
      <c r="H289" s="469">
        <v>160000</v>
      </c>
      <c r="I289" s="469">
        <v>0</v>
      </c>
      <c r="J289" s="468" t="s">
        <v>465</v>
      </c>
      <c r="K289" s="468" t="s">
        <v>466</v>
      </c>
      <c r="L289" s="468">
        <v>18208</v>
      </c>
    </row>
    <row r="290" spans="1:12" s="466" customFormat="1" ht="15" x14ac:dyDescent="0.25">
      <c r="A290" s="467">
        <v>1001907617</v>
      </c>
      <c r="B290" s="468" t="s">
        <v>1040</v>
      </c>
      <c r="C290" s="468" t="s">
        <v>462</v>
      </c>
      <c r="D290" s="470">
        <v>580186377</v>
      </c>
      <c r="E290" s="470">
        <v>40000168</v>
      </c>
      <c r="F290" s="470" t="s">
        <v>520</v>
      </c>
      <c r="G290" s="468">
        <v>2025</v>
      </c>
      <c r="H290" s="469">
        <v>490000</v>
      </c>
      <c r="I290" s="469">
        <v>0</v>
      </c>
      <c r="J290" s="468" t="s">
        <v>465</v>
      </c>
      <c r="K290" s="468" t="s">
        <v>466</v>
      </c>
      <c r="L290" s="468">
        <v>18208</v>
      </c>
    </row>
    <row r="291" spans="1:12" s="466" customFormat="1" ht="15" x14ac:dyDescent="0.25">
      <c r="A291" s="467">
        <v>1001907618</v>
      </c>
      <c r="B291" s="468" t="s">
        <v>1041</v>
      </c>
      <c r="C291" s="468" t="s">
        <v>462</v>
      </c>
      <c r="D291" s="470">
        <v>580186377</v>
      </c>
      <c r="E291" s="470">
        <v>40000168</v>
      </c>
      <c r="F291" s="470" t="s">
        <v>520</v>
      </c>
      <c r="G291" s="468">
        <v>2025</v>
      </c>
      <c r="H291" s="469">
        <v>200000</v>
      </c>
      <c r="I291" s="469">
        <v>0</v>
      </c>
      <c r="J291" s="468" t="s">
        <v>465</v>
      </c>
      <c r="K291" s="468" t="s">
        <v>466</v>
      </c>
      <c r="L291" s="468">
        <v>18208</v>
      </c>
    </row>
    <row r="292" spans="1:12" s="466" customFormat="1" ht="15" x14ac:dyDescent="0.25">
      <c r="A292" s="467">
        <v>1001907640</v>
      </c>
      <c r="B292" s="468" t="s">
        <v>1042</v>
      </c>
      <c r="C292" s="468" t="s">
        <v>462</v>
      </c>
      <c r="D292" s="470">
        <v>510748734</v>
      </c>
      <c r="E292" s="470">
        <v>40000028</v>
      </c>
      <c r="F292" s="470" t="s">
        <v>481</v>
      </c>
      <c r="G292" s="468">
        <v>2025</v>
      </c>
      <c r="H292" s="469">
        <v>115000</v>
      </c>
      <c r="I292" s="469">
        <v>0</v>
      </c>
      <c r="J292" s="468" t="s">
        <v>465</v>
      </c>
      <c r="K292" s="468" t="s">
        <v>466</v>
      </c>
      <c r="L292" s="468">
        <v>18208</v>
      </c>
    </row>
    <row r="293" spans="1:12" s="466" customFormat="1" ht="15" x14ac:dyDescent="0.25">
      <c r="A293" s="467">
        <v>1001907666</v>
      </c>
      <c r="B293" s="468" t="s">
        <v>1043</v>
      </c>
      <c r="C293" s="468" t="s">
        <v>462</v>
      </c>
      <c r="D293" s="470">
        <v>580586287</v>
      </c>
      <c r="E293" s="470">
        <v>41877335</v>
      </c>
      <c r="F293" s="470" t="s">
        <v>527</v>
      </c>
      <c r="G293" s="468">
        <v>2025</v>
      </c>
      <c r="H293" s="469">
        <v>300000</v>
      </c>
      <c r="I293" s="469">
        <v>0</v>
      </c>
      <c r="J293" s="468" t="s">
        <v>465</v>
      </c>
      <c r="K293" s="468" t="s">
        <v>466</v>
      </c>
      <c r="L293" s="468">
        <v>18208</v>
      </c>
    </row>
    <row r="294" spans="1:12" s="466" customFormat="1" ht="15" x14ac:dyDescent="0.25">
      <c r="A294" s="467">
        <v>1001907721</v>
      </c>
      <c r="B294" s="468" t="s">
        <v>1044</v>
      </c>
      <c r="C294" s="468" t="s">
        <v>462</v>
      </c>
      <c r="D294" s="470">
        <v>515770444</v>
      </c>
      <c r="E294" s="470">
        <v>41968455</v>
      </c>
      <c r="F294" s="470" t="s">
        <v>539</v>
      </c>
      <c r="G294" s="468">
        <v>2025</v>
      </c>
      <c r="H294" s="469">
        <v>600000</v>
      </c>
      <c r="I294" s="469">
        <v>0</v>
      </c>
      <c r="J294" s="468" t="s">
        <v>465</v>
      </c>
      <c r="K294" s="468" t="s">
        <v>466</v>
      </c>
      <c r="L294" s="468">
        <v>18207</v>
      </c>
    </row>
    <row r="295" spans="1:12" s="466" customFormat="1" ht="15" x14ac:dyDescent="0.25">
      <c r="A295" s="467">
        <v>1001907758</v>
      </c>
      <c r="B295" s="468" t="s">
        <v>637</v>
      </c>
      <c r="C295" s="468" t="s">
        <v>462</v>
      </c>
      <c r="D295" s="470">
        <v>580029148</v>
      </c>
      <c r="E295" s="470">
        <v>40000362</v>
      </c>
      <c r="F295" s="470" t="s">
        <v>552</v>
      </c>
      <c r="G295" s="468">
        <v>2025</v>
      </c>
      <c r="H295" s="469">
        <v>150000</v>
      </c>
      <c r="I295" s="469">
        <v>0</v>
      </c>
      <c r="J295" s="468" t="s">
        <v>465</v>
      </c>
      <c r="K295" s="468" t="s">
        <v>466</v>
      </c>
      <c r="L295" s="468">
        <v>18207</v>
      </c>
    </row>
    <row r="296" spans="1:12" ht="15" x14ac:dyDescent="0.25">
      <c r="A296" s="665">
        <v>1001907787</v>
      </c>
      <c r="B296" s="666" t="s">
        <v>452</v>
      </c>
      <c r="C296" s="666" t="s">
        <v>462</v>
      </c>
      <c r="D296" s="667">
        <v>580164325</v>
      </c>
      <c r="E296" s="667">
        <v>40000161</v>
      </c>
      <c r="F296" s="667" t="s">
        <v>522</v>
      </c>
      <c r="G296" s="666">
        <v>2025</v>
      </c>
      <c r="H296" s="668">
        <v>150000</v>
      </c>
      <c r="I296" s="668">
        <v>0</v>
      </c>
      <c r="J296" s="666" t="s">
        <v>465</v>
      </c>
      <c r="K296" s="666" t="s">
        <v>466</v>
      </c>
      <c r="L296" s="666">
        <v>18206</v>
      </c>
    </row>
    <row r="297" spans="1:12" ht="15" x14ac:dyDescent="0.25">
      <c r="A297" s="665">
        <v>1001907813</v>
      </c>
      <c r="B297" s="666" t="s">
        <v>1045</v>
      </c>
      <c r="C297" s="666" t="s">
        <v>462</v>
      </c>
      <c r="D297" s="667">
        <v>580695484</v>
      </c>
      <c r="E297" s="667">
        <v>42446743</v>
      </c>
      <c r="F297" s="667" t="s">
        <v>586</v>
      </c>
      <c r="G297" s="666">
        <v>2025</v>
      </c>
      <c r="H297" s="668">
        <v>350000</v>
      </c>
      <c r="I297" s="668">
        <v>0</v>
      </c>
      <c r="J297" s="666" t="s">
        <v>465</v>
      </c>
      <c r="K297" s="666" t="s">
        <v>466</v>
      </c>
      <c r="L297" s="666">
        <v>18206</v>
      </c>
    </row>
    <row r="298" spans="1:12" s="466" customFormat="1" ht="15" x14ac:dyDescent="0.25">
      <c r="A298" s="467">
        <v>1001907829</v>
      </c>
      <c r="B298" s="468" t="s">
        <v>1046</v>
      </c>
      <c r="C298" s="468" t="s">
        <v>462</v>
      </c>
      <c r="D298" s="470">
        <v>580666642</v>
      </c>
      <c r="E298" s="470">
        <v>42316025</v>
      </c>
      <c r="F298" s="470" t="s">
        <v>531</v>
      </c>
      <c r="G298" s="468">
        <v>2025</v>
      </c>
      <c r="H298" s="469">
        <v>500000</v>
      </c>
      <c r="I298" s="469">
        <v>0</v>
      </c>
      <c r="J298" s="468" t="s">
        <v>465</v>
      </c>
      <c r="K298" s="468" t="s">
        <v>466</v>
      </c>
      <c r="L298" s="468">
        <v>18207</v>
      </c>
    </row>
    <row r="299" spans="1:12" ht="15" x14ac:dyDescent="0.25">
      <c r="A299" s="665">
        <v>1001907879</v>
      </c>
      <c r="B299" s="666" t="s">
        <v>1047</v>
      </c>
      <c r="C299" s="666" t="s">
        <v>462</v>
      </c>
      <c r="D299" s="667">
        <v>580064103</v>
      </c>
      <c r="E299" s="667">
        <v>40000415</v>
      </c>
      <c r="F299" s="667" t="s">
        <v>400</v>
      </c>
      <c r="G299" s="666">
        <v>2025</v>
      </c>
      <c r="H299" s="668">
        <v>150000</v>
      </c>
      <c r="I299" s="668">
        <v>0</v>
      </c>
      <c r="J299" s="666" t="s">
        <v>465</v>
      </c>
      <c r="K299" s="666" t="s">
        <v>466</v>
      </c>
      <c r="L299" s="666">
        <v>18206</v>
      </c>
    </row>
    <row r="300" spans="1:12" s="466" customFormat="1" ht="15" x14ac:dyDescent="0.25">
      <c r="A300" s="467">
        <v>1001907885</v>
      </c>
      <c r="B300" s="468" t="s">
        <v>1048</v>
      </c>
      <c r="C300" s="468" t="s">
        <v>462</v>
      </c>
      <c r="D300" s="470">
        <v>580600708</v>
      </c>
      <c r="E300" s="470">
        <v>41481961</v>
      </c>
      <c r="F300" s="470" t="s">
        <v>489</v>
      </c>
      <c r="G300" s="468">
        <v>2025</v>
      </c>
      <c r="H300" s="469">
        <v>130000</v>
      </c>
      <c r="I300" s="469">
        <v>0</v>
      </c>
      <c r="J300" s="468" t="s">
        <v>465</v>
      </c>
      <c r="K300" s="468" t="s">
        <v>466</v>
      </c>
      <c r="L300" s="468">
        <v>18208</v>
      </c>
    </row>
    <row r="301" spans="1:12" s="466" customFormat="1" ht="15" x14ac:dyDescent="0.25">
      <c r="A301" s="467">
        <v>1001907889</v>
      </c>
      <c r="B301" s="468" t="s">
        <v>502</v>
      </c>
      <c r="C301" s="468" t="s">
        <v>462</v>
      </c>
      <c r="D301" s="470">
        <v>580064103</v>
      </c>
      <c r="E301" s="470">
        <v>40000415</v>
      </c>
      <c r="F301" s="470" t="s">
        <v>400</v>
      </c>
      <c r="G301" s="468">
        <v>2025</v>
      </c>
      <c r="H301" s="469">
        <v>40000</v>
      </c>
      <c r="I301" s="469">
        <v>0</v>
      </c>
      <c r="J301" s="468" t="s">
        <v>465</v>
      </c>
      <c r="K301" s="468" t="s">
        <v>466</v>
      </c>
      <c r="L301" s="468">
        <v>18208</v>
      </c>
    </row>
    <row r="302" spans="1:12" ht="15" x14ac:dyDescent="0.25">
      <c r="A302" s="665">
        <v>1001907984</v>
      </c>
      <c r="B302" s="666" t="s">
        <v>1049</v>
      </c>
      <c r="C302" s="666" t="s">
        <v>462</v>
      </c>
      <c r="D302" s="667">
        <v>580774149</v>
      </c>
      <c r="E302" s="667">
        <v>42864722</v>
      </c>
      <c r="F302" s="667" t="s">
        <v>1050</v>
      </c>
      <c r="G302" s="666">
        <v>2025</v>
      </c>
      <c r="H302" s="668">
        <v>300000</v>
      </c>
      <c r="I302" s="668">
        <v>0</v>
      </c>
      <c r="J302" s="666" t="s">
        <v>465</v>
      </c>
      <c r="K302" s="666" t="s">
        <v>466</v>
      </c>
      <c r="L302" s="666">
        <v>18206</v>
      </c>
    </row>
    <row r="303" spans="1:12" s="466" customFormat="1" ht="15" x14ac:dyDescent="0.25">
      <c r="A303" s="467">
        <v>1001908198</v>
      </c>
      <c r="B303" s="468" t="s">
        <v>1051</v>
      </c>
      <c r="C303" s="468" t="s">
        <v>462</v>
      </c>
      <c r="D303" s="470">
        <v>580774149</v>
      </c>
      <c r="E303" s="470">
        <v>42864722</v>
      </c>
      <c r="F303" s="470" t="s">
        <v>1050</v>
      </c>
      <c r="G303" s="468">
        <v>2025</v>
      </c>
      <c r="H303" s="469">
        <v>150000</v>
      </c>
      <c r="I303" s="469">
        <v>0</v>
      </c>
      <c r="J303" s="468" t="s">
        <v>465</v>
      </c>
      <c r="K303" s="468" t="s">
        <v>466</v>
      </c>
      <c r="L303" s="468">
        <v>18208</v>
      </c>
    </row>
    <row r="304" spans="1:12" s="466" customFormat="1" ht="15" x14ac:dyDescent="0.25">
      <c r="A304" s="467">
        <v>1001908243</v>
      </c>
      <c r="B304" s="468" t="s">
        <v>1052</v>
      </c>
      <c r="C304" s="468" t="s">
        <v>462</v>
      </c>
      <c r="D304" s="470">
        <v>580692416</v>
      </c>
      <c r="E304" s="470">
        <v>42364900</v>
      </c>
      <c r="F304" s="470" t="s">
        <v>536</v>
      </c>
      <c r="G304" s="468">
        <v>2025</v>
      </c>
      <c r="H304" s="469">
        <v>300000</v>
      </c>
      <c r="I304" s="469">
        <v>0</v>
      </c>
      <c r="J304" s="468" t="s">
        <v>465</v>
      </c>
      <c r="K304" s="468" t="s">
        <v>466</v>
      </c>
      <c r="L304" s="468">
        <v>18207</v>
      </c>
    </row>
    <row r="305" spans="1:12" s="466" customFormat="1" ht="15" x14ac:dyDescent="0.25">
      <c r="A305" s="467">
        <v>1001908295</v>
      </c>
      <c r="B305" s="468" t="s">
        <v>1053</v>
      </c>
      <c r="C305" s="468" t="s">
        <v>462</v>
      </c>
      <c r="D305" s="470">
        <v>580666717</v>
      </c>
      <c r="E305" s="470">
        <v>41914867</v>
      </c>
      <c r="F305" s="470" t="s">
        <v>415</v>
      </c>
      <c r="G305" s="468">
        <v>2025</v>
      </c>
      <c r="H305" s="469">
        <v>200000</v>
      </c>
      <c r="I305" s="469">
        <v>0</v>
      </c>
      <c r="J305" s="468" t="s">
        <v>465</v>
      </c>
      <c r="K305" s="468" t="s">
        <v>466</v>
      </c>
      <c r="L305" s="468">
        <v>18208</v>
      </c>
    </row>
    <row r="306" spans="1:12" ht="15" x14ac:dyDescent="0.25">
      <c r="A306" s="665">
        <v>1001908300</v>
      </c>
      <c r="B306" s="666" t="s">
        <v>1054</v>
      </c>
      <c r="C306" s="666" t="s">
        <v>462</v>
      </c>
      <c r="D306" s="667">
        <v>580666717</v>
      </c>
      <c r="E306" s="667">
        <v>41914867</v>
      </c>
      <c r="F306" s="667" t="s">
        <v>415</v>
      </c>
      <c r="G306" s="666">
        <v>2025</v>
      </c>
      <c r="H306" s="668">
        <v>400000</v>
      </c>
      <c r="I306" s="668">
        <v>0</v>
      </c>
      <c r="J306" s="666" t="s">
        <v>465</v>
      </c>
      <c r="K306" s="666" t="s">
        <v>466</v>
      </c>
      <c r="L306" s="666">
        <v>18206</v>
      </c>
    </row>
    <row r="307" spans="1:12" s="466" customFormat="1" ht="15" x14ac:dyDescent="0.25">
      <c r="A307" s="467">
        <v>1001908363</v>
      </c>
      <c r="B307" s="468" t="s">
        <v>548</v>
      </c>
      <c r="C307" s="468" t="s">
        <v>462</v>
      </c>
      <c r="D307" s="470">
        <v>580455939</v>
      </c>
      <c r="E307" s="470">
        <v>41103047</v>
      </c>
      <c r="F307" s="470" t="s">
        <v>549</v>
      </c>
      <c r="G307" s="468">
        <v>2025</v>
      </c>
      <c r="H307" s="469">
        <v>1000000</v>
      </c>
      <c r="I307" s="469">
        <v>0</v>
      </c>
      <c r="J307" s="468" t="s">
        <v>465</v>
      </c>
      <c r="K307" s="468" t="s">
        <v>466</v>
      </c>
      <c r="L307" s="468">
        <v>18207</v>
      </c>
    </row>
    <row r="308" spans="1:12" ht="15" x14ac:dyDescent="0.25">
      <c r="A308" s="665">
        <v>1001908365</v>
      </c>
      <c r="B308" s="666" t="s">
        <v>1055</v>
      </c>
      <c r="C308" s="666" t="s">
        <v>462</v>
      </c>
      <c r="D308" s="667">
        <v>580455939</v>
      </c>
      <c r="E308" s="667">
        <v>41103047</v>
      </c>
      <c r="F308" s="667" t="s">
        <v>549</v>
      </c>
      <c r="G308" s="666">
        <v>2025</v>
      </c>
      <c r="H308" s="668">
        <v>100000</v>
      </c>
      <c r="I308" s="668">
        <v>0</v>
      </c>
      <c r="J308" s="666" t="s">
        <v>465</v>
      </c>
      <c r="K308" s="666" t="s">
        <v>466</v>
      </c>
      <c r="L308" s="666">
        <v>18206</v>
      </c>
    </row>
    <row r="309" spans="1:12" ht="15" x14ac:dyDescent="0.25">
      <c r="A309" s="665">
        <v>1001908625</v>
      </c>
      <c r="B309" s="666" t="s">
        <v>174</v>
      </c>
      <c r="C309" s="666" t="s">
        <v>462</v>
      </c>
      <c r="D309" s="667">
        <v>580327740</v>
      </c>
      <c r="E309" s="667">
        <v>40221541</v>
      </c>
      <c r="F309" s="667" t="s">
        <v>454</v>
      </c>
      <c r="G309" s="666">
        <v>2025</v>
      </c>
      <c r="H309" s="668">
        <v>75000</v>
      </c>
      <c r="I309" s="668">
        <v>0</v>
      </c>
      <c r="J309" s="666" t="s">
        <v>465</v>
      </c>
      <c r="K309" s="666" t="s">
        <v>466</v>
      </c>
      <c r="L309" s="666">
        <v>18206</v>
      </c>
    </row>
    <row r="310" spans="1:12" ht="15" x14ac:dyDescent="0.25">
      <c r="A310" s="665">
        <v>1001908626</v>
      </c>
      <c r="B310" s="666" t="s">
        <v>387</v>
      </c>
      <c r="C310" s="666" t="s">
        <v>462</v>
      </c>
      <c r="D310" s="667">
        <v>580327740</v>
      </c>
      <c r="E310" s="667">
        <v>40221541</v>
      </c>
      <c r="F310" s="667" t="s">
        <v>454</v>
      </c>
      <c r="G310" s="666">
        <v>2025</v>
      </c>
      <c r="H310" s="668">
        <v>50000</v>
      </c>
      <c r="I310" s="668">
        <v>0</v>
      </c>
      <c r="J310" s="666" t="s">
        <v>465</v>
      </c>
      <c r="K310" s="666" t="s">
        <v>466</v>
      </c>
      <c r="L310" s="666">
        <v>18206</v>
      </c>
    </row>
    <row r="311" spans="1:12" ht="15" x14ac:dyDescent="0.25">
      <c r="A311" s="665">
        <v>1001908629</v>
      </c>
      <c r="B311" s="666" t="s">
        <v>170</v>
      </c>
      <c r="C311" s="666" t="s">
        <v>462</v>
      </c>
      <c r="D311" s="667">
        <v>580327740</v>
      </c>
      <c r="E311" s="667">
        <v>40221541</v>
      </c>
      <c r="F311" s="667" t="s">
        <v>454</v>
      </c>
      <c r="G311" s="666">
        <v>2025</v>
      </c>
      <c r="H311" s="668">
        <v>128000</v>
      </c>
      <c r="I311" s="668">
        <v>0</v>
      </c>
      <c r="J311" s="666" t="s">
        <v>465</v>
      </c>
      <c r="K311" s="666" t="s">
        <v>466</v>
      </c>
      <c r="L311" s="666">
        <v>18206</v>
      </c>
    </row>
    <row r="312" spans="1:12" ht="15" x14ac:dyDescent="0.25">
      <c r="A312" s="665">
        <v>1001908660</v>
      </c>
      <c r="B312" s="666" t="s">
        <v>173</v>
      </c>
      <c r="C312" s="666" t="s">
        <v>462</v>
      </c>
      <c r="D312" s="667">
        <v>580327740</v>
      </c>
      <c r="E312" s="667">
        <v>40221541</v>
      </c>
      <c r="F312" s="667" t="s">
        <v>454</v>
      </c>
      <c r="G312" s="666">
        <v>2025</v>
      </c>
      <c r="H312" s="668">
        <v>120000</v>
      </c>
      <c r="I312" s="668">
        <v>0</v>
      </c>
      <c r="J312" s="666" t="s">
        <v>465</v>
      </c>
      <c r="K312" s="666" t="s">
        <v>466</v>
      </c>
      <c r="L312" s="666">
        <v>18206</v>
      </c>
    </row>
    <row r="313" spans="1:12" ht="15" x14ac:dyDescent="0.25">
      <c r="A313" s="665">
        <v>1001908661</v>
      </c>
      <c r="B313" s="666" t="s">
        <v>175</v>
      </c>
      <c r="C313" s="666" t="s">
        <v>462</v>
      </c>
      <c r="D313" s="667">
        <v>580327740</v>
      </c>
      <c r="E313" s="667">
        <v>40221541</v>
      </c>
      <c r="F313" s="667" t="s">
        <v>454</v>
      </c>
      <c r="G313" s="666">
        <v>2025</v>
      </c>
      <c r="H313" s="668">
        <v>130000</v>
      </c>
      <c r="I313" s="668">
        <v>0</v>
      </c>
      <c r="J313" s="666" t="s">
        <v>465</v>
      </c>
      <c r="K313" s="666" t="s">
        <v>466</v>
      </c>
      <c r="L313" s="666">
        <v>18206</v>
      </c>
    </row>
    <row r="314" spans="1:12" ht="15" x14ac:dyDescent="0.25">
      <c r="A314" s="665">
        <v>1001908664</v>
      </c>
      <c r="B314" s="666" t="s">
        <v>388</v>
      </c>
      <c r="C314" s="666" t="s">
        <v>462</v>
      </c>
      <c r="D314" s="667">
        <v>580327740</v>
      </c>
      <c r="E314" s="667">
        <v>40221541</v>
      </c>
      <c r="F314" s="667" t="s">
        <v>454</v>
      </c>
      <c r="G314" s="666">
        <v>2025</v>
      </c>
      <c r="H314" s="668">
        <v>55000</v>
      </c>
      <c r="I314" s="668">
        <v>0</v>
      </c>
      <c r="J314" s="666" t="s">
        <v>465</v>
      </c>
      <c r="K314" s="666" t="s">
        <v>466</v>
      </c>
      <c r="L314" s="666">
        <v>18206</v>
      </c>
    </row>
    <row r="315" spans="1:12" ht="15" x14ac:dyDescent="0.25">
      <c r="A315" s="665">
        <v>1001908665</v>
      </c>
      <c r="B315" s="666" t="s">
        <v>386</v>
      </c>
      <c r="C315" s="666" t="s">
        <v>462</v>
      </c>
      <c r="D315" s="667">
        <v>580327740</v>
      </c>
      <c r="E315" s="667">
        <v>40221541</v>
      </c>
      <c r="F315" s="667" t="s">
        <v>454</v>
      </c>
      <c r="G315" s="666">
        <v>2025</v>
      </c>
      <c r="H315" s="668">
        <v>130000</v>
      </c>
      <c r="I315" s="668">
        <v>0</v>
      </c>
      <c r="J315" s="666" t="s">
        <v>465</v>
      </c>
      <c r="K315" s="666" t="s">
        <v>466</v>
      </c>
      <c r="L315" s="666">
        <v>18206</v>
      </c>
    </row>
    <row r="316" spans="1:12" ht="15" x14ac:dyDescent="0.25">
      <c r="A316" s="665">
        <v>1001908666</v>
      </c>
      <c r="B316" s="666" t="s">
        <v>401</v>
      </c>
      <c r="C316" s="666" t="s">
        <v>462</v>
      </c>
      <c r="D316" s="667">
        <v>580327740</v>
      </c>
      <c r="E316" s="667">
        <v>40221541</v>
      </c>
      <c r="F316" s="667" t="s">
        <v>454</v>
      </c>
      <c r="G316" s="666">
        <v>2025</v>
      </c>
      <c r="H316" s="668">
        <v>65000</v>
      </c>
      <c r="I316" s="668">
        <v>0</v>
      </c>
      <c r="J316" s="666" t="s">
        <v>465</v>
      </c>
      <c r="K316" s="666" t="s">
        <v>466</v>
      </c>
      <c r="L316" s="666">
        <v>18206</v>
      </c>
    </row>
    <row r="317" spans="1:12" ht="15" x14ac:dyDescent="0.25">
      <c r="A317" s="665">
        <v>1001908668</v>
      </c>
      <c r="B317" s="666" t="s">
        <v>171</v>
      </c>
      <c r="C317" s="666" t="s">
        <v>462</v>
      </c>
      <c r="D317" s="667">
        <v>580327740</v>
      </c>
      <c r="E317" s="667">
        <v>40221541</v>
      </c>
      <c r="F317" s="667" t="s">
        <v>454</v>
      </c>
      <c r="G317" s="666">
        <v>2025</v>
      </c>
      <c r="H317" s="668">
        <v>70000</v>
      </c>
      <c r="I317" s="668">
        <v>0</v>
      </c>
      <c r="J317" s="666" t="s">
        <v>465</v>
      </c>
      <c r="K317" s="666" t="s">
        <v>466</v>
      </c>
      <c r="L317" s="666">
        <v>18206</v>
      </c>
    </row>
    <row r="318" spans="1:12" ht="15" x14ac:dyDescent="0.25">
      <c r="A318" s="665">
        <v>1001908681</v>
      </c>
      <c r="B318" s="666" t="s">
        <v>1056</v>
      </c>
      <c r="C318" s="666" t="s">
        <v>462</v>
      </c>
      <c r="D318" s="667">
        <v>580327740</v>
      </c>
      <c r="E318" s="667">
        <v>40221541</v>
      </c>
      <c r="F318" s="667" t="s">
        <v>454</v>
      </c>
      <c r="G318" s="666">
        <v>2025</v>
      </c>
      <c r="H318" s="668">
        <v>90000</v>
      </c>
      <c r="I318" s="668">
        <v>0</v>
      </c>
      <c r="J318" s="666" t="s">
        <v>465</v>
      </c>
      <c r="K318" s="666" t="s">
        <v>466</v>
      </c>
      <c r="L318" s="666">
        <v>18206</v>
      </c>
    </row>
    <row r="319" spans="1:12" ht="15" x14ac:dyDescent="0.25">
      <c r="A319" s="665">
        <v>1001908682</v>
      </c>
      <c r="B319" s="666" t="s">
        <v>168</v>
      </c>
      <c r="C319" s="666" t="s">
        <v>462</v>
      </c>
      <c r="D319" s="667">
        <v>580327740</v>
      </c>
      <c r="E319" s="667">
        <v>40221541</v>
      </c>
      <c r="F319" s="667" t="s">
        <v>454</v>
      </c>
      <c r="G319" s="666">
        <v>2025</v>
      </c>
      <c r="H319" s="668">
        <v>95000</v>
      </c>
      <c r="I319" s="668">
        <v>0</v>
      </c>
      <c r="J319" s="666" t="s">
        <v>465</v>
      </c>
      <c r="K319" s="666" t="s">
        <v>466</v>
      </c>
      <c r="L319" s="666">
        <v>18206</v>
      </c>
    </row>
    <row r="320" spans="1:12" ht="15" x14ac:dyDescent="0.25">
      <c r="A320" s="665">
        <v>1001908683</v>
      </c>
      <c r="B320" s="666" t="s">
        <v>177</v>
      </c>
      <c r="C320" s="666" t="s">
        <v>462</v>
      </c>
      <c r="D320" s="667">
        <v>580327740</v>
      </c>
      <c r="E320" s="667">
        <v>40221541</v>
      </c>
      <c r="F320" s="667" t="s">
        <v>454</v>
      </c>
      <c r="G320" s="666">
        <v>2025</v>
      </c>
      <c r="H320" s="668">
        <v>85000</v>
      </c>
      <c r="I320" s="668">
        <v>0</v>
      </c>
      <c r="J320" s="666" t="s">
        <v>465</v>
      </c>
      <c r="K320" s="666" t="s">
        <v>466</v>
      </c>
      <c r="L320" s="666">
        <v>18206</v>
      </c>
    </row>
    <row r="321" spans="1:12" ht="15" x14ac:dyDescent="0.25">
      <c r="A321" s="665">
        <v>1001908685</v>
      </c>
      <c r="B321" s="666" t="s">
        <v>394</v>
      </c>
      <c r="C321" s="666" t="s">
        <v>462</v>
      </c>
      <c r="D321" s="667">
        <v>580327740</v>
      </c>
      <c r="E321" s="667">
        <v>40221541</v>
      </c>
      <c r="F321" s="667" t="s">
        <v>454</v>
      </c>
      <c r="G321" s="666">
        <v>2025</v>
      </c>
      <c r="H321" s="668">
        <v>85000</v>
      </c>
      <c r="I321" s="668">
        <v>0</v>
      </c>
      <c r="J321" s="666" t="s">
        <v>465</v>
      </c>
      <c r="K321" s="666" t="s">
        <v>466</v>
      </c>
      <c r="L321" s="666">
        <v>18206</v>
      </c>
    </row>
    <row r="322" spans="1:12" ht="15" x14ac:dyDescent="0.25">
      <c r="A322" s="665">
        <v>1001908686</v>
      </c>
      <c r="B322" s="666" t="s">
        <v>405</v>
      </c>
      <c r="C322" s="666" t="s">
        <v>462</v>
      </c>
      <c r="D322" s="667">
        <v>580327740</v>
      </c>
      <c r="E322" s="667">
        <v>40221541</v>
      </c>
      <c r="F322" s="667" t="s">
        <v>454</v>
      </c>
      <c r="G322" s="666">
        <v>2025</v>
      </c>
      <c r="H322" s="668">
        <v>55000</v>
      </c>
      <c r="I322" s="668">
        <v>0</v>
      </c>
      <c r="J322" s="666" t="s">
        <v>465</v>
      </c>
      <c r="K322" s="666" t="s">
        <v>466</v>
      </c>
      <c r="L322" s="666">
        <v>18206</v>
      </c>
    </row>
    <row r="323" spans="1:12" ht="15" x14ac:dyDescent="0.25">
      <c r="A323" s="665">
        <v>1001908687</v>
      </c>
      <c r="B323" s="666" t="s">
        <v>391</v>
      </c>
      <c r="C323" s="666" t="s">
        <v>462</v>
      </c>
      <c r="D323" s="667">
        <v>580327740</v>
      </c>
      <c r="E323" s="667">
        <v>40221541</v>
      </c>
      <c r="F323" s="667" t="s">
        <v>454</v>
      </c>
      <c r="G323" s="666">
        <v>2025</v>
      </c>
      <c r="H323" s="668">
        <v>250000</v>
      </c>
      <c r="I323" s="668">
        <v>0</v>
      </c>
      <c r="J323" s="666" t="s">
        <v>465</v>
      </c>
      <c r="K323" s="666" t="s">
        <v>466</v>
      </c>
      <c r="L323" s="666">
        <v>18206</v>
      </c>
    </row>
    <row r="324" spans="1:12" ht="15" x14ac:dyDescent="0.25">
      <c r="A324" s="665">
        <v>1001908690</v>
      </c>
      <c r="B324" s="666" t="s">
        <v>411</v>
      </c>
      <c r="C324" s="666" t="s">
        <v>462</v>
      </c>
      <c r="D324" s="667">
        <v>580327740</v>
      </c>
      <c r="E324" s="667">
        <v>40221541</v>
      </c>
      <c r="F324" s="667" t="s">
        <v>454</v>
      </c>
      <c r="G324" s="666">
        <v>2025</v>
      </c>
      <c r="H324" s="668">
        <v>60000</v>
      </c>
      <c r="I324" s="668">
        <v>0</v>
      </c>
      <c r="J324" s="666" t="s">
        <v>465</v>
      </c>
      <c r="K324" s="666" t="s">
        <v>466</v>
      </c>
      <c r="L324" s="666">
        <v>18206</v>
      </c>
    </row>
    <row r="325" spans="1:12" ht="15" x14ac:dyDescent="0.25">
      <c r="A325" s="665">
        <v>1001908692</v>
      </c>
      <c r="B325" s="666" t="s">
        <v>169</v>
      </c>
      <c r="C325" s="666" t="s">
        <v>462</v>
      </c>
      <c r="D325" s="667">
        <v>580327740</v>
      </c>
      <c r="E325" s="667">
        <v>40221541</v>
      </c>
      <c r="F325" s="667" t="s">
        <v>454</v>
      </c>
      <c r="G325" s="666">
        <v>2025</v>
      </c>
      <c r="H325" s="668">
        <v>65000</v>
      </c>
      <c r="I325" s="668">
        <v>0</v>
      </c>
      <c r="J325" s="666" t="s">
        <v>465</v>
      </c>
      <c r="K325" s="666" t="s">
        <v>466</v>
      </c>
      <c r="L325" s="666">
        <v>18206</v>
      </c>
    </row>
    <row r="326" spans="1:12" ht="15" x14ac:dyDescent="0.25">
      <c r="A326" s="665">
        <v>1001908693</v>
      </c>
      <c r="B326" s="666" t="s">
        <v>163</v>
      </c>
      <c r="C326" s="666" t="s">
        <v>462</v>
      </c>
      <c r="D326" s="667">
        <v>580327740</v>
      </c>
      <c r="E326" s="667">
        <v>40221541</v>
      </c>
      <c r="F326" s="667" t="s">
        <v>454</v>
      </c>
      <c r="G326" s="666">
        <v>2025</v>
      </c>
      <c r="H326" s="668">
        <v>95000</v>
      </c>
      <c r="I326" s="668">
        <v>0</v>
      </c>
      <c r="J326" s="666" t="s">
        <v>465</v>
      </c>
      <c r="K326" s="666" t="s">
        <v>466</v>
      </c>
      <c r="L326" s="666">
        <v>18206</v>
      </c>
    </row>
    <row r="327" spans="1:12" ht="15" x14ac:dyDescent="0.25">
      <c r="A327" s="665">
        <v>1001908694</v>
      </c>
      <c r="B327" s="666" t="s">
        <v>410</v>
      </c>
      <c r="C327" s="666" t="s">
        <v>462</v>
      </c>
      <c r="D327" s="667">
        <v>580327740</v>
      </c>
      <c r="E327" s="667">
        <v>40221541</v>
      </c>
      <c r="F327" s="667" t="s">
        <v>454</v>
      </c>
      <c r="G327" s="666">
        <v>2025</v>
      </c>
      <c r="H327" s="668">
        <v>50000</v>
      </c>
      <c r="I327" s="668">
        <v>0</v>
      </c>
      <c r="J327" s="666" t="s">
        <v>465</v>
      </c>
      <c r="K327" s="666" t="s">
        <v>466</v>
      </c>
      <c r="L327" s="666">
        <v>18206</v>
      </c>
    </row>
    <row r="328" spans="1:12" ht="15" x14ac:dyDescent="0.25">
      <c r="A328" s="665">
        <v>1001908695</v>
      </c>
      <c r="B328" s="666" t="s">
        <v>404</v>
      </c>
      <c r="C328" s="666" t="s">
        <v>462</v>
      </c>
      <c r="D328" s="667">
        <v>580327740</v>
      </c>
      <c r="E328" s="667">
        <v>40221541</v>
      </c>
      <c r="F328" s="667" t="s">
        <v>454</v>
      </c>
      <c r="G328" s="666">
        <v>2025</v>
      </c>
      <c r="H328" s="668">
        <v>50000</v>
      </c>
      <c r="I328" s="668">
        <v>0</v>
      </c>
      <c r="J328" s="666" t="s">
        <v>465</v>
      </c>
      <c r="K328" s="666" t="s">
        <v>466</v>
      </c>
      <c r="L328" s="666">
        <v>18206</v>
      </c>
    </row>
    <row r="329" spans="1:12" ht="15" x14ac:dyDescent="0.25">
      <c r="A329" s="665">
        <v>1001908697</v>
      </c>
      <c r="B329" s="666" t="s">
        <v>409</v>
      </c>
      <c r="C329" s="666" t="s">
        <v>462</v>
      </c>
      <c r="D329" s="667">
        <v>580327740</v>
      </c>
      <c r="E329" s="667">
        <v>40221541</v>
      </c>
      <c r="F329" s="667" t="s">
        <v>454</v>
      </c>
      <c r="G329" s="666">
        <v>2025</v>
      </c>
      <c r="H329" s="668">
        <v>50000</v>
      </c>
      <c r="I329" s="668">
        <v>0</v>
      </c>
      <c r="J329" s="666" t="s">
        <v>465</v>
      </c>
      <c r="K329" s="666" t="s">
        <v>466</v>
      </c>
      <c r="L329" s="666">
        <v>18206</v>
      </c>
    </row>
    <row r="330" spans="1:12" ht="15" x14ac:dyDescent="0.25">
      <c r="A330" s="665">
        <v>1001908699</v>
      </c>
      <c r="B330" s="666" t="s">
        <v>1057</v>
      </c>
      <c r="C330" s="666" t="s">
        <v>462</v>
      </c>
      <c r="D330" s="667">
        <v>580327740</v>
      </c>
      <c r="E330" s="667">
        <v>40221541</v>
      </c>
      <c r="F330" s="667" t="s">
        <v>454</v>
      </c>
      <c r="G330" s="666">
        <v>2025</v>
      </c>
      <c r="H330" s="668">
        <v>75000</v>
      </c>
      <c r="I330" s="668">
        <v>0</v>
      </c>
      <c r="J330" s="666" t="s">
        <v>465</v>
      </c>
      <c r="K330" s="666" t="s">
        <v>466</v>
      </c>
      <c r="L330" s="666">
        <v>18206</v>
      </c>
    </row>
    <row r="331" spans="1:12" s="466" customFormat="1" ht="15" x14ac:dyDescent="0.25">
      <c r="A331" s="467">
        <v>1001908768</v>
      </c>
      <c r="B331" s="468" t="s">
        <v>1058</v>
      </c>
      <c r="C331" s="468" t="s">
        <v>462</v>
      </c>
      <c r="D331" s="470">
        <v>500250006</v>
      </c>
      <c r="E331" s="470">
        <v>20000201</v>
      </c>
      <c r="F331" s="470" t="s">
        <v>457</v>
      </c>
      <c r="G331" s="468">
        <v>2025</v>
      </c>
      <c r="H331" s="469">
        <v>100000</v>
      </c>
      <c r="I331" s="469">
        <v>0</v>
      </c>
      <c r="J331" s="468" t="s">
        <v>465</v>
      </c>
      <c r="K331" s="468" t="s">
        <v>466</v>
      </c>
      <c r="L331" s="468">
        <v>18211</v>
      </c>
    </row>
    <row r="332" spans="1:12" s="466" customFormat="1" ht="15" x14ac:dyDescent="0.25">
      <c r="A332" s="467">
        <v>1001908934</v>
      </c>
      <c r="B332" s="468" t="s">
        <v>583</v>
      </c>
      <c r="C332" s="468" t="s">
        <v>462</v>
      </c>
      <c r="D332" s="470">
        <v>580547602</v>
      </c>
      <c r="E332" s="470">
        <v>40996069</v>
      </c>
      <c r="F332" s="470" t="s">
        <v>483</v>
      </c>
      <c r="G332" s="468">
        <v>2025</v>
      </c>
      <c r="H332" s="469">
        <v>110000</v>
      </c>
      <c r="I332" s="469">
        <v>0</v>
      </c>
      <c r="J332" s="468" t="s">
        <v>465</v>
      </c>
      <c r="K332" s="468" t="s">
        <v>466</v>
      </c>
      <c r="L332" s="468">
        <v>18208</v>
      </c>
    </row>
    <row r="333" spans="1:12" s="466" customFormat="1" ht="15" x14ac:dyDescent="0.25">
      <c r="A333" s="467">
        <v>1001909219</v>
      </c>
      <c r="B333" s="468" t="s">
        <v>474</v>
      </c>
      <c r="C333" s="468" t="s">
        <v>462</v>
      </c>
      <c r="D333" s="470">
        <v>510145022</v>
      </c>
      <c r="E333" s="470">
        <v>40000252</v>
      </c>
      <c r="F333" s="470" t="s">
        <v>473</v>
      </c>
      <c r="G333" s="468">
        <v>2025</v>
      </c>
      <c r="H333" s="469">
        <v>320000</v>
      </c>
      <c r="I333" s="469">
        <v>0</v>
      </c>
      <c r="J333" s="468" t="s">
        <v>465</v>
      </c>
      <c r="K333" s="468" t="s">
        <v>466</v>
      </c>
      <c r="L333" s="468">
        <v>18208</v>
      </c>
    </row>
    <row r="334" spans="1:12" s="466" customFormat="1" ht="15" x14ac:dyDescent="0.25">
      <c r="A334" s="467">
        <v>1001909285</v>
      </c>
      <c r="B334" s="468" t="s">
        <v>1059</v>
      </c>
      <c r="C334" s="468" t="s">
        <v>462</v>
      </c>
      <c r="D334" s="470">
        <v>510145022</v>
      </c>
      <c r="E334" s="470">
        <v>40000252</v>
      </c>
      <c r="F334" s="470" t="s">
        <v>473</v>
      </c>
      <c r="G334" s="468">
        <v>2025</v>
      </c>
      <c r="H334" s="469">
        <v>69000</v>
      </c>
      <c r="I334" s="469">
        <v>0</v>
      </c>
      <c r="J334" s="468" t="s">
        <v>465</v>
      </c>
      <c r="K334" s="468" t="s">
        <v>466</v>
      </c>
      <c r="L334" s="468">
        <v>18208</v>
      </c>
    </row>
    <row r="335" spans="1:12" s="466" customFormat="1" ht="15" x14ac:dyDescent="0.25">
      <c r="A335" s="467">
        <v>1001909290</v>
      </c>
      <c r="B335" s="468" t="s">
        <v>1060</v>
      </c>
      <c r="C335" s="468" t="s">
        <v>462</v>
      </c>
      <c r="D335" s="470">
        <v>510145022</v>
      </c>
      <c r="E335" s="470">
        <v>40000252</v>
      </c>
      <c r="F335" s="470" t="s">
        <v>473</v>
      </c>
      <c r="G335" s="468">
        <v>2025</v>
      </c>
      <c r="H335" s="469">
        <v>60000</v>
      </c>
      <c r="I335" s="469">
        <v>0</v>
      </c>
      <c r="J335" s="468" t="s">
        <v>465</v>
      </c>
      <c r="K335" s="468" t="s">
        <v>466</v>
      </c>
      <c r="L335" s="468">
        <v>18208</v>
      </c>
    </row>
    <row r="336" spans="1:12" s="466" customFormat="1" ht="15" x14ac:dyDescent="0.25">
      <c r="A336" s="467">
        <v>1001909340</v>
      </c>
      <c r="B336" s="468" t="s">
        <v>1061</v>
      </c>
      <c r="C336" s="468" t="s">
        <v>462</v>
      </c>
      <c r="D336" s="470">
        <v>580586808</v>
      </c>
      <c r="E336" s="470">
        <v>41482886</v>
      </c>
      <c r="F336" s="470" t="s">
        <v>532</v>
      </c>
      <c r="G336" s="468">
        <v>2025</v>
      </c>
      <c r="H336" s="469">
        <v>100000</v>
      </c>
      <c r="I336" s="469">
        <v>0</v>
      </c>
      <c r="J336" s="468" t="s">
        <v>465</v>
      </c>
      <c r="K336" s="468" t="s">
        <v>466</v>
      </c>
      <c r="L336" s="468">
        <v>18208</v>
      </c>
    </row>
    <row r="337" spans="1:12" s="466" customFormat="1" ht="15" x14ac:dyDescent="0.25">
      <c r="A337" s="467">
        <v>1001910197</v>
      </c>
      <c r="B337" s="468" t="s">
        <v>1062</v>
      </c>
      <c r="C337" s="468" t="s">
        <v>462</v>
      </c>
      <c r="D337" s="470">
        <v>580540722</v>
      </c>
      <c r="E337" s="470">
        <v>42741666</v>
      </c>
      <c r="F337" s="470" t="s">
        <v>675</v>
      </c>
      <c r="G337" s="468">
        <v>2025</v>
      </c>
      <c r="H337" s="469">
        <v>152000</v>
      </c>
      <c r="I337" s="469">
        <v>0</v>
      </c>
      <c r="J337" s="468" t="s">
        <v>465</v>
      </c>
      <c r="K337" s="468" t="s">
        <v>466</v>
      </c>
      <c r="L337" s="468">
        <v>18208</v>
      </c>
    </row>
    <row r="338" spans="1:12" ht="15" x14ac:dyDescent="0.25">
      <c r="A338" s="665">
        <v>1001910307</v>
      </c>
      <c r="B338" s="666" t="s">
        <v>1063</v>
      </c>
      <c r="C338" s="666" t="s">
        <v>462</v>
      </c>
      <c r="D338" s="667">
        <v>580637940</v>
      </c>
      <c r="E338" s="667">
        <v>41964624</v>
      </c>
      <c r="F338" s="667" t="s">
        <v>503</v>
      </c>
      <c r="G338" s="666">
        <v>2025</v>
      </c>
      <c r="H338" s="668">
        <v>500000</v>
      </c>
      <c r="I338" s="668">
        <v>0</v>
      </c>
      <c r="J338" s="666" t="s">
        <v>465</v>
      </c>
      <c r="K338" s="666" t="s">
        <v>466</v>
      </c>
      <c r="L338" s="666">
        <v>18206</v>
      </c>
    </row>
    <row r="339" spans="1:12" s="466" customFormat="1" ht="15" x14ac:dyDescent="0.25">
      <c r="A339" s="467">
        <v>1001910324</v>
      </c>
      <c r="B339" s="468" t="s">
        <v>576</v>
      </c>
      <c r="C339" s="468" t="s">
        <v>462</v>
      </c>
      <c r="D339" s="470">
        <v>580574325</v>
      </c>
      <c r="E339" s="470">
        <v>41375155</v>
      </c>
      <c r="F339" s="470" t="s">
        <v>543</v>
      </c>
      <c r="G339" s="468">
        <v>2025</v>
      </c>
      <c r="H339" s="469">
        <v>70000</v>
      </c>
      <c r="I339" s="469">
        <v>0</v>
      </c>
      <c r="J339" s="468" t="s">
        <v>465</v>
      </c>
      <c r="K339" s="468" t="s">
        <v>466</v>
      </c>
      <c r="L339" s="468">
        <v>18208</v>
      </c>
    </row>
    <row r="340" spans="1:12" ht="15" x14ac:dyDescent="0.25">
      <c r="A340" s="665">
        <v>1001910564</v>
      </c>
      <c r="B340" s="666" t="s">
        <v>424</v>
      </c>
      <c r="C340" s="666" t="s">
        <v>462</v>
      </c>
      <c r="D340" s="667">
        <v>580327740</v>
      </c>
      <c r="E340" s="667">
        <v>40221541</v>
      </c>
      <c r="F340" s="667" t="s">
        <v>454</v>
      </c>
      <c r="G340" s="666">
        <v>2025</v>
      </c>
      <c r="H340" s="668">
        <v>45000</v>
      </c>
      <c r="I340" s="668">
        <v>0</v>
      </c>
      <c r="J340" s="666" t="s">
        <v>465</v>
      </c>
      <c r="K340" s="666" t="s">
        <v>466</v>
      </c>
      <c r="L340" s="666">
        <v>18206</v>
      </c>
    </row>
    <row r="341" spans="1:12" s="466" customFormat="1" ht="15" x14ac:dyDescent="0.25">
      <c r="A341" s="467">
        <v>1001910565</v>
      </c>
      <c r="B341" s="468" t="s">
        <v>504</v>
      </c>
      <c r="C341" s="468" t="s">
        <v>462</v>
      </c>
      <c r="D341" s="470">
        <v>580327740</v>
      </c>
      <c r="E341" s="470">
        <v>40221541</v>
      </c>
      <c r="F341" s="470" t="s">
        <v>454</v>
      </c>
      <c r="G341" s="468">
        <v>2025</v>
      </c>
      <c r="H341" s="469">
        <v>55000</v>
      </c>
      <c r="I341" s="469">
        <v>0</v>
      </c>
      <c r="J341" s="468" t="s">
        <v>465</v>
      </c>
      <c r="K341" s="468" t="s">
        <v>466</v>
      </c>
      <c r="L341" s="468">
        <v>18208</v>
      </c>
    </row>
    <row r="342" spans="1:12" s="466" customFormat="1" ht="15" x14ac:dyDescent="0.25">
      <c r="A342" s="467">
        <v>1001910567</v>
      </c>
      <c r="B342" s="468" t="s">
        <v>505</v>
      </c>
      <c r="C342" s="468" t="s">
        <v>462</v>
      </c>
      <c r="D342" s="470">
        <v>580327740</v>
      </c>
      <c r="E342" s="470">
        <v>40221541</v>
      </c>
      <c r="F342" s="470" t="s">
        <v>454</v>
      </c>
      <c r="G342" s="468">
        <v>2025</v>
      </c>
      <c r="H342" s="469">
        <v>50000</v>
      </c>
      <c r="I342" s="469">
        <v>0</v>
      </c>
      <c r="J342" s="468" t="s">
        <v>465</v>
      </c>
      <c r="K342" s="468" t="s">
        <v>466</v>
      </c>
      <c r="L342" s="468">
        <v>18208</v>
      </c>
    </row>
    <row r="343" spans="1:12" s="466" customFormat="1" ht="15" x14ac:dyDescent="0.25">
      <c r="A343" s="467">
        <v>1001910568</v>
      </c>
      <c r="B343" s="468" t="s">
        <v>507</v>
      </c>
      <c r="C343" s="468" t="s">
        <v>462</v>
      </c>
      <c r="D343" s="470">
        <v>580327740</v>
      </c>
      <c r="E343" s="470">
        <v>40221541</v>
      </c>
      <c r="F343" s="470" t="s">
        <v>454</v>
      </c>
      <c r="G343" s="468">
        <v>2025</v>
      </c>
      <c r="H343" s="469">
        <v>55000</v>
      </c>
      <c r="I343" s="469">
        <v>0</v>
      </c>
      <c r="J343" s="468" t="s">
        <v>465</v>
      </c>
      <c r="K343" s="468" t="s">
        <v>466</v>
      </c>
      <c r="L343" s="468">
        <v>18208</v>
      </c>
    </row>
    <row r="344" spans="1:12" s="466" customFormat="1" ht="15" x14ac:dyDescent="0.25">
      <c r="A344" s="467">
        <v>1001910569</v>
      </c>
      <c r="B344" s="468" t="s">
        <v>611</v>
      </c>
      <c r="C344" s="468" t="s">
        <v>462</v>
      </c>
      <c r="D344" s="470">
        <v>580327740</v>
      </c>
      <c r="E344" s="470">
        <v>40221541</v>
      </c>
      <c r="F344" s="470" t="s">
        <v>454</v>
      </c>
      <c r="G344" s="468">
        <v>2025</v>
      </c>
      <c r="H344" s="469">
        <v>45000</v>
      </c>
      <c r="I344" s="469">
        <v>0</v>
      </c>
      <c r="J344" s="468" t="s">
        <v>465</v>
      </c>
      <c r="K344" s="468" t="s">
        <v>466</v>
      </c>
      <c r="L344" s="468">
        <v>18208</v>
      </c>
    </row>
    <row r="345" spans="1:12" s="466" customFormat="1" ht="15" x14ac:dyDescent="0.25">
      <c r="A345" s="467">
        <v>1001910571</v>
      </c>
      <c r="B345" s="468" t="s">
        <v>506</v>
      </c>
      <c r="C345" s="468" t="s">
        <v>462</v>
      </c>
      <c r="D345" s="470">
        <v>580327740</v>
      </c>
      <c r="E345" s="470">
        <v>40221541</v>
      </c>
      <c r="F345" s="470" t="s">
        <v>454</v>
      </c>
      <c r="G345" s="468">
        <v>2025</v>
      </c>
      <c r="H345" s="469">
        <v>50000</v>
      </c>
      <c r="I345" s="469">
        <v>0</v>
      </c>
      <c r="J345" s="468" t="s">
        <v>465</v>
      </c>
      <c r="K345" s="468" t="s">
        <v>466</v>
      </c>
      <c r="L345" s="468">
        <v>18208</v>
      </c>
    </row>
    <row r="346" spans="1:12" s="466" customFormat="1" ht="15" x14ac:dyDescent="0.25">
      <c r="A346" s="467">
        <v>1001910710</v>
      </c>
      <c r="B346" s="468" t="s">
        <v>614</v>
      </c>
      <c r="C346" s="468" t="s">
        <v>462</v>
      </c>
      <c r="D346" s="470">
        <v>580327740</v>
      </c>
      <c r="E346" s="470">
        <v>40221541</v>
      </c>
      <c r="F346" s="470" t="s">
        <v>454</v>
      </c>
      <c r="G346" s="468">
        <v>2025</v>
      </c>
      <c r="H346" s="469">
        <v>320000</v>
      </c>
      <c r="I346" s="469">
        <v>0</v>
      </c>
      <c r="J346" s="468" t="s">
        <v>465</v>
      </c>
      <c r="K346" s="468" t="s">
        <v>466</v>
      </c>
      <c r="L346" s="468">
        <v>18207</v>
      </c>
    </row>
    <row r="347" spans="1:12" s="466" customFormat="1" ht="15" x14ac:dyDescent="0.25">
      <c r="A347" s="467">
        <v>1001910713</v>
      </c>
      <c r="B347" s="468" t="s">
        <v>1064</v>
      </c>
      <c r="C347" s="468" t="s">
        <v>462</v>
      </c>
      <c r="D347" s="470">
        <v>580495976</v>
      </c>
      <c r="E347" s="470">
        <v>40462864</v>
      </c>
      <c r="F347" s="470" t="s">
        <v>471</v>
      </c>
      <c r="G347" s="468">
        <v>2025</v>
      </c>
      <c r="H347" s="469">
        <v>100000</v>
      </c>
      <c r="I347" s="469">
        <v>0</v>
      </c>
      <c r="J347" s="468" t="s">
        <v>465</v>
      </c>
      <c r="K347" s="468" t="s">
        <v>466</v>
      </c>
      <c r="L347" s="468">
        <v>18208</v>
      </c>
    </row>
    <row r="348" spans="1:12" s="466" customFormat="1" ht="15" x14ac:dyDescent="0.25">
      <c r="A348" s="467">
        <v>1001910743</v>
      </c>
      <c r="B348" s="468" t="s">
        <v>1065</v>
      </c>
      <c r="C348" s="468" t="s">
        <v>462</v>
      </c>
      <c r="D348" s="470">
        <v>580222545</v>
      </c>
      <c r="E348" s="470">
        <v>40216045</v>
      </c>
      <c r="F348" s="470" t="s">
        <v>499</v>
      </c>
      <c r="G348" s="468">
        <v>2025</v>
      </c>
      <c r="H348" s="469">
        <v>200000</v>
      </c>
      <c r="I348" s="469">
        <v>0</v>
      </c>
      <c r="J348" s="468" t="s">
        <v>465</v>
      </c>
      <c r="K348" s="468" t="s">
        <v>466</v>
      </c>
      <c r="L348" s="468">
        <v>18208</v>
      </c>
    </row>
    <row r="349" spans="1:12" s="466" customFormat="1" ht="15" x14ac:dyDescent="0.25">
      <c r="A349" s="467">
        <v>1001910901</v>
      </c>
      <c r="B349" s="468" t="s">
        <v>1066</v>
      </c>
      <c r="C349" s="468" t="s">
        <v>462</v>
      </c>
      <c r="D349" s="470">
        <v>580504348</v>
      </c>
      <c r="E349" s="470">
        <v>40995941</v>
      </c>
      <c r="F349" s="470" t="s">
        <v>1067</v>
      </c>
      <c r="G349" s="468">
        <v>2025</v>
      </c>
      <c r="H349" s="469">
        <v>360000</v>
      </c>
      <c r="I349" s="469">
        <v>0</v>
      </c>
      <c r="J349" s="468" t="s">
        <v>465</v>
      </c>
      <c r="K349" s="468" t="s">
        <v>466</v>
      </c>
      <c r="L349" s="468">
        <v>18208</v>
      </c>
    </row>
    <row r="350" spans="1:12" s="466" customFormat="1" ht="15" x14ac:dyDescent="0.25">
      <c r="A350" s="467">
        <v>1001910928</v>
      </c>
      <c r="B350" s="468" t="s">
        <v>1068</v>
      </c>
      <c r="C350" s="468" t="s">
        <v>462</v>
      </c>
      <c r="D350" s="470">
        <v>580327740</v>
      </c>
      <c r="E350" s="470">
        <v>40221541</v>
      </c>
      <c r="F350" s="470" t="s">
        <v>454</v>
      </c>
      <c r="G350" s="468">
        <v>2025</v>
      </c>
      <c r="H350" s="469">
        <v>150000</v>
      </c>
      <c r="I350" s="469">
        <v>0</v>
      </c>
      <c r="J350" s="468" t="s">
        <v>465</v>
      </c>
      <c r="K350" s="468" t="s">
        <v>466</v>
      </c>
      <c r="L350" s="468">
        <v>18208</v>
      </c>
    </row>
    <row r="351" spans="1:12" s="466" customFormat="1" ht="15" x14ac:dyDescent="0.25">
      <c r="A351" s="467">
        <v>1001910964</v>
      </c>
      <c r="B351" s="468" t="s">
        <v>1069</v>
      </c>
      <c r="C351" s="468" t="s">
        <v>462</v>
      </c>
      <c r="D351" s="470">
        <v>580660512</v>
      </c>
      <c r="E351" s="470">
        <v>42320623</v>
      </c>
      <c r="F351" s="470" t="s">
        <v>644</v>
      </c>
      <c r="G351" s="468">
        <v>2025</v>
      </c>
      <c r="H351" s="469">
        <v>170000</v>
      </c>
      <c r="I351" s="469">
        <v>0</v>
      </c>
      <c r="J351" s="468" t="s">
        <v>465</v>
      </c>
      <c r="K351" s="468" t="s">
        <v>466</v>
      </c>
      <c r="L351" s="468">
        <v>18208</v>
      </c>
    </row>
    <row r="352" spans="1:12" s="466" customFormat="1" ht="15" x14ac:dyDescent="0.25">
      <c r="A352" s="467">
        <v>1001911069</v>
      </c>
      <c r="B352" s="468" t="s">
        <v>562</v>
      </c>
      <c r="C352" s="468" t="s">
        <v>462</v>
      </c>
      <c r="D352" s="470">
        <v>510651482</v>
      </c>
      <c r="E352" s="470">
        <v>40233029</v>
      </c>
      <c r="F352" s="470" t="s">
        <v>563</v>
      </c>
      <c r="G352" s="468">
        <v>2025</v>
      </c>
      <c r="H352" s="469">
        <v>850000</v>
      </c>
      <c r="I352" s="469">
        <v>0</v>
      </c>
      <c r="J352" s="468" t="s">
        <v>465</v>
      </c>
      <c r="K352" s="468" t="s">
        <v>466</v>
      </c>
      <c r="L352" s="468">
        <v>18207</v>
      </c>
    </row>
    <row r="353" spans="1:12" s="466" customFormat="1" ht="15" x14ac:dyDescent="0.25">
      <c r="A353" s="467">
        <v>1001911113</v>
      </c>
      <c r="B353" s="468" t="s">
        <v>1070</v>
      </c>
      <c r="C353" s="468" t="s">
        <v>952</v>
      </c>
      <c r="D353" s="470">
        <v>510651482</v>
      </c>
      <c r="E353" s="470">
        <v>40233029</v>
      </c>
      <c r="F353" s="470" t="s">
        <v>563</v>
      </c>
      <c r="G353" s="468">
        <v>2025</v>
      </c>
      <c r="H353" s="469">
        <v>48000</v>
      </c>
      <c r="I353" s="469">
        <v>0</v>
      </c>
      <c r="J353" s="468" t="s">
        <v>465</v>
      </c>
      <c r="K353" s="468" t="s">
        <v>466</v>
      </c>
      <c r="L353" s="468">
        <v>18208</v>
      </c>
    </row>
    <row r="354" spans="1:12" s="466" customFormat="1" ht="15" x14ac:dyDescent="0.25">
      <c r="A354" s="467">
        <v>1001911114</v>
      </c>
      <c r="B354" s="468" t="s">
        <v>1070</v>
      </c>
      <c r="C354" s="468" t="s">
        <v>462</v>
      </c>
      <c r="D354" s="470">
        <v>510651482</v>
      </c>
      <c r="E354" s="470">
        <v>40233029</v>
      </c>
      <c r="F354" s="470" t="s">
        <v>563</v>
      </c>
      <c r="G354" s="468">
        <v>2025</v>
      </c>
      <c r="H354" s="469">
        <v>48000</v>
      </c>
      <c r="I354" s="469">
        <v>0</v>
      </c>
      <c r="J354" s="468" t="s">
        <v>465</v>
      </c>
      <c r="K354" s="468" t="s">
        <v>466</v>
      </c>
      <c r="L354" s="468">
        <v>18208</v>
      </c>
    </row>
    <row r="355" spans="1:12" s="466" customFormat="1" ht="15" x14ac:dyDescent="0.25">
      <c r="A355" s="467">
        <v>1001911120</v>
      </c>
      <c r="B355" s="468" t="s">
        <v>1071</v>
      </c>
      <c r="C355" s="468" t="s">
        <v>462</v>
      </c>
      <c r="D355" s="470">
        <v>510651482</v>
      </c>
      <c r="E355" s="470">
        <v>40233029</v>
      </c>
      <c r="F355" s="470" t="s">
        <v>563</v>
      </c>
      <c r="G355" s="468">
        <v>2025</v>
      </c>
      <c r="H355" s="469">
        <v>55000</v>
      </c>
      <c r="I355" s="469">
        <v>0</v>
      </c>
      <c r="J355" s="468" t="s">
        <v>465</v>
      </c>
      <c r="K355" s="468" t="s">
        <v>466</v>
      </c>
      <c r="L355" s="468">
        <v>18208</v>
      </c>
    </row>
    <row r="356" spans="1:12" s="466" customFormat="1" ht="15" x14ac:dyDescent="0.25">
      <c r="A356" s="467">
        <v>1001911371</v>
      </c>
      <c r="B356" s="468" t="s">
        <v>1072</v>
      </c>
      <c r="C356" s="468" t="s">
        <v>462</v>
      </c>
      <c r="D356" s="470">
        <v>500290002</v>
      </c>
      <c r="E356" s="470">
        <v>20000254</v>
      </c>
      <c r="F356" s="470" t="s">
        <v>1073</v>
      </c>
      <c r="G356" s="468">
        <v>2025</v>
      </c>
      <c r="H356" s="469">
        <v>955000</v>
      </c>
      <c r="I356" s="469">
        <v>0</v>
      </c>
      <c r="J356" s="468" t="s">
        <v>465</v>
      </c>
      <c r="K356" s="468" t="s">
        <v>466</v>
      </c>
      <c r="L356" s="468">
        <v>18210</v>
      </c>
    </row>
    <row r="357" spans="1:12" s="466" customFormat="1" ht="15" x14ac:dyDescent="0.25">
      <c r="A357" s="467">
        <v>1001911386</v>
      </c>
      <c r="B357" s="468" t="s">
        <v>1074</v>
      </c>
      <c r="C357" s="468" t="s">
        <v>462</v>
      </c>
      <c r="D357" s="470">
        <v>580323863</v>
      </c>
      <c r="E357" s="470">
        <v>40216066</v>
      </c>
      <c r="F357" s="470" t="s">
        <v>544</v>
      </c>
      <c r="G357" s="468">
        <v>2025</v>
      </c>
      <c r="H357" s="469">
        <v>80000</v>
      </c>
      <c r="I357" s="469">
        <v>0</v>
      </c>
      <c r="J357" s="468" t="s">
        <v>465</v>
      </c>
      <c r="K357" s="468" t="s">
        <v>466</v>
      </c>
      <c r="L357" s="468">
        <v>18208</v>
      </c>
    </row>
    <row r="358" spans="1:12" ht="15" x14ac:dyDescent="0.25">
      <c r="A358" s="665">
        <v>1001911726</v>
      </c>
      <c r="B358" s="666" t="s">
        <v>1075</v>
      </c>
      <c r="C358" s="666" t="s">
        <v>462</v>
      </c>
      <c r="D358" s="667">
        <v>580485340</v>
      </c>
      <c r="E358" s="667">
        <v>42759321</v>
      </c>
      <c r="F358" s="667" t="s">
        <v>671</v>
      </c>
      <c r="G358" s="666">
        <v>2025</v>
      </c>
      <c r="H358" s="668">
        <v>60000</v>
      </c>
      <c r="I358" s="668">
        <v>0</v>
      </c>
      <c r="J358" s="666" t="s">
        <v>465</v>
      </c>
      <c r="K358" s="666" t="s">
        <v>466</v>
      </c>
      <c r="L358" s="666">
        <v>18206</v>
      </c>
    </row>
    <row r="359" spans="1:12" ht="15" x14ac:dyDescent="0.25">
      <c r="A359" s="665">
        <v>1001912839</v>
      </c>
      <c r="B359" s="666" t="s">
        <v>396</v>
      </c>
      <c r="C359" s="666" t="s">
        <v>462</v>
      </c>
      <c r="D359" s="667">
        <v>580023968</v>
      </c>
      <c r="E359" s="667">
        <v>40000076</v>
      </c>
      <c r="F359" s="667" t="s">
        <v>395</v>
      </c>
      <c r="G359" s="666">
        <v>2025</v>
      </c>
      <c r="H359" s="668">
        <v>60000</v>
      </c>
      <c r="I359" s="668">
        <v>0</v>
      </c>
      <c r="J359" s="666" t="s">
        <v>465</v>
      </c>
      <c r="K359" s="666" t="s">
        <v>466</v>
      </c>
      <c r="L359" s="666">
        <v>18206</v>
      </c>
    </row>
    <row r="360" spans="1:12" s="466" customFormat="1" ht="15" x14ac:dyDescent="0.25">
      <c r="A360" s="467">
        <v>1001913587</v>
      </c>
      <c r="B360" s="468" t="s">
        <v>560</v>
      </c>
      <c r="C360" s="468" t="s">
        <v>462</v>
      </c>
      <c r="D360" s="470">
        <v>513377457</v>
      </c>
      <c r="E360" s="470">
        <v>40474818</v>
      </c>
      <c r="F360" s="470" t="s">
        <v>561</v>
      </c>
      <c r="G360" s="468">
        <v>2025</v>
      </c>
      <c r="H360" s="469">
        <v>150000</v>
      </c>
      <c r="I360" s="469">
        <v>0</v>
      </c>
      <c r="J360" s="468" t="s">
        <v>465</v>
      </c>
      <c r="K360" s="468" t="s">
        <v>466</v>
      </c>
      <c r="L360" s="468">
        <v>18208</v>
      </c>
    </row>
    <row r="361" spans="1:12" s="466" customFormat="1" ht="15" x14ac:dyDescent="0.25">
      <c r="A361" s="467">
        <v>1001801571</v>
      </c>
      <c r="B361" s="468" t="s">
        <v>674</v>
      </c>
      <c r="C361" s="468" t="s">
        <v>448</v>
      </c>
      <c r="D361" s="470">
        <v>580540722</v>
      </c>
      <c r="E361" s="470">
        <v>42741666</v>
      </c>
      <c r="F361" s="470" t="s">
        <v>675</v>
      </c>
      <c r="G361" s="468">
        <v>2024</v>
      </c>
      <c r="H361" s="469">
        <v>200000</v>
      </c>
      <c r="I361" s="469">
        <v>42793</v>
      </c>
      <c r="J361" s="468" t="s">
        <v>465</v>
      </c>
      <c r="K361" s="468" t="s">
        <v>466</v>
      </c>
      <c r="L361" s="468"/>
    </row>
    <row r="362" spans="1:12" ht="15" x14ac:dyDescent="0.25">
      <c r="A362" s="665"/>
      <c r="B362" s="666"/>
      <c r="C362" s="666"/>
      <c r="D362" s="667"/>
      <c r="E362" s="667"/>
      <c r="F362" s="667"/>
      <c r="G362" s="666"/>
      <c r="H362" s="668"/>
      <c r="I362" s="668"/>
      <c r="J362" s="666"/>
      <c r="K362" s="666"/>
      <c r="L362" s="666"/>
    </row>
    <row r="363" spans="1:12" ht="15" x14ac:dyDescent="0.25">
      <c r="A363" s="665"/>
      <c r="B363" s="666"/>
      <c r="C363" s="666"/>
      <c r="D363" s="667"/>
      <c r="E363" s="667"/>
      <c r="F363" s="667"/>
      <c r="G363" s="666"/>
      <c r="H363" s="668"/>
      <c r="I363" s="668"/>
      <c r="J363" s="666"/>
      <c r="K363" s="666"/>
      <c r="L363" s="666"/>
    </row>
    <row r="364" spans="1:12" ht="15" x14ac:dyDescent="0.25">
      <c r="A364" s="665"/>
      <c r="B364" s="666"/>
      <c r="C364" s="666"/>
      <c r="D364" s="667"/>
      <c r="E364" s="667"/>
      <c r="F364" s="667"/>
      <c r="G364" s="666"/>
      <c r="H364" s="668"/>
      <c r="I364" s="668"/>
      <c r="J364" s="666"/>
      <c r="K364" s="666"/>
      <c r="L364" s="666"/>
    </row>
    <row r="365" spans="1:12" ht="15" x14ac:dyDescent="0.25">
      <c r="A365" s="665"/>
      <c r="B365" s="666"/>
      <c r="C365" s="666"/>
      <c r="D365" s="667"/>
      <c r="E365" s="667"/>
      <c r="F365" s="667"/>
      <c r="G365" s="666"/>
      <c r="H365" s="668"/>
      <c r="I365" s="668"/>
      <c r="J365" s="666"/>
      <c r="K365" s="666"/>
      <c r="L365" s="666"/>
    </row>
    <row r="366" spans="1:12" ht="15" x14ac:dyDescent="0.25">
      <c r="A366" s="665"/>
      <c r="B366" s="666"/>
      <c r="C366" s="666"/>
      <c r="D366" s="667"/>
      <c r="E366" s="667"/>
      <c r="F366" s="667"/>
      <c r="G366" s="666"/>
      <c r="H366" s="668"/>
      <c r="I366" s="668"/>
      <c r="J366" s="666"/>
      <c r="K366" s="666"/>
      <c r="L366" s="666"/>
    </row>
    <row r="367" spans="1:12" ht="15" x14ac:dyDescent="0.25">
      <c r="A367" s="665"/>
      <c r="B367" s="666"/>
      <c r="C367" s="666"/>
      <c r="D367" s="667"/>
      <c r="E367" s="667"/>
      <c r="F367" s="667"/>
      <c r="G367" s="666"/>
      <c r="H367" s="668"/>
      <c r="I367" s="668"/>
      <c r="J367" s="666"/>
      <c r="K367" s="666"/>
      <c r="L367" s="666"/>
    </row>
    <row r="368" spans="1:12" ht="15" x14ac:dyDescent="0.25">
      <c r="A368" s="665"/>
      <c r="B368" s="666"/>
      <c r="C368" s="666"/>
      <c r="D368" s="667"/>
      <c r="E368" s="667"/>
      <c r="F368" s="667"/>
      <c r="G368" s="666"/>
      <c r="H368" s="668"/>
      <c r="I368" s="668"/>
      <c r="J368" s="666"/>
      <c r="K368" s="666"/>
      <c r="L368" s="666"/>
    </row>
    <row r="369" spans="1:12" ht="15" x14ac:dyDescent="0.25">
      <c r="A369" s="665"/>
      <c r="B369" s="666"/>
      <c r="C369" s="666"/>
      <c r="D369" s="667"/>
      <c r="E369" s="667"/>
      <c r="F369" s="667"/>
      <c r="G369" s="666"/>
      <c r="H369" s="668"/>
      <c r="I369" s="668"/>
      <c r="J369" s="666"/>
      <c r="K369" s="666"/>
      <c r="L369" s="666"/>
    </row>
    <row r="370" spans="1:12" ht="15" x14ac:dyDescent="0.25">
      <c r="A370" s="665"/>
      <c r="B370" s="666"/>
      <c r="C370" s="666"/>
      <c r="D370" s="667"/>
      <c r="E370" s="667"/>
      <c r="F370" s="667"/>
      <c r="G370" s="666"/>
      <c r="H370" s="668"/>
      <c r="I370" s="668"/>
      <c r="J370" s="666"/>
      <c r="K370" s="666"/>
      <c r="L370" s="666"/>
    </row>
    <row r="371" spans="1:12" ht="15" x14ac:dyDescent="0.25">
      <c r="A371" s="665"/>
      <c r="B371" s="666"/>
      <c r="C371" s="666"/>
      <c r="D371" s="667"/>
      <c r="E371" s="667"/>
      <c r="F371" s="667"/>
      <c r="G371" s="666"/>
      <c r="H371" s="668"/>
      <c r="I371" s="668"/>
      <c r="J371" s="666"/>
      <c r="K371" s="666"/>
      <c r="L371" s="666"/>
    </row>
    <row r="372" spans="1:12" ht="15" x14ac:dyDescent="0.25">
      <c r="A372" s="665"/>
      <c r="B372" s="666"/>
      <c r="C372" s="666"/>
      <c r="D372" s="667"/>
      <c r="E372" s="667"/>
      <c r="F372" s="667"/>
      <c r="G372" s="666"/>
      <c r="H372" s="668"/>
      <c r="I372" s="668"/>
      <c r="J372" s="666"/>
      <c r="K372" s="666"/>
      <c r="L372" s="666"/>
    </row>
    <row r="373" spans="1:12" ht="15" x14ac:dyDescent="0.25">
      <c r="A373" s="665"/>
      <c r="B373" s="666"/>
      <c r="C373" s="666"/>
      <c r="D373" s="667"/>
      <c r="E373" s="667"/>
      <c r="F373" s="667"/>
      <c r="G373" s="666"/>
      <c r="H373" s="668"/>
      <c r="I373" s="668"/>
      <c r="J373" s="666"/>
      <c r="K373" s="666"/>
      <c r="L373" s="666"/>
    </row>
    <row r="374" spans="1:12" ht="15" x14ac:dyDescent="0.25">
      <c r="A374" s="665"/>
      <c r="B374" s="666"/>
      <c r="C374" s="666"/>
      <c r="D374" s="667"/>
      <c r="E374" s="667"/>
      <c r="F374" s="667"/>
      <c r="G374" s="666"/>
      <c r="H374" s="668"/>
      <c r="I374" s="668"/>
      <c r="J374" s="666"/>
      <c r="K374" s="666"/>
      <c r="L374" s="666"/>
    </row>
    <row r="375" spans="1:12" ht="15" x14ac:dyDescent="0.25">
      <c r="A375" s="665"/>
      <c r="B375" s="666"/>
      <c r="C375" s="666"/>
      <c r="D375" s="667"/>
      <c r="E375" s="667"/>
      <c r="F375" s="667"/>
      <c r="G375" s="666"/>
      <c r="H375" s="668"/>
      <c r="I375" s="668"/>
      <c r="J375" s="666"/>
      <c r="K375" s="666"/>
      <c r="L375" s="666"/>
    </row>
    <row r="376" spans="1:12" ht="15" x14ac:dyDescent="0.25">
      <c r="A376" s="665"/>
      <c r="B376" s="666"/>
      <c r="C376" s="666"/>
      <c r="D376" s="667"/>
      <c r="E376" s="667"/>
      <c r="F376" s="667"/>
      <c r="G376" s="666"/>
      <c r="H376" s="668"/>
      <c r="I376" s="668"/>
      <c r="J376" s="666"/>
      <c r="K376" s="666"/>
      <c r="L376" s="666"/>
    </row>
    <row r="377" spans="1:12" ht="15" x14ac:dyDescent="0.25">
      <c r="A377" s="665"/>
      <c r="B377" s="666"/>
      <c r="C377" s="666"/>
      <c r="D377" s="667"/>
      <c r="E377" s="667"/>
      <c r="F377" s="667"/>
      <c r="G377" s="666"/>
      <c r="H377" s="668"/>
      <c r="I377" s="668"/>
      <c r="J377" s="666"/>
      <c r="K377" s="666"/>
      <c r="L377" s="666"/>
    </row>
    <row r="378" spans="1:12" ht="15" x14ac:dyDescent="0.25">
      <c r="A378" s="665"/>
      <c r="B378" s="666"/>
      <c r="C378" s="666"/>
      <c r="D378" s="667"/>
      <c r="E378" s="667"/>
      <c r="F378" s="667"/>
      <c r="G378" s="666"/>
      <c r="H378" s="668"/>
      <c r="I378" s="668"/>
      <c r="J378" s="666"/>
      <c r="K378" s="666"/>
      <c r="L378" s="666"/>
    </row>
    <row r="379" spans="1:12" ht="15" x14ac:dyDescent="0.25">
      <c r="A379" s="665"/>
      <c r="B379" s="666"/>
      <c r="C379" s="666"/>
      <c r="D379" s="667"/>
      <c r="E379" s="667"/>
      <c r="F379" s="667"/>
      <c r="G379" s="666"/>
      <c r="H379" s="668"/>
      <c r="I379" s="668"/>
      <c r="J379" s="666"/>
      <c r="K379" s="666"/>
      <c r="L379" s="666"/>
    </row>
    <row r="380" spans="1:12" ht="15" x14ac:dyDescent="0.25">
      <c r="A380" s="665"/>
      <c r="B380" s="666"/>
      <c r="C380" s="666"/>
      <c r="D380" s="667"/>
      <c r="E380" s="667"/>
      <c r="F380" s="667"/>
      <c r="G380" s="666"/>
      <c r="H380" s="668"/>
      <c r="I380" s="668"/>
      <c r="J380" s="666"/>
      <c r="K380" s="666"/>
      <c r="L380" s="666"/>
    </row>
    <row r="381" spans="1:12" ht="15" x14ac:dyDescent="0.25">
      <c r="A381" s="665"/>
      <c r="B381" s="666"/>
      <c r="C381" s="666"/>
      <c r="D381" s="667"/>
      <c r="E381" s="667"/>
      <c r="F381" s="667"/>
      <c r="G381" s="666"/>
      <c r="H381" s="668"/>
      <c r="I381" s="668"/>
      <c r="J381" s="666"/>
      <c r="K381" s="666"/>
      <c r="L381" s="666"/>
    </row>
    <row r="382" spans="1:12" ht="15" x14ac:dyDescent="0.25">
      <c r="A382" s="665"/>
      <c r="B382" s="666"/>
      <c r="C382" s="666"/>
      <c r="D382" s="667"/>
      <c r="E382" s="667"/>
      <c r="F382" s="667"/>
      <c r="G382" s="666"/>
      <c r="H382" s="668"/>
      <c r="I382" s="668"/>
      <c r="J382" s="666"/>
      <c r="K382" s="666"/>
      <c r="L382" s="666"/>
    </row>
    <row r="383" spans="1:12" ht="15" x14ac:dyDescent="0.25">
      <c r="A383" s="665"/>
      <c r="B383" s="666"/>
      <c r="C383" s="666"/>
      <c r="D383" s="667"/>
      <c r="E383" s="667"/>
      <c r="F383" s="667"/>
      <c r="G383" s="666"/>
      <c r="H383" s="668"/>
      <c r="I383" s="668"/>
      <c r="J383" s="666"/>
      <c r="K383" s="666"/>
      <c r="L383" s="666"/>
    </row>
    <row r="384" spans="1:12" ht="15" x14ac:dyDescent="0.25">
      <c r="A384" s="665"/>
      <c r="B384" s="666"/>
      <c r="C384" s="666"/>
      <c r="D384" s="667"/>
      <c r="E384" s="667"/>
      <c r="F384" s="667"/>
      <c r="G384" s="666"/>
      <c r="H384" s="668"/>
      <c r="I384" s="668"/>
      <c r="J384" s="666"/>
      <c r="K384" s="666"/>
      <c r="L384" s="666"/>
    </row>
    <row r="385" spans="1:12" ht="15" x14ac:dyDescent="0.25">
      <c r="A385" s="665"/>
      <c r="B385" s="666"/>
      <c r="C385" s="666"/>
      <c r="D385" s="667"/>
      <c r="E385" s="667"/>
      <c r="F385" s="667"/>
      <c r="G385" s="666"/>
      <c r="H385" s="668"/>
      <c r="I385" s="668"/>
      <c r="J385" s="666"/>
      <c r="K385" s="666"/>
      <c r="L385" s="666"/>
    </row>
    <row r="386" spans="1:12" ht="15" x14ac:dyDescent="0.25">
      <c r="A386" s="665"/>
      <c r="B386" s="666"/>
      <c r="C386" s="666"/>
      <c r="D386" s="667"/>
      <c r="E386" s="667"/>
      <c r="F386" s="667"/>
      <c r="G386" s="666"/>
      <c r="H386" s="668"/>
      <c r="I386" s="668"/>
      <c r="J386" s="666"/>
      <c r="K386" s="666"/>
      <c r="L386" s="666"/>
    </row>
    <row r="387" spans="1:12" ht="15" x14ac:dyDescent="0.25">
      <c r="A387" s="665"/>
      <c r="B387" s="666"/>
      <c r="C387" s="666"/>
      <c r="D387" s="667"/>
      <c r="E387" s="667"/>
      <c r="F387" s="667"/>
      <c r="G387" s="666"/>
      <c r="H387" s="668"/>
      <c r="I387" s="668"/>
      <c r="J387" s="666"/>
      <c r="K387" s="666"/>
      <c r="L387" s="666"/>
    </row>
    <row r="388" spans="1:12" ht="15" x14ac:dyDescent="0.25">
      <c r="A388" s="665"/>
      <c r="B388" s="666"/>
      <c r="C388" s="666"/>
      <c r="D388" s="667"/>
      <c r="E388" s="667"/>
      <c r="F388" s="667"/>
      <c r="G388" s="666"/>
      <c r="H388" s="668"/>
      <c r="I388" s="668"/>
      <c r="J388" s="666"/>
      <c r="K388" s="666"/>
      <c r="L388" s="666"/>
    </row>
    <row r="389" spans="1:12" ht="15" x14ac:dyDescent="0.25">
      <c r="A389" s="665"/>
      <c r="B389" s="666"/>
      <c r="C389" s="666"/>
      <c r="D389" s="667"/>
      <c r="E389" s="667"/>
      <c r="F389" s="667"/>
      <c r="G389" s="666"/>
      <c r="H389" s="668"/>
      <c r="I389" s="668"/>
      <c r="J389" s="666"/>
      <c r="K389" s="666"/>
      <c r="L389" s="666"/>
    </row>
    <row r="390" spans="1:12" ht="15" x14ac:dyDescent="0.25">
      <c r="A390" s="665"/>
      <c r="B390" s="666"/>
      <c r="C390" s="666"/>
      <c r="D390" s="667"/>
      <c r="E390" s="667"/>
      <c r="F390" s="667"/>
      <c r="G390" s="666"/>
      <c r="H390" s="668"/>
      <c r="I390" s="668"/>
      <c r="J390" s="666"/>
      <c r="K390" s="666"/>
      <c r="L390" s="666"/>
    </row>
    <row r="391" spans="1:12" ht="15" x14ac:dyDescent="0.25">
      <c r="A391" s="665"/>
      <c r="B391" s="666"/>
      <c r="C391" s="666"/>
      <c r="D391" s="667"/>
      <c r="E391" s="667"/>
      <c r="F391" s="667"/>
      <c r="G391" s="666"/>
      <c r="H391" s="668"/>
      <c r="I391" s="668"/>
      <c r="J391" s="666"/>
      <c r="K391" s="666"/>
      <c r="L391" s="666"/>
    </row>
    <row r="392" spans="1:12" ht="15" x14ac:dyDescent="0.25">
      <c r="A392" s="665"/>
      <c r="B392" s="666"/>
      <c r="C392" s="666"/>
      <c r="D392" s="667"/>
      <c r="E392" s="667"/>
      <c r="F392" s="667"/>
      <c r="G392" s="666"/>
      <c r="H392" s="668"/>
      <c r="I392" s="668"/>
      <c r="J392" s="666"/>
      <c r="K392" s="666"/>
      <c r="L392" s="666"/>
    </row>
    <row r="393" spans="1:12" ht="15" x14ac:dyDescent="0.25">
      <c r="A393" s="665"/>
      <c r="B393" s="666"/>
      <c r="C393" s="666"/>
      <c r="D393" s="667"/>
      <c r="E393" s="667"/>
      <c r="F393" s="667"/>
      <c r="G393" s="666"/>
      <c r="H393" s="668"/>
      <c r="I393" s="668"/>
      <c r="J393" s="666"/>
      <c r="K393" s="666"/>
      <c r="L393" s="666"/>
    </row>
    <row r="394" spans="1:12" ht="15" x14ac:dyDescent="0.25">
      <c r="A394" s="665"/>
      <c r="B394" s="666"/>
      <c r="C394" s="666"/>
      <c r="D394" s="667"/>
      <c r="E394" s="667"/>
      <c r="F394" s="667"/>
      <c r="G394" s="666"/>
      <c r="H394" s="668"/>
      <c r="I394" s="668"/>
      <c r="J394" s="666"/>
      <c r="K394" s="666"/>
      <c r="L394" s="666"/>
    </row>
    <row r="395" spans="1:12" ht="15" x14ac:dyDescent="0.25">
      <c r="A395" s="665"/>
      <c r="B395" s="666"/>
      <c r="C395" s="666"/>
      <c r="D395" s="667"/>
      <c r="E395" s="667"/>
      <c r="F395" s="667"/>
      <c r="G395" s="666"/>
      <c r="H395" s="668"/>
      <c r="I395" s="668"/>
      <c r="J395" s="666"/>
      <c r="K395" s="666"/>
      <c r="L395" s="666"/>
    </row>
    <row r="396" spans="1:12" ht="15" x14ac:dyDescent="0.25">
      <c r="A396" s="665"/>
      <c r="B396" s="666"/>
      <c r="C396" s="666"/>
      <c r="D396" s="667"/>
      <c r="E396" s="667"/>
      <c r="F396" s="667"/>
      <c r="G396" s="666"/>
      <c r="H396" s="668"/>
      <c r="I396" s="668"/>
      <c r="J396" s="666"/>
      <c r="K396" s="666"/>
      <c r="L396" s="666"/>
    </row>
    <row r="397" spans="1:12" ht="15" x14ac:dyDescent="0.25">
      <c r="A397" s="665"/>
      <c r="B397" s="666"/>
      <c r="C397" s="666"/>
      <c r="D397" s="667"/>
      <c r="E397" s="667"/>
      <c r="F397" s="667"/>
      <c r="G397" s="666"/>
      <c r="H397" s="668"/>
      <c r="I397" s="668"/>
      <c r="J397" s="666"/>
      <c r="K397" s="666"/>
      <c r="L397" s="666"/>
    </row>
    <row r="398" spans="1:12" ht="15" x14ac:dyDescent="0.25">
      <c r="A398" s="665"/>
      <c r="B398" s="666"/>
      <c r="C398" s="666"/>
      <c r="D398" s="667"/>
      <c r="E398" s="667"/>
      <c r="F398" s="667"/>
      <c r="G398" s="666"/>
      <c r="H398" s="668"/>
      <c r="I398" s="668"/>
      <c r="J398" s="666"/>
      <c r="K398" s="666"/>
      <c r="L398" s="666"/>
    </row>
    <row r="399" spans="1:12" ht="15" x14ac:dyDescent="0.25">
      <c r="A399" s="665"/>
      <c r="B399" s="666"/>
      <c r="C399" s="666"/>
      <c r="D399" s="667"/>
      <c r="E399" s="667"/>
      <c r="F399" s="667"/>
      <c r="G399" s="666"/>
      <c r="H399" s="668"/>
      <c r="I399" s="668"/>
      <c r="J399" s="666"/>
      <c r="K399" s="666"/>
      <c r="L399" s="666"/>
    </row>
    <row r="400" spans="1:12" ht="15" x14ac:dyDescent="0.25">
      <c r="A400" s="665"/>
      <c r="B400" s="666"/>
      <c r="C400" s="666"/>
      <c r="D400" s="667"/>
      <c r="E400" s="667"/>
      <c r="F400" s="667"/>
      <c r="G400" s="666"/>
      <c r="H400" s="668"/>
      <c r="I400" s="668"/>
      <c r="J400" s="666"/>
      <c r="K400" s="666"/>
      <c r="L400" s="666"/>
    </row>
    <row r="401" spans="1:12" ht="15" x14ac:dyDescent="0.25">
      <c r="A401" s="665"/>
      <c r="B401" s="666"/>
      <c r="C401" s="666"/>
      <c r="D401" s="667"/>
      <c r="E401" s="667"/>
      <c r="F401" s="667"/>
      <c r="G401" s="666"/>
      <c r="H401" s="668"/>
      <c r="I401" s="668"/>
      <c r="J401" s="666"/>
      <c r="K401" s="666"/>
      <c r="L401" s="666"/>
    </row>
    <row r="402" spans="1:12" ht="15" x14ac:dyDescent="0.25">
      <c r="A402" s="665"/>
      <c r="B402" s="666"/>
      <c r="C402" s="666"/>
      <c r="D402" s="667"/>
      <c r="E402" s="667"/>
      <c r="F402" s="667"/>
      <c r="G402" s="666"/>
      <c r="H402" s="668"/>
      <c r="I402" s="668"/>
      <c r="J402" s="666"/>
      <c r="K402" s="666"/>
      <c r="L402" s="666"/>
    </row>
    <row r="403" spans="1:12" ht="15" x14ac:dyDescent="0.25">
      <c r="A403" s="665"/>
      <c r="B403" s="666"/>
      <c r="C403" s="666"/>
      <c r="D403" s="667"/>
      <c r="E403" s="667"/>
      <c r="F403" s="667"/>
      <c r="G403" s="666"/>
      <c r="H403" s="668"/>
      <c r="I403" s="668"/>
      <c r="J403" s="666"/>
      <c r="K403" s="666"/>
      <c r="L403" s="666"/>
    </row>
    <row r="404" spans="1:12" ht="15" x14ac:dyDescent="0.25">
      <c r="A404" s="665"/>
      <c r="B404" s="666"/>
      <c r="C404" s="666"/>
      <c r="D404" s="667"/>
      <c r="E404" s="667"/>
      <c r="F404" s="667"/>
      <c r="G404" s="666"/>
      <c r="H404" s="668"/>
      <c r="I404" s="668"/>
      <c r="J404" s="666"/>
      <c r="K404" s="666"/>
      <c r="L404" s="666"/>
    </row>
    <row r="405" spans="1:12" ht="15" x14ac:dyDescent="0.25">
      <c r="A405" s="665"/>
      <c r="B405" s="666"/>
      <c r="C405" s="666"/>
      <c r="D405" s="667"/>
      <c r="E405" s="667"/>
      <c r="F405" s="667"/>
      <c r="G405" s="666"/>
      <c r="H405" s="668"/>
      <c r="I405" s="668"/>
      <c r="J405" s="666"/>
      <c r="K405" s="666"/>
      <c r="L405" s="666"/>
    </row>
    <row r="406" spans="1:12" ht="15" x14ac:dyDescent="0.25">
      <c r="A406" s="665"/>
      <c r="B406" s="666"/>
      <c r="C406" s="666"/>
      <c r="D406" s="667"/>
      <c r="E406" s="667"/>
      <c r="F406" s="667"/>
      <c r="G406" s="666"/>
      <c r="H406" s="668"/>
      <c r="I406" s="668"/>
      <c r="J406" s="666"/>
      <c r="K406" s="666"/>
      <c r="L406" s="666"/>
    </row>
    <row r="407" spans="1:12" ht="15" x14ac:dyDescent="0.25">
      <c r="A407" s="665"/>
      <c r="B407" s="666"/>
      <c r="C407" s="666"/>
      <c r="D407" s="667"/>
      <c r="E407" s="667"/>
      <c r="F407" s="667"/>
      <c r="G407" s="666"/>
      <c r="H407" s="668"/>
      <c r="I407" s="668"/>
      <c r="J407" s="666"/>
      <c r="K407" s="666"/>
      <c r="L407" s="666"/>
    </row>
    <row r="408" spans="1:12" ht="15" x14ac:dyDescent="0.25">
      <c r="A408" s="665"/>
      <c r="B408" s="666"/>
      <c r="C408" s="666"/>
      <c r="D408" s="667"/>
      <c r="E408" s="667"/>
      <c r="F408" s="667"/>
      <c r="G408" s="666"/>
      <c r="H408" s="668"/>
      <c r="I408" s="668"/>
      <c r="J408" s="666"/>
      <c r="K408" s="666"/>
      <c r="L408" s="666"/>
    </row>
    <row r="409" spans="1:12" ht="15" x14ac:dyDescent="0.25">
      <c r="A409" s="665"/>
      <c r="B409" s="666"/>
      <c r="C409" s="666"/>
      <c r="D409" s="667"/>
      <c r="E409" s="667"/>
      <c r="F409" s="667"/>
      <c r="G409" s="666"/>
      <c r="H409" s="668"/>
      <c r="I409" s="668"/>
      <c r="J409" s="666"/>
      <c r="K409" s="666"/>
      <c r="L409" s="666"/>
    </row>
    <row r="410" spans="1:12" ht="15" x14ac:dyDescent="0.25">
      <c r="A410" s="665"/>
      <c r="B410" s="666"/>
      <c r="C410" s="666"/>
      <c r="D410" s="667"/>
      <c r="E410" s="667"/>
      <c r="F410" s="667"/>
      <c r="G410" s="666"/>
      <c r="H410" s="668"/>
      <c r="I410" s="668"/>
      <c r="J410" s="666"/>
      <c r="K410" s="666"/>
      <c r="L410" s="666"/>
    </row>
    <row r="411" spans="1:12" ht="15" x14ac:dyDescent="0.25">
      <c r="A411" s="665"/>
      <c r="B411" s="666"/>
      <c r="C411" s="666"/>
      <c r="D411" s="667"/>
      <c r="E411" s="667"/>
      <c r="F411" s="667"/>
      <c r="G411" s="666"/>
      <c r="H411" s="668"/>
      <c r="I411" s="668"/>
      <c r="J411" s="666"/>
      <c r="K411" s="666"/>
      <c r="L411" s="666"/>
    </row>
    <row r="412" spans="1:12" ht="15" x14ac:dyDescent="0.25">
      <c r="A412" s="665"/>
      <c r="B412" s="666"/>
      <c r="C412" s="666"/>
      <c r="D412" s="667"/>
      <c r="E412" s="667"/>
      <c r="F412" s="667"/>
      <c r="G412" s="666"/>
      <c r="H412" s="668"/>
      <c r="I412" s="668"/>
      <c r="J412" s="666"/>
      <c r="K412" s="666"/>
      <c r="L412" s="666"/>
    </row>
    <row r="413" spans="1:12" ht="15" x14ac:dyDescent="0.25">
      <c r="A413" s="665"/>
      <c r="B413" s="666"/>
      <c r="C413" s="666"/>
      <c r="D413" s="667"/>
      <c r="E413" s="667"/>
      <c r="F413" s="667"/>
      <c r="G413" s="666"/>
      <c r="H413" s="668"/>
      <c r="I413" s="668"/>
      <c r="J413" s="666"/>
      <c r="K413" s="666"/>
      <c r="L413" s="666"/>
    </row>
    <row r="414" spans="1:12" ht="15" x14ac:dyDescent="0.25">
      <c r="A414" s="665"/>
      <c r="B414" s="666"/>
      <c r="C414" s="666"/>
      <c r="D414" s="667"/>
      <c r="E414" s="667"/>
      <c r="F414" s="667"/>
      <c r="G414" s="666"/>
      <c r="H414" s="668"/>
      <c r="I414" s="668"/>
      <c r="J414" s="666"/>
      <c r="K414" s="666"/>
      <c r="L414" s="666"/>
    </row>
    <row r="415" spans="1:12" ht="15" x14ac:dyDescent="0.25">
      <c r="A415" s="665"/>
      <c r="B415" s="666"/>
      <c r="C415" s="666"/>
      <c r="D415" s="667"/>
      <c r="E415" s="667"/>
      <c r="F415" s="667"/>
      <c r="G415" s="666"/>
      <c r="H415" s="668"/>
      <c r="I415" s="668"/>
      <c r="J415" s="666"/>
      <c r="K415" s="666"/>
      <c r="L415" s="666"/>
    </row>
    <row r="416" spans="1:12" ht="15" x14ac:dyDescent="0.25">
      <c r="A416" s="665"/>
      <c r="B416" s="666"/>
      <c r="C416" s="666"/>
      <c r="D416" s="667"/>
      <c r="E416" s="667"/>
      <c r="F416" s="667"/>
      <c r="G416" s="666"/>
      <c r="H416" s="668"/>
      <c r="I416" s="668"/>
      <c r="J416" s="666"/>
      <c r="K416" s="666"/>
      <c r="L416" s="666"/>
    </row>
    <row r="417" spans="1:12" ht="15" x14ac:dyDescent="0.25">
      <c r="A417" s="665"/>
      <c r="B417" s="666"/>
      <c r="C417" s="666"/>
      <c r="D417" s="667"/>
      <c r="E417" s="667"/>
      <c r="F417" s="667"/>
      <c r="G417" s="666"/>
      <c r="H417" s="668"/>
      <c r="I417" s="668"/>
      <c r="J417" s="666"/>
      <c r="K417" s="666"/>
      <c r="L417" s="666"/>
    </row>
    <row r="418" spans="1:12" ht="15" x14ac:dyDescent="0.25">
      <c r="A418" s="665"/>
      <c r="B418" s="666"/>
      <c r="C418" s="666"/>
      <c r="D418" s="667"/>
      <c r="E418" s="667"/>
      <c r="F418" s="667"/>
      <c r="G418" s="666"/>
      <c r="H418" s="668"/>
      <c r="I418" s="668"/>
      <c r="J418" s="666"/>
      <c r="K418" s="666"/>
      <c r="L418" s="666"/>
    </row>
    <row r="419" spans="1:12" ht="15" x14ac:dyDescent="0.25">
      <c r="A419" s="665"/>
      <c r="B419" s="666"/>
      <c r="C419" s="666"/>
      <c r="D419" s="667"/>
      <c r="E419" s="667"/>
      <c r="F419" s="667"/>
      <c r="G419" s="666"/>
      <c r="H419" s="668"/>
      <c r="I419" s="668"/>
      <c r="J419" s="666"/>
      <c r="K419" s="666"/>
      <c r="L419" s="666"/>
    </row>
    <row r="420" spans="1:12" ht="15" x14ac:dyDescent="0.25">
      <c r="A420" s="665"/>
      <c r="B420" s="666"/>
      <c r="C420" s="666"/>
      <c r="D420" s="667"/>
      <c r="E420" s="667"/>
      <c r="F420" s="667"/>
      <c r="G420" s="666"/>
      <c r="H420" s="668"/>
      <c r="I420" s="668"/>
      <c r="J420" s="666"/>
      <c r="K420" s="666"/>
      <c r="L420" s="666"/>
    </row>
    <row r="421" spans="1:12" ht="15" x14ac:dyDescent="0.25">
      <c r="A421" s="665"/>
      <c r="B421" s="666"/>
      <c r="C421" s="666"/>
      <c r="D421" s="667"/>
      <c r="E421" s="667"/>
      <c r="F421" s="667"/>
      <c r="G421" s="666"/>
      <c r="H421" s="668"/>
      <c r="I421" s="668"/>
      <c r="J421" s="666"/>
      <c r="K421" s="666"/>
      <c r="L421" s="666"/>
    </row>
    <row r="422" spans="1:12" ht="15" x14ac:dyDescent="0.25">
      <c r="A422" s="665"/>
      <c r="B422" s="666"/>
      <c r="C422" s="666"/>
      <c r="D422" s="667"/>
      <c r="E422" s="667"/>
      <c r="F422" s="667"/>
      <c r="G422" s="666"/>
      <c r="H422" s="668"/>
      <c r="I422" s="668"/>
      <c r="J422" s="666"/>
      <c r="K422" s="666"/>
      <c r="L422" s="666"/>
    </row>
    <row r="423" spans="1:12" ht="15" x14ac:dyDescent="0.25">
      <c r="A423" s="665"/>
      <c r="B423" s="666"/>
      <c r="C423" s="666"/>
      <c r="D423" s="667"/>
      <c r="E423" s="667"/>
      <c r="F423" s="667"/>
      <c r="G423" s="666"/>
      <c r="H423" s="668"/>
      <c r="I423" s="668"/>
      <c r="J423" s="666"/>
      <c r="K423" s="666"/>
      <c r="L423" s="666"/>
    </row>
    <row r="424" spans="1:12" ht="15" x14ac:dyDescent="0.25">
      <c r="A424" s="665"/>
      <c r="B424" s="666"/>
      <c r="C424" s="666"/>
      <c r="D424" s="667"/>
      <c r="E424" s="667"/>
      <c r="F424" s="667"/>
      <c r="G424" s="666"/>
      <c r="H424" s="668"/>
      <c r="I424" s="668"/>
      <c r="J424" s="666"/>
      <c r="K424" s="666"/>
      <c r="L424" s="666"/>
    </row>
    <row r="425" spans="1:12" ht="15" x14ac:dyDescent="0.25">
      <c r="A425" s="665"/>
      <c r="B425" s="666"/>
      <c r="C425" s="666"/>
      <c r="D425" s="667"/>
      <c r="E425" s="667"/>
      <c r="F425" s="667"/>
      <c r="G425" s="666"/>
      <c r="H425" s="668"/>
      <c r="I425" s="668"/>
      <c r="J425" s="666"/>
      <c r="K425" s="666"/>
      <c r="L425" s="666"/>
    </row>
    <row r="426" spans="1:12" ht="15" x14ac:dyDescent="0.25">
      <c r="A426" s="665"/>
      <c r="B426" s="666"/>
      <c r="C426" s="666"/>
      <c r="D426" s="667"/>
      <c r="E426" s="667"/>
      <c r="F426" s="667"/>
      <c r="G426" s="666"/>
      <c r="H426" s="668"/>
      <c r="I426" s="668"/>
      <c r="J426" s="666"/>
      <c r="K426" s="666"/>
      <c r="L426" s="666"/>
    </row>
    <row r="427" spans="1:12" ht="15" x14ac:dyDescent="0.25">
      <c r="A427" s="665"/>
      <c r="B427" s="666"/>
      <c r="C427" s="666"/>
      <c r="D427" s="667"/>
      <c r="E427" s="667"/>
      <c r="F427" s="667"/>
      <c r="G427" s="666"/>
      <c r="H427" s="668"/>
      <c r="I427" s="668"/>
      <c r="J427" s="666"/>
      <c r="K427" s="666"/>
      <c r="L427" s="666"/>
    </row>
    <row r="428" spans="1:12" ht="15" x14ac:dyDescent="0.25">
      <c r="A428" s="665"/>
      <c r="B428" s="666"/>
      <c r="C428" s="666"/>
      <c r="D428" s="667"/>
      <c r="E428" s="667"/>
      <c r="F428" s="667"/>
      <c r="G428" s="666"/>
      <c r="H428" s="668"/>
      <c r="I428" s="668"/>
      <c r="J428" s="666"/>
      <c r="K428" s="666"/>
      <c r="L428" s="666"/>
    </row>
    <row r="429" spans="1:12" ht="15" x14ac:dyDescent="0.25">
      <c r="A429" s="665"/>
      <c r="B429" s="666"/>
      <c r="C429" s="666"/>
      <c r="D429" s="667"/>
      <c r="E429" s="667"/>
      <c r="F429" s="667"/>
      <c r="G429" s="666"/>
      <c r="H429" s="668"/>
      <c r="I429" s="668"/>
      <c r="J429" s="666"/>
      <c r="K429" s="666"/>
      <c r="L429" s="666"/>
    </row>
    <row r="430" spans="1:12" ht="15" x14ac:dyDescent="0.25">
      <c r="A430" s="665"/>
      <c r="B430" s="666"/>
      <c r="C430" s="666"/>
      <c r="D430" s="667"/>
      <c r="E430" s="667"/>
      <c r="F430" s="667"/>
      <c r="G430" s="666"/>
      <c r="H430" s="668"/>
      <c r="I430" s="668"/>
      <c r="J430" s="666"/>
      <c r="K430" s="666"/>
      <c r="L430" s="666"/>
    </row>
    <row r="431" spans="1:12" x14ac:dyDescent="0.25">
      <c r="A431" s="670"/>
      <c r="B431" s="667"/>
      <c r="C431" s="667"/>
      <c r="D431" s="667"/>
      <c r="E431" s="667"/>
      <c r="F431" s="667"/>
      <c r="G431" s="667"/>
      <c r="H431" s="671"/>
      <c r="I431" s="671"/>
      <c r="J431" s="667"/>
      <c r="K431" s="667"/>
      <c r="L431" s="667"/>
    </row>
    <row r="432" spans="1:12" x14ac:dyDescent="0.25">
      <c r="A432" s="670"/>
      <c r="B432" s="667"/>
      <c r="C432" s="667"/>
      <c r="D432" s="667"/>
      <c r="E432" s="667"/>
      <c r="F432" s="667"/>
      <c r="G432" s="667"/>
      <c r="H432" s="671"/>
      <c r="I432" s="671"/>
      <c r="J432" s="667"/>
      <c r="K432" s="667"/>
      <c r="L432" s="667"/>
    </row>
    <row r="433" spans="1:12" x14ac:dyDescent="0.25">
      <c r="A433" s="670"/>
      <c r="B433" s="667"/>
      <c r="C433" s="667"/>
      <c r="D433" s="667"/>
      <c r="E433" s="667"/>
      <c r="F433" s="667"/>
      <c r="G433" s="667"/>
      <c r="H433" s="671"/>
      <c r="I433" s="671"/>
      <c r="J433" s="667"/>
      <c r="K433" s="667"/>
      <c r="L433" s="667"/>
    </row>
    <row r="434" spans="1:12" x14ac:dyDescent="0.25">
      <c r="A434" s="670"/>
      <c r="B434" s="667"/>
      <c r="C434" s="667"/>
      <c r="D434" s="667"/>
      <c r="E434" s="667"/>
      <c r="F434" s="667"/>
      <c r="G434" s="667"/>
      <c r="H434" s="671"/>
      <c r="I434" s="671"/>
      <c r="J434" s="667"/>
      <c r="K434" s="667"/>
      <c r="L434" s="667"/>
    </row>
    <row r="435" spans="1:12" x14ac:dyDescent="0.25">
      <c r="A435" s="670"/>
      <c r="B435" s="667"/>
      <c r="C435" s="667"/>
      <c r="D435" s="667"/>
      <c r="E435" s="667"/>
      <c r="F435" s="667"/>
      <c r="G435" s="667"/>
      <c r="H435" s="671"/>
      <c r="I435" s="671"/>
      <c r="J435" s="667"/>
      <c r="K435" s="667"/>
      <c r="L435" s="667"/>
    </row>
    <row r="436" spans="1:12" x14ac:dyDescent="0.25">
      <c r="A436" s="670"/>
      <c r="B436" s="667"/>
      <c r="C436" s="667"/>
      <c r="D436" s="667"/>
      <c r="E436" s="667"/>
      <c r="F436" s="667"/>
      <c r="G436" s="667"/>
      <c r="H436" s="671"/>
      <c r="I436" s="671"/>
      <c r="J436" s="667"/>
      <c r="K436" s="667"/>
      <c r="L436" s="667"/>
    </row>
    <row r="437" spans="1:12" x14ac:dyDescent="0.25">
      <c r="A437" s="670"/>
      <c r="B437" s="667"/>
      <c r="C437" s="667"/>
      <c r="D437" s="667"/>
      <c r="E437" s="667"/>
      <c r="F437" s="667"/>
      <c r="G437" s="667"/>
      <c r="H437" s="671"/>
      <c r="I437" s="671"/>
      <c r="J437" s="667"/>
      <c r="K437" s="667"/>
      <c r="L437" s="667"/>
    </row>
    <row r="438" spans="1:12" x14ac:dyDescent="0.25">
      <c r="A438" s="670"/>
      <c r="B438" s="667"/>
      <c r="C438" s="667"/>
      <c r="D438" s="667"/>
      <c r="E438" s="667"/>
      <c r="F438" s="667"/>
      <c r="G438" s="667"/>
      <c r="H438" s="671"/>
      <c r="I438" s="671"/>
      <c r="J438" s="667"/>
      <c r="K438" s="667"/>
      <c r="L438" s="667"/>
    </row>
    <row r="439" spans="1:12" x14ac:dyDescent="0.25">
      <c r="A439" s="670"/>
      <c r="B439" s="667"/>
      <c r="C439" s="667"/>
      <c r="D439" s="667"/>
      <c r="E439" s="667"/>
      <c r="F439" s="667"/>
      <c r="G439" s="667"/>
      <c r="H439" s="671"/>
      <c r="I439" s="671"/>
      <c r="J439" s="667"/>
      <c r="K439" s="667"/>
      <c r="L439" s="667"/>
    </row>
    <row r="440" spans="1:12" x14ac:dyDescent="0.25">
      <c r="A440" s="670"/>
      <c r="B440" s="667"/>
      <c r="C440" s="667"/>
      <c r="D440" s="667"/>
      <c r="E440" s="667"/>
      <c r="F440" s="667"/>
      <c r="G440" s="667"/>
      <c r="H440" s="671"/>
      <c r="I440" s="671"/>
      <c r="J440" s="667"/>
      <c r="K440" s="667"/>
      <c r="L440" s="667"/>
    </row>
    <row r="441" spans="1:12" x14ac:dyDescent="0.25">
      <c r="A441" s="670"/>
      <c r="B441" s="667"/>
      <c r="C441" s="667"/>
      <c r="D441" s="667"/>
      <c r="E441" s="667"/>
      <c r="F441" s="667"/>
      <c r="G441" s="667"/>
      <c r="H441" s="671"/>
      <c r="I441" s="671"/>
      <c r="J441" s="667"/>
      <c r="K441" s="667"/>
      <c r="L441" s="667"/>
    </row>
    <row r="442" spans="1:12" x14ac:dyDescent="0.25">
      <c r="A442" s="670"/>
      <c r="B442" s="667"/>
      <c r="C442" s="667"/>
      <c r="D442" s="667"/>
      <c r="E442" s="667"/>
      <c r="F442" s="667"/>
      <c r="G442" s="667"/>
      <c r="H442" s="671"/>
      <c r="I442" s="671"/>
      <c r="J442" s="667"/>
      <c r="K442" s="667"/>
      <c r="L442" s="667"/>
    </row>
    <row r="443" spans="1:12" x14ac:dyDescent="0.25">
      <c r="A443" s="670"/>
      <c r="B443" s="667"/>
      <c r="C443" s="667"/>
      <c r="D443" s="667"/>
      <c r="E443" s="667"/>
      <c r="F443" s="667"/>
      <c r="G443" s="667"/>
      <c r="H443" s="671"/>
      <c r="I443" s="671"/>
      <c r="J443" s="667"/>
      <c r="K443" s="667"/>
      <c r="L443" s="667"/>
    </row>
    <row r="444" spans="1:12" x14ac:dyDescent="0.25">
      <c r="A444" s="670"/>
      <c r="B444" s="667"/>
      <c r="C444" s="667"/>
      <c r="D444" s="667"/>
      <c r="E444" s="667"/>
      <c r="F444" s="667"/>
      <c r="G444" s="667"/>
      <c r="H444" s="671"/>
      <c r="I444" s="671"/>
      <c r="J444" s="667"/>
      <c r="K444" s="667"/>
      <c r="L444" s="667"/>
    </row>
    <row r="445" spans="1:12" x14ac:dyDescent="0.25">
      <c r="A445" s="670"/>
      <c r="B445" s="667"/>
      <c r="C445" s="667"/>
      <c r="D445" s="667"/>
      <c r="E445" s="667"/>
      <c r="F445" s="667"/>
      <c r="G445" s="667"/>
      <c r="H445" s="671"/>
      <c r="I445" s="671"/>
      <c r="J445" s="667"/>
      <c r="K445" s="667"/>
      <c r="L445" s="667"/>
    </row>
    <row r="446" spans="1:12" x14ac:dyDescent="0.25">
      <c r="A446" s="670"/>
      <c r="B446" s="667"/>
      <c r="C446" s="667"/>
      <c r="D446" s="667"/>
      <c r="E446" s="667"/>
      <c r="F446" s="667"/>
      <c r="G446" s="667"/>
      <c r="H446" s="671"/>
      <c r="I446" s="671"/>
      <c r="J446" s="667"/>
      <c r="K446" s="667"/>
      <c r="L446" s="667"/>
    </row>
    <row r="447" spans="1:12" x14ac:dyDescent="0.25">
      <c r="A447" s="670"/>
      <c r="B447" s="667"/>
      <c r="C447" s="667"/>
      <c r="D447" s="667"/>
      <c r="E447" s="667"/>
      <c r="F447" s="667"/>
      <c r="G447" s="667"/>
      <c r="H447" s="671"/>
      <c r="I447" s="671"/>
      <c r="J447" s="667"/>
      <c r="K447" s="667"/>
      <c r="L447" s="667"/>
    </row>
    <row r="448" spans="1:12" x14ac:dyDescent="0.25">
      <c r="A448" s="670"/>
      <c r="B448" s="667"/>
      <c r="C448" s="667"/>
      <c r="D448" s="667"/>
      <c r="E448" s="667"/>
      <c r="F448" s="667"/>
      <c r="G448" s="667"/>
      <c r="H448" s="671"/>
      <c r="I448" s="671"/>
      <c r="J448" s="667"/>
      <c r="K448" s="667"/>
      <c r="L448" s="667"/>
    </row>
    <row r="449" spans="1:12" x14ac:dyDescent="0.25">
      <c r="A449" s="670"/>
      <c r="B449" s="667"/>
      <c r="C449" s="667"/>
      <c r="D449" s="667"/>
      <c r="E449" s="667"/>
      <c r="F449" s="667"/>
      <c r="G449" s="667"/>
      <c r="H449" s="671"/>
      <c r="I449" s="671"/>
      <c r="J449" s="667"/>
      <c r="K449" s="667"/>
      <c r="L449" s="667"/>
    </row>
    <row r="450" spans="1:12" x14ac:dyDescent="0.25">
      <c r="A450" s="670"/>
      <c r="B450" s="667"/>
      <c r="C450" s="667"/>
      <c r="D450" s="667"/>
      <c r="E450" s="667"/>
      <c r="F450" s="667"/>
      <c r="G450" s="667"/>
      <c r="H450" s="671"/>
      <c r="I450" s="671"/>
      <c r="J450" s="667"/>
      <c r="K450" s="667"/>
      <c r="L450" s="667"/>
    </row>
    <row r="451" spans="1:12" x14ac:dyDescent="0.25">
      <c r="A451" s="670"/>
      <c r="B451" s="667"/>
      <c r="C451" s="667"/>
      <c r="D451" s="667"/>
      <c r="E451" s="667"/>
      <c r="F451" s="667"/>
      <c r="G451" s="667"/>
      <c r="H451" s="671"/>
      <c r="I451" s="671"/>
      <c r="J451" s="667"/>
      <c r="K451" s="667"/>
      <c r="L451" s="667"/>
    </row>
    <row r="452" spans="1:12" x14ac:dyDescent="0.25">
      <c r="A452" s="670"/>
      <c r="B452" s="667"/>
      <c r="C452" s="667"/>
      <c r="D452" s="667"/>
      <c r="E452" s="667"/>
      <c r="F452" s="667"/>
      <c r="G452" s="667"/>
      <c r="H452" s="671"/>
      <c r="I452" s="671"/>
      <c r="J452" s="667"/>
      <c r="K452" s="667"/>
      <c r="L452" s="667"/>
    </row>
    <row r="453" spans="1:12" x14ac:dyDescent="0.25">
      <c r="A453" s="670"/>
      <c r="B453" s="667"/>
      <c r="C453" s="667"/>
      <c r="D453" s="667"/>
      <c r="E453" s="667"/>
      <c r="F453" s="667"/>
      <c r="G453" s="667"/>
      <c r="H453" s="671"/>
      <c r="I453" s="671"/>
      <c r="J453" s="667"/>
      <c r="K453" s="667"/>
      <c r="L453" s="667"/>
    </row>
    <row r="454" spans="1:12" x14ac:dyDescent="0.25">
      <c r="A454" s="670"/>
      <c r="B454" s="667"/>
      <c r="C454" s="667"/>
      <c r="D454" s="667"/>
      <c r="E454" s="667"/>
      <c r="F454" s="667"/>
      <c r="G454" s="667"/>
      <c r="H454" s="671"/>
      <c r="I454" s="671"/>
      <c r="J454" s="667"/>
      <c r="K454" s="667"/>
      <c r="L454" s="667"/>
    </row>
    <row r="455" spans="1:12" x14ac:dyDescent="0.25">
      <c r="A455" s="670"/>
      <c r="B455" s="667"/>
      <c r="C455" s="667"/>
      <c r="D455" s="667"/>
      <c r="E455" s="667"/>
      <c r="F455" s="667"/>
      <c r="G455" s="667"/>
      <c r="H455" s="671"/>
      <c r="I455" s="671"/>
      <c r="J455" s="667"/>
      <c r="K455" s="667"/>
      <c r="L455" s="667"/>
    </row>
    <row r="456" spans="1:12" x14ac:dyDescent="0.25">
      <c r="A456" s="670"/>
      <c r="B456" s="667"/>
      <c r="C456" s="667"/>
      <c r="D456" s="667"/>
      <c r="E456" s="667"/>
      <c r="F456" s="667"/>
      <c r="G456" s="667"/>
      <c r="H456" s="671"/>
      <c r="I456" s="671"/>
      <c r="J456" s="667"/>
      <c r="K456" s="667"/>
      <c r="L456" s="667"/>
    </row>
    <row r="457" spans="1:12" x14ac:dyDescent="0.25">
      <c r="A457" s="670"/>
      <c r="B457" s="667"/>
      <c r="C457" s="667"/>
      <c r="D457" s="667"/>
      <c r="E457" s="667"/>
      <c r="F457" s="667"/>
      <c r="G457" s="667"/>
      <c r="H457" s="671"/>
      <c r="I457" s="671"/>
      <c r="J457" s="667"/>
      <c r="K457" s="667"/>
      <c r="L457" s="667"/>
    </row>
    <row r="458" spans="1:12" x14ac:dyDescent="0.25">
      <c r="A458" s="670"/>
      <c r="B458" s="667"/>
      <c r="C458" s="667"/>
      <c r="D458" s="667"/>
      <c r="E458" s="667"/>
      <c r="F458" s="667"/>
      <c r="G458" s="667"/>
      <c r="H458" s="671"/>
      <c r="I458" s="671"/>
      <c r="J458" s="667"/>
      <c r="K458" s="667"/>
      <c r="L458" s="667"/>
    </row>
    <row r="459" spans="1:12" x14ac:dyDescent="0.25">
      <c r="A459" s="670"/>
      <c r="B459" s="667"/>
      <c r="C459" s="667"/>
      <c r="D459" s="667"/>
      <c r="E459" s="667"/>
      <c r="F459" s="667"/>
      <c r="G459" s="667"/>
      <c r="H459" s="671"/>
      <c r="I459" s="671"/>
      <c r="J459" s="667"/>
      <c r="K459" s="667"/>
      <c r="L459" s="667"/>
    </row>
    <row r="460" spans="1:12" x14ac:dyDescent="0.25">
      <c r="A460" s="670"/>
      <c r="B460" s="667"/>
      <c r="C460" s="667"/>
      <c r="D460" s="667"/>
      <c r="E460" s="667"/>
      <c r="F460" s="667"/>
      <c r="G460" s="667"/>
      <c r="H460" s="671"/>
      <c r="I460" s="671"/>
      <c r="J460" s="667"/>
      <c r="K460" s="667"/>
      <c r="L460" s="667"/>
    </row>
    <row r="461" spans="1:12" x14ac:dyDescent="0.25">
      <c r="A461" s="670"/>
      <c r="B461" s="667"/>
      <c r="C461" s="667"/>
      <c r="D461" s="667"/>
      <c r="E461" s="667"/>
      <c r="F461" s="667"/>
      <c r="G461" s="667"/>
      <c r="H461" s="671"/>
      <c r="I461" s="671"/>
      <c r="J461" s="667"/>
      <c r="K461" s="667"/>
      <c r="L461" s="667"/>
    </row>
    <row r="462" spans="1:12" x14ac:dyDescent="0.25">
      <c r="A462" s="670"/>
      <c r="B462" s="667"/>
      <c r="C462" s="667"/>
      <c r="D462" s="667"/>
      <c r="E462" s="667"/>
      <c r="F462" s="667"/>
      <c r="G462" s="667"/>
      <c r="H462" s="671"/>
      <c r="I462" s="671"/>
      <c r="J462" s="667"/>
      <c r="K462" s="667"/>
      <c r="L462" s="667"/>
    </row>
    <row r="463" spans="1:12" x14ac:dyDescent="0.25">
      <c r="A463" s="670"/>
      <c r="B463" s="667"/>
      <c r="C463" s="667"/>
      <c r="D463" s="667"/>
      <c r="E463" s="667"/>
      <c r="F463" s="667"/>
      <c r="G463" s="667"/>
      <c r="H463" s="671"/>
      <c r="I463" s="671"/>
      <c r="J463" s="667"/>
      <c r="K463" s="667"/>
      <c r="L463" s="667"/>
    </row>
    <row r="464" spans="1:12" x14ac:dyDescent="0.25">
      <c r="A464" s="670"/>
      <c r="B464" s="667"/>
      <c r="C464" s="667"/>
      <c r="D464" s="667"/>
      <c r="E464" s="667"/>
      <c r="F464" s="667"/>
      <c r="G464" s="667"/>
      <c r="H464" s="671"/>
      <c r="I464" s="671"/>
      <c r="J464" s="667"/>
      <c r="K464" s="667"/>
      <c r="L464" s="667"/>
    </row>
    <row r="465" spans="1:12" x14ac:dyDescent="0.25">
      <c r="A465" s="670"/>
      <c r="B465" s="667"/>
      <c r="C465" s="667"/>
      <c r="D465" s="667"/>
      <c r="E465" s="667"/>
      <c r="F465" s="667"/>
      <c r="G465" s="667"/>
      <c r="H465" s="671"/>
      <c r="I465" s="671"/>
      <c r="J465" s="667"/>
      <c r="K465" s="667"/>
      <c r="L465" s="667"/>
    </row>
    <row r="466" spans="1:12" x14ac:dyDescent="0.25">
      <c r="A466" s="670"/>
      <c r="B466" s="667"/>
      <c r="C466" s="667"/>
      <c r="D466" s="667"/>
      <c r="E466" s="667"/>
      <c r="F466" s="667"/>
      <c r="G466" s="667"/>
      <c r="H466" s="671"/>
      <c r="I466" s="671"/>
      <c r="J466" s="667"/>
      <c r="K466" s="667"/>
      <c r="L466" s="667"/>
    </row>
    <row r="467" spans="1:12" x14ac:dyDescent="0.25">
      <c r="A467" s="670"/>
      <c r="B467" s="667"/>
      <c r="C467" s="667"/>
      <c r="D467" s="667"/>
      <c r="E467" s="667"/>
      <c r="F467" s="667"/>
      <c r="G467" s="667"/>
      <c r="H467" s="671"/>
      <c r="I467" s="671"/>
      <c r="J467" s="667"/>
      <c r="K467" s="667"/>
      <c r="L467" s="667"/>
    </row>
    <row r="468" spans="1:12" x14ac:dyDescent="0.25">
      <c r="A468" s="670"/>
      <c r="B468" s="667"/>
      <c r="C468" s="667"/>
      <c r="D468" s="667"/>
      <c r="E468" s="667"/>
      <c r="F468" s="667"/>
      <c r="G468" s="667"/>
      <c r="H468" s="671"/>
      <c r="I468" s="671"/>
      <c r="J468" s="667"/>
      <c r="K468" s="667"/>
      <c r="L468" s="667"/>
    </row>
    <row r="469" spans="1:12" x14ac:dyDescent="0.25">
      <c r="A469" s="670"/>
      <c r="B469" s="667"/>
      <c r="C469" s="667"/>
      <c r="D469" s="667"/>
      <c r="E469" s="667"/>
      <c r="F469" s="667"/>
      <c r="G469" s="667"/>
      <c r="H469" s="671"/>
      <c r="I469" s="671"/>
      <c r="J469" s="667"/>
      <c r="K469" s="667"/>
      <c r="L469" s="667"/>
    </row>
    <row r="470" spans="1:12" x14ac:dyDescent="0.25">
      <c r="A470" s="670"/>
      <c r="B470" s="667"/>
      <c r="C470" s="667"/>
      <c r="D470" s="667"/>
      <c r="E470" s="667"/>
      <c r="F470" s="667"/>
      <c r="G470" s="667"/>
      <c r="H470" s="671"/>
      <c r="I470" s="671"/>
      <c r="J470" s="667"/>
      <c r="K470" s="667"/>
      <c r="L470" s="667"/>
    </row>
    <row r="471" spans="1:12" x14ac:dyDescent="0.25">
      <c r="A471" s="670"/>
      <c r="B471" s="667"/>
      <c r="C471" s="667"/>
      <c r="D471" s="667"/>
      <c r="E471" s="667"/>
      <c r="F471" s="667"/>
      <c r="G471" s="667"/>
      <c r="H471" s="671"/>
      <c r="I471" s="671"/>
      <c r="J471" s="667"/>
      <c r="K471" s="667"/>
      <c r="L471" s="667"/>
    </row>
    <row r="472" spans="1:12" x14ac:dyDescent="0.25">
      <c r="A472" s="670"/>
      <c r="B472" s="667"/>
      <c r="C472" s="667"/>
      <c r="D472" s="667"/>
      <c r="E472" s="667"/>
      <c r="F472" s="667"/>
      <c r="G472" s="667"/>
      <c r="H472" s="671"/>
      <c r="I472" s="671"/>
      <c r="J472" s="667"/>
      <c r="K472" s="667"/>
      <c r="L472" s="667"/>
    </row>
    <row r="473" spans="1:12" x14ac:dyDescent="0.25">
      <c r="A473" s="670"/>
      <c r="B473" s="667"/>
      <c r="C473" s="667"/>
      <c r="D473" s="667"/>
      <c r="E473" s="667"/>
      <c r="F473" s="667"/>
      <c r="G473" s="667"/>
      <c r="H473" s="671"/>
      <c r="I473" s="671"/>
      <c r="J473" s="667"/>
      <c r="K473" s="667"/>
      <c r="L473" s="667"/>
    </row>
    <row r="474" spans="1:12" x14ac:dyDescent="0.25">
      <c r="A474" s="670"/>
      <c r="B474" s="667"/>
      <c r="C474" s="667"/>
      <c r="D474" s="667"/>
      <c r="E474" s="667"/>
      <c r="F474" s="667"/>
      <c r="G474" s="667"/>
      <c r="H474" s="671"/>
      <c r="I474" s="671"/>
      <c r="J474" s="667"/>
      <c r="K474" s="667"/>
      <c r="L474" s="667"/>
    </row>
    <row r="475" spans="1:12" x14ac:dyDescent="0.25">
      <c r="A475" s="670"/>
      <c r="B475" s="667"/>
      <c r="C475" s="667"/>
      <c r="D475" s="667"/>
      <c r="E475" s="667"/>
      <c r="F475" s="667"/>
      <c r="G475" s="667"/>
      <c r="H475" s="671"/>
      <c r="I475" s="671"/>
      <c r="J475" s="667"/>
      <c r="K475" s="667"/>
      <c r="L475" s="667"/>
    </row>
    <row r="476" spans="1:12" x14ac:dyDescent="0.25">
      <c r="A476" s="670"/>
      <c r="B476" s="667"/>
      <c r="C476" s="667"/>
      <c r="D476" s="667"/>
      <c r="E476" s="667"/>
      <c r="F476" s="667"/>
      <c r="G476" s="667"/>
      <c r="H476" s="671"/>
      <c r="I476" s="671"/>
      <c r="J476" s="667"/>
      <c r="K476" s="667"/>
      <c r="L476" s="667"/>
    </row>
    <row r="477" spans="1:12" x14ac:dyDescent="0.25">
      <c r="A477" s="670"/>
      <c r="B477" s="667"/>
      <c r="C477" s="667"/>
      <c r="D477" s="667"/>
      <c r="E477" s="667"/>
      <c r="F477" s="667"/>
      <c r="G477" s="667"/>
      <c r="H477" s="671"/>
      <c r="I477" s="671"/>
      <c r="J477" s="667"/>
      <c r="K477" s="667"/>
      <c r="L477" s="667"/>
    </row>
    <row r="478" spans="1:12" x14ac:dyDescent="0.25">
      <c r="A478" s="670"/>
      <c r="B478" s="667"/>
      <c r="C478" s="667"/>
      <c r="D478" s="667"/>
      <c r="E478" s="667"/>
      <c r="F478" s="667"/>
      <c r="G478" s="667"/>
      <c r="H478" s="671"/>
      <c r="I478" s="671"/>
      <c r="J478" s="667"/>
      <c r="K478" s="667"/>
      <c r="L478" s="667"/>
    </row>
    <row r="479" spans="1:12" x14ac:dyDescent="0.25">
      <c r="A479" s="670"/>
      <c r="B479" s="667"/>
      <c r="C479" s="667"/>
      <c r="D479" s="667"/>
      <c r="E479" s="667"/>
      <c r="F479" s="667"/>
      <c r="G479" s="667"/>
      <c r="H479" s="671"/>
      <c r="I479" s="671"/>
      <c r="J479" s="667"/>
      <c r="K479" s="667"/>
      <c r="L479" s="667"/>
    </row>
    <row r="480" spans="1:12" x14ac:dyDescent="0.25">
      <c r="A480" s="670"/>
      <c r="B480" s="667"/>
      <c r="C480" s="667"/>
      <c r="D480" s="667"/>
      <c r="E480" s="667"/>
      <c r="F480" s="667"/>
      <c r="G480" s="667"/>
      <c r="H480" s="671"/>
      <c r="I480" s="671"/>
      <c r="J480" s="667"/>
      <c r="K480" s="667"/>
      <c r="L480" s="667"/>
    </row>
    <row r="481" spans="1:12" x14ac:dyDescent="0.25">
      <c r="A481" s="670"/>
      <c r="B481" s="667"/>
      <c r="C481" s="667"/>
      <c r="D481" s="667"/>
      <c r="E481" s="667"/>
      <c r="F481" s="667"/>
      <c r="G481" s="667"/>
      <c r="H481" s="671"/>
      <c r="I481" s="671"/>
      <c r="J481" s="667"/>
      <c r="K481" s="667"/>
      <c r="L481" s="667"/>
    </row>
    <row r="482" spans="1:12" x14ac:dyDescent="0.25">
      <c r="A482" s="670"/>
      <c r="B482" s="667"/>
      <c r="C482" s="667"/>
      <c r="D482" s="667"/>
      <c r="E482" s="667"/>
      <c r="F482" s="667"/>
      <c r="G482" s="667"/>
      <c r="H482" s="671"/>
      <c r="I482" s="671"/>
      <c r="J482" s="667"/>
      <c r="K482" s="667"/>
      <c r="L482" s="667"/>
    </row>
    <row r="483" spans="1:12" x14ac:dyDescent="0.25">
      <c r="A483" s="670"/>
      <c r="B483" s="667"/>
      <c r="C483" s="667"/>
      <c r="D483" s="667"/>
      <c r="E483" s="667"/>
      <c r="F483" s="667"/>
      <c r="G483" s="667"/>
      <c r="H483" s="671"/>
      <c r="I483" s="671"/>
      <c r="J483" s="667"/>
      <c r="K483" s="667"/>
      <c r="L483" s="667"/>
    </row>
    <row r="484" spans="1:12" x14ac:dyDescent="0.25">
      <c r="A484" s="670"/>
      <c r="B484" s="667"/>
      <c r="C484" s="667"/>
      <c r="D484" s="667"/>
      <c r="E484" s="667"/>
      <c r="F484" s="667"/>
      <c r="G484" s="667"/>
      <c r="H484" s="671"/>
      <c r="I484" s="671"/>
      <c r="J484" s="667"/>
      <c r="K484" s="667"/>
      <c r="L484" s="667"/>
    </row>
    <row r="485" spans="1:12" x14ac:dyDescent="0.25">
      <c r="A485" s="670"/>
      <c r="B485" s="667"/>
      <c r="C485" s="667"/>
      <c r="D485" s="667"/>
      <c r="E485" s="667"/>
      <c r="F485" s="667"/>
      <c r="G485" s="667"/>
      <c r="H485" s="671"/>
      <c r="I485" s="671"/>
      <c r="J485" s="667"/>
      <c r="K485" s="667"/>
      <c r="L485" s="667"/>
    </row>
    <row r="486" spans="1:12" x14ac:dyDescent="0.25">
      <c r="A486" s="670"/>
      <c r="B486" s="667"/>
      <c r="C486" s="667"/>
      <c r="D486" s="667"/>
      <c r="E486" s="667"/>
      <c r="F486" s="667"/>
      <c r="G486" s="667"/>
      <c r="H486" s="671"/>
      <c r="I486" s="671"/>
      <c r="J486" s="667"/>
      <c r="K486" s="667"/>
      <c r="L486" s="667"/>
    </row>
    <row r="487" spans="1:12" x14ac:dyDescent="0.25">
      <c r="A487" s="670"/>
      <c r="B487" s="667"/>
      <c r="C487" s="667"/>
      <c r="D487" s="667"/>
      <c r="E487" s="667"/>
      <c r="F487" s="667"/>
      <c r="G487" s="667"/>
      <c r="H487" s="671"/>
      <c r="I487" s="671"/>
      <c r="J487" s="667"/>
      <c r="K487" s="667"/>
      <c r="L487" s="667"/>
    </row>
    <row r="488" spans="1:12" x14ac:dyDescent="0.25">
      <c r="A488" s="670"/>
      <c r="B488" s="667"/>
      <c r="C488" s="667"/>
      <c r="D488" s="667"/>
      <c r="E488" s="667"/>
      <c r="F488" s="667"/>
      <c r="G488" s="667"/>
      <c r="H488" s="671"/>
      <c r="I488" s="671"/>
      <c r="J488" s="667"/>
      <c r="K488" s="667"/>
      <c r="L488" s="667"/>
    </row>
    <row r="489" spans="1:12" x14ac:dyDescent="0.25">
      <c r="A489" s="670"/>
      <c r="B489" s="667"/>
      <c r="C489" s="667"/>
      <c r="D489" s="667"/>
      <c r="E489" s="667"/>
      <c r="F489" s="667"/>
      <c r="G489" s="667"/>
      <c r="H489" s="671"/>
      <c r="I489" s="671"/>
      <c r="J489" s="667"/>
      <c r="K489" s="667"/>
      <c r="L489" s="667"/>
    </row>
    <row r="490" spans="1:12" x14ac:dyDescent="0.25">
      <c r="A490" s="670"/>
      <c r="B490" s="667"/>
      <c r="C490" s="667"/>
      <c r="D490" s="667"/>
      <c r="E490" s="667"/>
      <c r="F490" s="667"/>
      <c r="G490" s="667"/>
      <c r="H490" s="671"/>
      <c r="I490" s="671"/>
      <c r="J490" s="667"/>
      <c r="K490" s="667"/>
      <c r="L490" s="667"/>
    </row>
    <row r="491" spans="1:12" x14ac:dyDescent="0.25">
      <c r="A491" s="670"/>
      <c r="B491" s="667"/>
      <c r="C491" s="667"/>
      <c r="D491" s="667"/>
      <c r="E491" s="667"/>
      <c r="F491" s="667"/>
      <c r="G491" s="667"/>
      <c r="H491" s="671"/>
      <c r="I491" s="671"/>
      <c r="J491" s="667"/>
      <c r="K491" s="667"/>
      <c r="L491" s="667"/>
    </row>
    <row r="492" spans="1:12" x14ac:dyDescent="0.25">
      <c r="A492" s="670"/>
      <c r="B492" s="667"/>
      <c r="C492" s="667"/>
      <c r="D492" s="667"/>
      <c r="E492" s="667"/>
      <c r="F492" s="667"/>
      <c r="G492" s="667"/>
      <c r="H492" s="671"/>
      <c r="I492" s="671"/>
      <c r="J492" s="667"/>
      <c r="K492" s="667"/>
      <c r="L492" s="667"/>
    </row>
    <row r="493" spans="1:12" x14ac:dyDescent="0.25">
      <c r="A493" s="670"/>
      <c r="B493" s="667"/>
      <c r="C493" s="667"/>
      <c r="D493" s="667"/>
      <c r="E493" s="667"/>
      <c r="F493" s="667"/>
      <c r="G493" s="667"/>
      <c r="H493" s="671"/>
      <c r="I493" s="671"/>
      <c r="J493" s="667"/>
      <c r="K493" s="667"/>
      <c r="L493" s="667"/>
    </row>
    <row r="494" spans="1:12" x14ac:dyDescent="0.25">
      <c r="A494" s="670"/>
      <c r="B494" s="667"/>
      <c r="C494" s="667"/>
      <c r="D494" s="667"/>
      <c r="E494" s="667"/>
      <c r="F494" s="667"/>
      <c r="G494" s="667"/>
      <c r="H494" s="671"/>
      <c r="I494" s="671"/>
      <c r="J494" s="667"/>
      <c r="K494" s="667"/>
      <c r="L494" s="667"/>
    </row>
    <row r="495" spans="1:12" x14ac:dyDescent="0.25">
      <c r="A495" s="670"/>
      <c r="B495" s="667"/>
      <c r="C495" s="667"/>
      <c r="D495" s="667"/>
      <c r="E495" s="667"/>
      <c r="F495" s="667"/>
      <c r="G495" s="667"/>
      <c r="H495" s="671"/>
      <c r="I495" s="671"/>
      <c r="J495" s="667"/>
      <c r="K495" s="667"/>
      <c r="L495" s="667"/>
    </row>
    <row r="496" spans="1:12" x14ac:dyDescent="0.25">
      <c r="A496" s="670"/>
      <c r="B496" s="667"/>
      <c r="C496" s="667"/>
      <c r="D496" s="667"/>
      <c r="E496" s="667"/>
      <c r="F496" s="667"/>
      <c r="G496" s="667"/>
      <c r="H496" s="671"/>
      <c r="I496" s="671"/>
      <c r="J496" s="667"/>
      <c r="K496" s="667"/>
      <c r="L496" s="667"/>
    </row>
    <row r="497" spans="1:12" x14ac:dyDescent="0.25">
      <c r="A497" s="670"/>
      <c r="B497" s="667"/>
      <c r="C497" s="667"/>
      <c r="D497" s="667"/>
      <c r="E497" s="667"/>
      <c r="F497" s="667"/>
      <c r="G497" s="667"/>
      <c r="H497" s="671"/>
      <c r="I497" s="671"/>
      <c r="J497" s="667"/>
      <c r="K497" s="667"/>
      <c r="L497" s="667"/>
    </row>
    <row r="498" spans="1:12" x14ac:dyDescent="0.25">
      <c r="A498" s="670"/>
      <c r="B498" s="667"/>
      <c r="C498" s="667"/>
      <c r="D498" s="667"/>
      <c r="E498" s="667"/>
      <c r="F498" s="667"/>
      <c r="G498" s="667"/>
      <c r="H498" s="671"/>
      <c r="I498" s="671"/>
      <c r="J498" s="667"/>
      <c r="K498" s="667"/>
      <c r="L498" s="667"/>
    </row>
    <row r="499" spans="1:12" x14ac:dyDescent="0.25">
      <c r="A499" s="670"/>
      <c r="B499" s="667"/>
      <c r="C499" s="667"/>
      <c r="D499" s="667"/>
      <c r="E499" s="667"/>
      <c r="F499" s="667"/>
      <c r="G499" s="667"/>
      <c r="H499" s="671"/>
      <c r="I499" s="671"/>
      <c r="J499" s="667"/>
      <c r="K499" s="667"/>
      <c r="L499" s="667"/>
    </row>
    <row r="500" spans="1:12" x14ac:dyDescent="0.25">
      <c r="A500" s="670"/>
      <c r="B500" s="667"/>
      <c r="C500" s="667"/>
      <c r="D500" s="667"/>
      <c r="E500" s="667"/>
      <c r="F500" s="667"/>
      <c r="G500" s="667"/>
      <c r="H500" s="671"/>
      <c r="I500" s="671"/>
      <c r="J500" s="667"/>
      <c r="K500" s="667"/>
      <c r="L500" s="667"/>
    </row>
    <row r="501" spans="1:12" x14ac:dyDescent="0.25">
      <c r="A501" s="670"/>
      <c r="B501" s="667"/>
      <c r="C501" s="667"/>
      <c r="D501" s="667"/>
      <c r="E501" s="667"/>
      <c r="F501" s="667"/>
      <c r="G501" s="667"/>
      <c r="H501" s="671"/>
      <c r="I501" s="671"/>
      <c r="J501" s="667"/>
      <c r="K501" s="667"/>
      <c r="L501" s="667"/>
    </row>
    <row r="502" spans="1:12" x14ac:dyDescent="0.25">
      <c r="A502" s="670"/>
      <c r="B502" s="667"/>
      <c r="C502" s="667"/>
      <c r="D502" s="667"/>
      <c r="E502" s="667"/>
      <c r="F502" s="667"/>
      <c r="G502" s="667"/>
      <c r="H502" s="671"/>
      <c r="I502" s="671"/>
      <c r="J502" s="667"/>
      <c r="K502" s="667"/>
      <c r="L502" s="667"/>
    </row>
    <row r="503" spans="1:12" x14ac:dyDescent="0.25">
      <c r="A503" s="670"/>
      <c r="B503" s="667"/>
      <c r="C503" s="667"/>
      <c r="D503" s="667"/>
      <c r="E503" s="667"/>
      <c r="F503" s="667"/>
      <c r="G503" s="667"/>
      <c r="H503" s="671"/>
      <c r="I503" s="671"/>
      <c r="J503" s="667"/>
      <c r="K503" s="667"/>
      <c r="L503" s="667"/>
    </row>
    <row r="504" spans="1:12" x14ac:dyDescent="0.25">
      <c r="A504" s="670"/>
      <c r="B504" s="667"/>
      <c r="C504" s="667"/>
      <c r="D504" s="667"/>
      <c r="E504" s="667"/>
      <c r="F504" s="667"/>
      <c r="G504" s="667"/>
      <c r="H504" s="671"/>
      <c r="I504" s="671"/>
      <c r="J504" s="667"/>
      <c r="K504" s="667"/>
      <c r="L504" s="667"/>
    </row>
    <row r="505" spans="1:12" x14ac:dyDescent="0.25">
      <c r="A505" s="670"/>
      <c r="B505" s="667"/>
      <c r="C505" s="667"/>
      <c r="D505" s="667"/>
      <c r="E505" s="667"/>
      <c r="F505" s="667"/>
      <c r="G505" s="667"/>
      <c r="H505" s="671"/>
      <c r="I505" s="671"/>
      <c r="J505" s="667"/>
      <c r="K505" s="667"/>
      <c r="L505" s="667"/>
    </row>
    <row r="506" spans="1:12" x14ac:dyDescent="0.25">
      <c r="A506" s="670"/>
      <c r="B506" s="667"/>
      <c r="C506" s="667"/>
      <c r="D506" s="667"/>
      <c r="E506" s="667"/>
      <c r="F506" s="667"/>
      <c r="G506" s="667"/>
      <c r="H506" s="671"/>
      <c r="I506" s="671"/>
      <c r="J506" s="667"/>
      <c r="K506" s="667"/>
      <c r="L506" s="667"/>
    </row>
    <row r="507" spans="1:12" x14ac:dyDescent="0.25">
      <c r="A507" s="670"/>
      <c r="B507" s="667"/>
      <c r="C507" s="667"/>
      <c r="D507" s="667"/>
      <c r="E507" s="667"/>
      <c r="F507" s="667"/>
      <c r="G507" s="667"/>
      <c r="H507" s="671"/>
      <c r="I507" s="671"/>
      <c r="J507" s="667"/>
      <c r="K507" s="667"/>
      <c r="L507" s="667"/>
    </row>
    <row r="508" spans="1:12" x14ac:dyDescent="0.25">
      <c r="A508" s="670"/>
      <c r="B508" s="667"/>
      <c r="C508" s="667"/>
      <c r="D508" s="667"/>
      <c r="E508" s="667"/>
      <c r="F508" s="667"/>
      <c r="G508" s="667"/>
      <c r="H508" s="671"/>
      <c r="I508" s="671"/>
      <c r="J508" s="667"/>
      <c r="K508" s="667"/>
      <c r="L508" s="667"/>
    </row>
    <row r="509" spans="1:12" x14ac:dyDescent="0.25">
      <c r="A509" s="670"/>
      <c r="B509" s="667"/>
      <c r="C509" s="667"/>
      <c r="D509" s="667"/>
      <c r="E509" s="667"/>
      <c r="F509" s="667"/>
      <c r="G509" s="667"/>
      <c r="H509" s="671"/>
      <c r="I509" s="671"/>
      <c r="J509" s="667"/>
      <c r="K509" s="667"/>
      <c r="L509" s="667"/>
    </row>
    <row r="510" spans="1:12" x14ac:dyDescent="0.25">
      <c r="A510" s="670"/>
      <c r="B510" s="667"/>
      <c r="C510" s="667"/>
      <c r="D510" s="667"/>
      <c r="E510" s="667"/>
      <c r="F510" s="667"/>
      <c r="G510" s="667"/>
      <c r="H510" s="671"/>
      <c r="I510" s="671"/>
      <c r="J510" s="667"/>
      <c r="K510" s="667"/>
      <c r="L510" s="667"/>
    </row>
    <row r="511" spans="1:12" x14ac:dyDescent="0.25">
      <c r="A511" s="670"/>
      <c r="B511" s="667"/>
      <c r="C511" s="667"/>
      <c r="D511" s="667"/>
      <c r="E511" s="667"/>
      <c r="F511" s="667"/>
      <c r="G511" s="667"/>
      <c r="H511" s="671"/>
      <c r="I511" s="671"/>
      <c r="J511" s="667"/>
      <c r="K511" s="667"/>
      <c r="L511" s="667"/>
    </row>
    <row r="512" spans="1:12" x14ac:dyDescent="0.25">
      <c r="A512" s="670"/>
      <c r="B512" s="667"/>
      <c r="C512" s="667"/>
      <c r="D512" s="667"/>
      <c r="E512" s="667"/>
      <c r="F512" s="667"/>
      <c r="G512" s="667"/>
      <c r="H512" s="671"/>
      <c r="I512" s="671"/>
      <c r="J512" s="667"/>
      <c r="K512" s="667"/>
      <c r="L512" s="667"/>
    </row>
    <row r="513" spans="1:12" x14ac:dyDescent="0.25">
      <c r="A513" s="670"/>
      <c r="B513" s="667"/>
      <c r="C513" s="667"/>
      <c r="D513" s="667"/>
      <c r="E513" s="667"/>
      <c r="F513" s="667"/>
      <c r="G513" s="667"/>
      <c r="H513" s="671"/>
      <c r="I513" s="671"/>
      <c r="J513" s="667"/>
      <c r="K513" s="667"/>
      <c r="L513" s="667"/>
    </row>
    <row r="514" spans="1:12" x14ac:dyDescent="0.25">
      <c r="A514" s="670"/>
      <c r="B514" s="667"/>
      <c r="C514" s="667"/>
      <c r="D514" s="667"/>
      <c r="E514" s="667"/>
      <c r="F514" s="667"/>
      <c r="G514" s="667"/>
      <c r="H514" s="671"/>
      <c r="I514" s="671"/>
      <c r="J514" s="667"/>
      <c r="K514" s="667"/>
      <c r="L514" s="667"/>
    </row>
    <row r="515" spans="1:12" x14ac:dyDescent="0.25">
      <c r="A515" s="670"/>
      <c r="B515" s="667"/>
      <c r="C515" s="667"/>
      <c r="D515" s="667"/>
      <c r="E515" s="667"/>
      <c r="F515" s="667"/>
      <c r="G515" s="667"/>
      <c r="H515" s="671"/>
      <c r="I515" s="671"/>
      <c r="J515" s="667"/>
      <c r="K515" s="667"/>
      <c r="L515" s="667"/>
    </row>
    <row r="516" spans="1:12" x14ac:dyDescent="0.25">
      <c r="A516" s="670"/>
      <c r="B516" s="667"/>
      <c r="C516" s="667"/>
      <c r="D516" s="667"/>
      <c r="E516" s="667"/>
      <c r="F516" s="667"/>
      <c r="G516" s="667"/>
      <c r="H516" s="671"/>
      <c r="I516" s="671"/>
      <c r="J516" s="667"/>
      <c r="K516" s="667"/>
      <c r="L516" s="667"/>
    </row>
    <row r="517" spans="1:12" x14ac:dyDescent="0.25">
      <c r="A517" s="670"/>
      <c r="B517" s="667"/>
      <c r="C517" s="667"/>
      <c r="D517" s="667"/>
      <c r="E517" s="667"/>
      <c r="F517" s="667"/>
      <c r="G517" s="667"/>
      <c r="H517" s="671"/>
      <c r="I517" s="671"/>
      <c r="J517" s="667"/>
      <c r="K517" s="667"/>
      <c r="L517" s="667"/>
    </row>
    <row r="518" spans="1:12" x14ac:dyDescent="0.25">
      <c r="A518" s="670"/>
      <c r="B518" s="667"/>
      <c r="C518" s="667"/>
      <c r="D518" s="667"/>
      <c r="E518" s="667"/>
      <c r="F518" s="667"/>
      <c r="G518" s="667"/>
      <c r="H518" s="671"/>
      <c r="I518" s="671"/>
      <c r="J518" s="667"/>
      <c r="K518" s="667"/>
      <c r="L518" s="667"/>
    </row>
    <row r="519" spans="1:12" x14ac:dyDescent="0.25">
      <c r="A519" s="670"/>
      <c r="B519" s="667"/>
      <c r="C519" s="667"/>
      <c r="D519" s="667"/>
      <c r="E519" s="667"/>
      <c r="F519" s="667"/>
      <c r="G519" s="667"/>
      <c r="H519" s="671"/>
      <c r="I519" s="671"/>
      <c r="J519" s="667"/>
      <c r="K519" s="667"/>
      <c r="L519" s="667"/>
    </row>
    <row r="520" spans="1:12" x14ac:dyDescent="0.25">
      <c r="A520" s="670"/>
      <c r="B520" s="667"/>
      <c r="C520" s="667"/>
      <c r="D520" s="667"/>
      <c r="E520" s="667"/>
      <c r="F520" s="667"/>
      <c r="G520" s="667"/>
      <c r="H520" s="671"/>
      <c r="I520" s="671"/>
      <c r="J520" s="667"/>
      <c r="K520" s="667"/>
      <c r="L520" s="667"/>
    </row>
    <row r="521" spans="1:12" x14ac:dyDescent="0.25">
      <c r="A521" s="670"/>
      <c r="B521" s="667"/>
      <c r="C521" s="667"/>
      <c r="D521" s="667"/>
      <c r="E521" s="667"/>
      <c r="F521" s="667"/>
      <c r="G521" s="667"/>
      <c r="H521" s="671"/>
      <c r="I521" s="671"/>
      <c r="J521" s="667"/>
      <c r="K521" s="667"/>
      <c r="L521" s="667"/>
    </row>
    <row r="522" spans="1:12" x14ac:dyDescent="0.25">
      <c r="A522" s="670"/>
      <c r="B522" s="667"/>
      <c r="C522" s="667"/>
      <c r="D522" s="667"/>
      <c r="E522" s="667"/>
      <c r="F522" s="667"/>
      <c r="G522" s="667"/>
      <c r="H522" s="671"/>
      <c r="I522" s="671"/>
      <c r="J522" s="667"/>
      <c r="K522" s="667"/>
      <c r="L522" s="667"/>
    </row>
    <row r="523" spans="1:12" x14ac:dyDescent="0.25">
      <c r="A523" s="670"/>
      <c r="B523" s="667"/>
      <c r="C523" s="667"/>
      <c r="D523" s="667"/>
      <c r="E523" s="667"/>
      <c r="F523" s="667"/>
      <c r="G523" s="667"/>
      <c r="H523" s="671"/>
      <c r="I523" s="671"/>
      <c r="J523" s="667"/>
      <c r="K523" s="667"/>
      <c r="L523" s="667"/>
    </row>
    <row r="524" spans="1:12" x14ac:dyDescent="0.25">
      <c r="A524" s="670"/>
      <c r="B524" s="667"/>
      <c r="C524" s="667"/>
      <c r="D524" s="667"/>
      <c r="E524" s="667"/>
      <c r="F524" s="667"/>
      <c r="G524" s="667"/>
      <c r="H524" s="671"/>
      <c r="I524" s="671"/>
      <c r="J524" s="667"/>
      <c r="K524" s="667"/>
      <c r="L524" s="667"/>
    </row>
    <row r="525" spans="1:12" x14ac:dyDescent="0.25">
      <c r="A525" s="670"/>
      <c r="B525" s="667"/>
      <c r="C525" s="667"/>
      <c r="D525" s="667"/>
      <c r="E525" s="667"/>
      <c r="F525" s="667"/>
      <c r="G525" s="667"/>
      <c r="H525" s="671"/>
      <c r="I525" s="671"/>
      <c r="J525" s="667"/>
      <c r="K525" s="667"/>
      <c r="L525" s="667"/>
    </row>
    <row r="526" spans="1:12" x14ac:dyDescent="0.25">
      <c r="A526" s="670"/>
      <c r="B526" s="667"/>
      <c r="C526" s="667"/>
      <c r="D526" s="667"/>
      <c r="E526" s="667"/>
      <c r="F526" s="667"/>
      <c r="G526" s="667"/>
      <c r="H526" s="671"/>
      <c r="I526" s="671"/>
      <c r="J526" s="667"/>
      <c r="K526" s="667"/>
      <c r="L526" s="667"/>
    </row>
    <row r="527" spans="1:12" x14ac:dyDescent="0.25">
      <c r="A527" s="670"/>
      <c r="B527" s="667"/>
      <c r="C527" s="667"/>
      <c r="D527" s="667"/>
      <c r="E527" s="667"/>
      <c r="F527" s="667"/>
      <c r="G527" s="667"/>
      <c r="H527" s="671"/>
      <c r="I527" s="671"/>
      <c r="J527" s="667"/>
      <c r="K527" s="667"/>
      <c r="L527" s="667"/>
    </row>
    <row r="528" spans="1:12" x14ac:dyDescent="0.25">
      <c r="A528" s="670"/>
      <c r="B528" s="667"/>
      <c r="C528" s="667"/>
      <c r="D528" s="667"/>
      <c r="E528" s="667"/>
      <c r="F528" s="667"/>
      <c r="G528" s="667"/>
      <c r="H528" s="671"/>
      <c r="I528" s="671"/>
      <c r="J528" s="667"/>
      <c r="K528" s="667"/>
      <c r="L528" s="667"/>
    </row>
    <row r="529" spans="1:12" x14ac:dyDescent="0.25">
      <c r="A529" s="670"/>
      <c r="B529" s="667"/>
      <c r="C529" s="667"/>
      <c r="D529" s="667"/>
      <c r="E529" s="667"/>
      <c r="F529" s="667"/>
      <c r="G529" s="667"/>
      <c r="H529" s="671"/>
      <c r="I529" s="671"/>
      <c r="J529" s="667"/>
      <c r="K529" s="667"/>
      <c r="L529" s="667"/>
    </row>
    <row r="530" spans="1:12" x14ac:dyDescent="0.25">
      <c r="A530" s="670"/>
      <c r="B530" s="667"/>
      <c r="C530" s="667"/>
      <c r="D530" s="667"/>
      <c r="E530" s="667"/>
      <c r="F530" s="667"/>
      <c r="G530" s="667"/>
      <c r="H530" s="671"/>
      <c r="I530" s="671"/>
      <c r="J530" s="667"/>
      <c r="K530" s="667"/>
      <c r="L530" s="667"/>
    </row>
    <row r="531" spans="1:12" x14ac:dyDescent="0.25">
      <c r="A531" s="670"/>
      <c r="B531" s="667"/>
      <c r="C531" s="667"/>
      <c r="D531" s="667"/>
      <c r="E531" s="667"/>
      <c r="F531" s="667"/>
      <c r="G531" s="667"/>
      <c r="H531" s="671"/>
      <c r="I531" s="671"/>
      <c r="J531" s="667"/>
      <c r="K531" s="667"/>
      <c r="L531" s="667"/>
    </row>
    <row r="532" spans="1:12" x14ac:dyDescent="0.25">
      <c r="A532" s="670"/>
      <c r="B532" s="667"/>
      <c r="C532" s="667"/>
      <c r="D532" s="667"/>
      <c r="E532" s="667"/>
      <c r="F532" s="667"/>
      <c r="G532" s="667"/>
      <c r="H532" s="671"/>
      <c r="I532" s="671"/>
      <c r="J532" s="667"/>
      <c r="K532" s="667"/>
      <c r="L532" s="667"/>
    </row>
    <row r="533" spans="1:12" x14ac:dyDescent="0.25">
      <c r="A533" s="670"/>
      <c r="B533" s="667"/>
      <c r="C533" s="667"/>
      <c r="D533" s="667"/>
      <c r="E533" s="667"/>
      <c r="F533" s="667"/>
      <c r="G533" s="667"/>
      <c r="H533" s="671"/>
      <c r="I533" s="671"/>
      <c r="J533" s="667"/>
      <c r="K533" s="667"/>
      <c r="L533" s="667"/>
    </row>
    <row r="534" spans="1:12" x14ac:dyDescent="0.25">
      <c r="A534" s="670"/>
      <c r="B534" s="667"/>
      <c r="C534" s="667"/>
      <c r="D534" s="667"/>
      <c r="E534" s="667"/>
      <c r="F534" s="667"/>
      <c r="G534" s="667"/>
      <c r="H534" s="671"/>
      <c r="I534" s="671"/>
      <c r="J534" s="667"/>
      <c r="K534" s="667"/>
      <c r="L534" s="667"/>
    </row>
    <row r="535" spans="1:12" x14ac:dyDescent="0.25">
      <c r="A535" s="670"/>
      <c r="B535" s="667"/>
      <c r="C535" s="667"/>
      <c r="D535" s="667"/>
      <c r="E535" s="667"/>
      <c r="F535" s="667"/>
      <c r="G535" s="667"/>
      <c r="H535" s="671"/>
      <c r="I535" s="671"/>
      <c r="J535" s="667"/>
      <c r="K535" s="667"/>
      <c r="L535" s="667"/>
    </row>
    <row r="536" spans="1:12" x14ac:dyDescent="0.25">
      <c r="A536" s="670"/>
      <c r="B536" s="667"/>
      <c r="C536" s="667"/>
      <c r="D536" s="667"/>
      <c r="E536" s="667"/>
      <c r="F536" s="667"/>
      <c r="G536" s="667"/>
      <c r="H536" s="671"/>
      <c r="I536" s="671"/>
      <c r="J536" s="667"/>
      <c r="K536" s="667"/>
      <c r="L536" s="667"/>
    </row>
    <row r="537" spans="1:12" x14ac:dyDescent="0.25">
      <c r="A537" s="670"/>
      <c r="B537" s="667"/>
      <c r="C537" s="667"/>
      <c r="D537" s="667"/>
      <c r="E537" s="667"/>
      <c r="F537" s="667"/>
      <c r="G537" s="667"/>
      <c r="H537" s="671"/>
      <c r="I537" s="671"/>
      <c r="J537" s="667"/>
      <c r="K537" s="667"/>
      <c r="L537" s="667"/>
    </row>
    <row r="538" spans="1:12" x14ac:dyDescent="0.25">
      <c r="A538" s="670"/>
      <c r="B538" s="667"/>
      <c r="C538" s="667"/>
      <c r="D538" s="667"/>
      <c r="E538" s="667"/>
      <c r="F538" s="667"/>
      <c r="G538" s="667"/>
      <c r="H538" s="671"/>
      <c r="I538" s="671"/>
      <c r="J538" s="667"/>
      <c r="K538" s="667"/>
      <c r="L538" s="667"/>
    </row>
    <row r="539" spans="1:12" x14ac:dyDescent="0.25">
      <c r="A539" s="670"/>
      <c r="B539" s="667"/>
      <c r="C539" s="667"/>
      <c r="D539" s="667"/>
      <c r="E539" s="667"/>
      <c r="F539" s="667"/>
      <c r="G539" s="667"/>
      <c r="H539" s="671"/>
      <c r="I539" s="671"/>
      <c r="J539" s="667"/>
      <c r="K539" s="667"/>
      <c r="L539" s="667"/>
    </row>
    <row r="540" spans="1:12" x14ac:dyDescent="0.25">
      <c r="A540" s="670"/>
      <c r="B540" s="667"/>
      <c r="C540" s="667"/>
      <c r="D540" s="667"/>
      <c r="E540" s="667"/>
      <c r="F540" s="667"/>
      <c r="G540" s="667"/>
      <c r="H540" s="671"/>
      <c r="I540" s="671"/>
      <c r="J540" s="667"/>
      <c r="K540" s="667"/>
      <c r="L540" s="667"/>
    </row>
    <row r="541" spans="1:12" x14ac:dyDescent="0.25">
      <c r="A541" s="670"/>
      <c r="B541" s="667"/>
      <c r="C541" s="667"/>
      <c r="D541" s="667"/>
      <c r="E541" s="667"/>
      <c r="F541" s="667"/>
      <c r="G541" s="667"/>
      <c r="H541" s="671"/>
      <c r="I541" s="671"/>
      <c r="J541" s="667"/>
      <c r="K541" s="667"/>
      <c r="L541" s="667"/>
    </row>
    <row r="542" spans="1:12" x14ac:dyDescent="0.25">
      <c r="A542" s="670"/>
      <c r="B542" s="667"/>
      <c r="C542" s="667"/>
      <c r="D542" s="667"/>
      <c r="E542" s="667"/>
      <c r="F542" s="667"/>
      <c r="G542" s="667"/>
      <c r="H542" s="671"/>
      <c r="I542" s="671"/>
      <c r="J542" s="667"/>
      <c r="K542" s="667"/>
      <c r="L542" s="667"/>
    </row>
    <row r="543" spans="1:12" x14ac:dyDescent="0.25">
      <c r="A543" s="670"/>
      <c r="B543" s="667"/>
      <c r="C543" s="667"/>
      <c r="D543" s="667"/>
      <c r="E543" s="667"/>
      <c r="F543" s="667"/>
      <c r="G543" s="667"/>
      <c r="H543" s="671"/>
      <c r="I543" s="671"/>
      <c r="J543" s="667"/>
      <c r="K543" s="667"/>
      <c r="L543" s="667"/>
    </row>
    <row r="544" spans="1:12" x14ac:dyDescent="0.25">
      <c r="A544" s="670"/>
      <c r="B544" s="667"/>
      <c r="C544" s="667"/>
      <c r="D544" s="667"/>
      <c r="E544" s="667"/>
      <c r="F544" s="667"/>
      <c r="G544" s="667"/>
      <c r="H544" s="671"/>
      <c r="I544" s="671"/>
      <c r="J544" s="667"/>
      <c r="K544" s="667"/>
      <c r="L544" s="667"/>
    </row>
    <row r="545" spans="1:12" x14ac:dyDescent="0.25">
      <c r="A545" s="670"/>
      <c r="B545" s="667"/>
      <c r="C545" s="667"/>
      <c r="D545" s="667"/>
      <c r="E545" s="667"/>
      <c r="F545" s="667"/>
      <c r="G545" s="667"/>
      <c r="H545" s="671"/>
      <c r="I545" s="671"/>
      <c r="J545" s="667"/>
      <c r="K545" s="667"/>
      <c r="L545" s="667"/>
    </row>
    <row r="546" spans="1:12" x14ac:dyDescent="0.25">
      <c r="A546" s="670"/>
      <c r="B546" s="667"/>
      <c r="C546" s="667"/>
      <c r="D546" s="667"/>
      <c r="E546" s="667"/>
      <c r="F546" s="667"/>
      <c r="G546" s="667"/>
      <c r="H546" s="671"/>
      <c r="I546" s="671"/>
      <c r="J546" s="667"/>
      <c r="K546" s="667"/>
      <c r="L546" s="667"/>
    </row>
    <row r="547" spans="1:12" x14ac:dyDescent="0.25">
      <c r="A547" s="670"/>
      <c r="B547" s="667"/>
      <c r="C547" s="667"/>
      <c r="D547" s="667"/>
      <c r="E547" s="667"/>
      <c r="F547" s="667"/>
      <c r="G547" s="667"/>
      <c r="H547" s="671"/>
      <c r="I547" s="671"/>
      <c r="J547" s="667"/>
      <c r="K547" s="667"/>
      <c r="L547" s="667"/>
    </row>
    <row r="548" spans="1:12" x14ac:dyDescent="0.25">
      <c r="A548" s="670"/>
      <c r="B548" s="667"/>
      <c r="C548" s="667"/>
      <c r="D548" s="667"/>
      <c r="E548" s="667"/>
      <c r="F548" s="667"/>
      <c r="G548" s="667"/>
      <c r="H548" s="671"/>
      <c r="I548" s="671"/>
      <c r="J548" s="667"/>
      <c r="K548" s="667"/>
      <c r="L548" s="667"/>
    </row>
    <row r="549" spans="1:12" x14ac:dyDescent="0.25">
      <c r="A549" s="670"/>
      <c r="B549" s="667"/>
      <c r="C549" s="667"/>
      <c r="D549" s="667"/>
      <c r="E549" s="667"/>
      <c r="F549" s="667"/>
      <c r="G549" s="667"/>
      <c r="H549" s="671"/>
      <c r="I549" s="671"/>
      <c r="J549" s="667"/>
      <c r="K549" s="667"/>
      <c r="L549" s="667"/>
    </row>
    <row r="550" spans="1:12" x14ac:dyDescent="0.25">
      <c r="A550" s="670"/>
      <c r="B550" s="667"/>
      <c r="C550" s="667"/>
      <c r="D550" s="667"/>
      <c r="E550" s="667"/>
      <c r="F550" s="667"/>
      <c r="G550" s="667"/>
      <c r="H550" s="671"/>
      <c r="I550" s="671"/>
      <c r="J550" s="667"/>
      <c r="K550" s="667"/>
      <c r="L550" s="667"/>
    </row>
    <row r="551" spans="1:12" x14ac:dyDescent="0.25">
      <c r="A551" s="670"/>
      <c r="B551" s="667"/>
      <c r="C551" s="667"/>
      <c r="D551" s="667"/>
      <c r="E551" s="667"/>
      <c r="F551" s="667"/>
      <c r="G551" s="667"/>
      <c r="H551" s="671"/>
      <c r="I551" s="671"/>
      <c r="J551" s="667"/>
      <c r="K551" s="667"/>
      <c r="L551" s="667"/>
    </row>
    <row r="552" spans="1:12" x14ac:dyDescent="0.25">
      <c r="A552" s="670"/>
      <c r="B552" s="667"/>
      <c r="C552" s="667"/>
      <c r="D552" s="667"/>
      <c r="E552" s="667"/>
      <c r="F552" s="667"/>
      <c r="G552" s="667"/>
      <c r="H552" s="671"/>
      <c r="I552" s="671"/>
      <c r="J552" s="667"/>
      <c r="K552" s="667"/>
      <c r="L552" s="667"/>
    </row>
    <row r="553" spans="1:12" x14ac:dyDescent="0.25">
      <c r="A553" s="670"/>
      <c r="B553" s="667"/>
      <c r="C553" s="667"/>
      <c r="D553" s="667"/>
      <c r="E553" s="667"/>
      <c r="F553" s="667"/>
      <c r="G553" s="667"/>
      <c r="H553" s="671"/>
      <c r="I553" s="671"/>
      <c r="J553" s="667"/>
      <c r="K553" s="667"/>
      <c r="L553" s="667"/>
    </row>
    <row r="554" spans="1:12" x14ac:dyDescent="0.25">
      <c r="A554" s="670"/>
      <c r="B554" s="667"/>
      <c r="C554" s="667"/>
      <c r="D554" s="667"/>
      <c r="E554" s="667"/>
      <c r="F554" s="667"/>
      <c r="G554" s="667"/>
      <c r="H554" s="671"/>
      <c r="I554" s="671"/>
      <c r="J554" s="667"/>
      <c r="K554" s="667"/>
      <c r="L554" s="667"/>
    </row>
    <row r="555" spans="1:12" x14ac:dyDescent="0.25">
      <c r="A555" s="670"/>
      <c r="B555" s="667"/>
      <c r="C555" s="667"/>
      <c r="D555" s="667"/>
      <c r="E555" s="667"/>
      <c r="F555" s="667"/>
      <c r="G555" s="667"/>
      <c r="H555" s="671"/>
      <c r="I555" s="671"/>
      <c r="J555" s="667"/>
      <c r="K555" s="667"/>
      <c r="L555" s="667"/>
    </row>
    <row r="556" spans="1:12" x14ac:dyDescent="0.25">
      <c r="A556" s="670"/>
      <c r="B556" s="667"/>
      <c r="C556" s="667"/>
      <c r="D556" s="667"/>
      <c r="E556" s="667"/>
      <c r="F556" s="667"/>
      <c r="G556" s="667"/>
      <c r="H556" s="671"/>
      <c r="I556" s="671"/>
      <c r="J556" s="667"/>
      <c r="K556" s="667"/>
      <c r="L556" s="667"/>
    </row>
    <row r="557" spans="1:12" x14ac:dyDescent="0.25">
      <c r="A557" s="670"/>
      <c r="B557" s="667"/>
      <c r="C557" s="667"/>
      <c r="D557" s="667"/>
      <c r="E557" s="667"/>
      <c r="F557" s="667"/>
      <c r="G557" s="667"/>
      <c r="H557" s="671"/>
      <c r="I557" s="671"/>
      <c r="J557" s="667"/>
      <c r="K557" s="667"/>
      <c r="L557" s="667"/>
    </row>
    <row r="558" spans="1:12" x14ac:dyDescent="0.25">
      <c r="A558" s="670"/>
      <c r="B558" s="667"/>
      <c r="C558" s="667"/>
      <c r="D558" s="667"/>
      <c r="E558" s="667"/>
      <c r="F558" s="667"/>
      <c r="G558" s="667"/>
      <c r="H558" s="671"/>
      <c r="I558" s="671"/>
      <c r="J558" s="667"/>
      <c r="K558" s="667"/>
      <c r="L558" s="667"/>
    </row>
    <row r="559" spans="1:12" x14ac:dyDescent="0.25">
      <c r="A559" s="670"/>
      <c r="B559" s="667"/>
      <c r="C559" s="667"/>
      <c r="D559" s="667"/>
      <c r="E559" s="667"/>
      <c r="F559" s="667"/>
      <c r="G559" s="667"/>
      <c r="H559" s="671"/>
      <c r="I559" s="671"/>
      <c r="J559" s="667"/>
      <c r="K559" s="667"/>
      <c r="L559" s="667"/>
    </row>
    <row r="560" spans="1:12" x14ac:dyDescent="0.25">
      <c r="A560" s="670"/>
      <c r="B560" s="667"/>
      <c r="C560" s="667"/>
      <c r="D560" s="667"/>
      <c r="E560" s="667"/>
      <c r="F560" s="667"/>
      <c r="G560" s="667"/>
      <c r="H560" s="671"/>
      <c r="I560" s="671"/>
      <c r="J560" s="667"/>
      <c r="K560" s="667"/>
      <c r="L560" s="667"/>
    </row>
    <row r="561" spans="1:12" x14ac:dyDescent="0.25">
      <c r="A561" s="670"/>
      <c r="B561" s="667"/>
      <c r="C561" s="667"/>
      <c r="D561" s="667"/>
      <c r="E561" s="667"/>
      <c r="F561" s="667"/>
      <c r="G561" s="667"/>
      <c r="H561" s="671"/>
      <c r="I561" s="671"/>
      <c r="J561" s="667"/>
      <c r="K561" s="667"/>
      <c r="L561" s="667"/>
    </row>
    <row r="562" spans="1:12" x14ac:dyDescent="0.25">
      <c r="A562" s="670"/>
      <c r="B562" s="667"/>
      <c r="C562" s="667"/>
      <c r="D562" s="667"/>
      <c r="E562" s="667"/>
      <c r="F562" s="667"/>
      <c r="G562" s="667"/>
      <c r="H562" s="671"/>
      <c r="I562" s="671"/>
      <c r="J562" s="667"/>
      <c r="K562" s="667"/>
      <c r="L562" s="667"/>
    </row>
    <row r="563" spans="1:12" x14ac:dyDescent="0.25">
      <c r="A563" s="670"/>
      <c r="B563" s="667"/>
      <c r="C563" s="667"/>
      <c r="D563" s="667"/>
      <c r="E563" s="667"/>
      <c r="F563" s="667"/>
      <c r="G563" s="667"/>
      <c r="H563" s="671"/>
      <c r="I563" s="671"/>
      <c r="J563" s="667"/>
      <c r="K563" s="667"/>
      <c r="L563" s="667"/>
    </row>
    <row r="564" spans="1:12" x14ac:dyDescent="0.25">
      <c r="A564" s="670"/>
      <c r="B564" s="667"/>
      <c r="C564" s="667"/>
      <c r="D564" s="667"/>
      <c r="E564" s="667"/>
      <c r="F564" s="667"/>
      <c r="G564" s="667"/>
      <c r="H564" s="671"/>
      <c r="I564" s="671"/>
      <c r="J564" s="667"/>
      <c r="K564" s="667"/>
      <c r="L564" s="667"/>
    </row>
    <row r="565" spans="1:12" x14ac:dyDescent="0.25">
      <c r="A565" s="670"/>
      <c r="B565" s="667"/>
      <c r="C565" s="667"/>
      <c r="D565" s="667"/>
      <c r="E565" s="667"/>
      <c r="F565" s="667"/>
      <c r="G565" s="667"/>
      <c r="H565" s="671"/>
      <c r="I565" s="671"/>
      <c r="J565" s="667"/>
      <c r="K565" s="667"/>
      <c r="L565" s="667"/>
    </row>
    <row r="566" spans="1:12" x14ac:dyDescent="0.25">
      <c r="A566" s="670"/>
      <c r="B566" s="667"/>
      <c r="C566" s="667"/>
      <c r="D566" s="667"/>
      <c r="E566" s="667"/>
      <c r="F566" s="667"/>
      <c r="G566" s="667"/>
      <c r="H566" s="671"/>
      <c r="I566" s="671"/>
      <c r="J566" s="667"/>
      <c r="K566" s="667"/>
      <c r="L566" s="667"/>
    </row>
    <row r="567" spans="1:12" x14ac:dyDescent="0.25">
      <c r="A567" s="670"/>
      <c r="B567" s="667"/>
      <c r="C567" s="667"/>
      <c r="D567" s="667"/>
      <c r="E567" s="667"/>
      <c r="F567" s="667"/>
      <c r="G567" s="667"/>
      <c r="H567" s="671"/>
      <c r="I567" s="671"/>
      <c r="J567" s="667"/>
      <c r="K567" s="667"/>
      <c r="L567" s="667"/>
    </row>
    <row r="568" spans="1:12" x14ac:dyDescent="0.25">
      <c r="A568" s="670"/>
      <c r="B568" s="667"/>
      <c r="C568" s="667"/>
      <c r="D568" s="667"/>
      <c r="E568" s="667"/>
      <c r="F568" s="667"/>
      <c r="G568" s="667"/>
      <c r="H568" s="671"/>
      <c r="I568" s="671"/>
      <c r="J568" s="667"/>
      <c r="K568" s="667"/>
      <c r="L568" s="667"/>
    </row>
    <row r="569" spans="1:12" x14ac:dyDescent="0.25">
      <c r="A569" s="670"/>
      <c r="B569" s="667"/>
      <c r="C569" s="667"/>
      <c r="D569" s="667"/>
      <c r="E569" s="667"/>
      <c r="F569" s="667"/>
      <c r="G569" s="667"/>
      <c r="H569" s="671"/>
      <c r="I569" s="671"/>
      <c r="J569" s="667"/>
      <c r="K569" s="667"/>
      <c r="L569" s="667"/>
    </row>
    <row r="570" spans="1:12" x14ac:dyDescent="0.25">
      <c r="A570" s="670"/>
      <c r="B570" s="667"/>
      <c r="C570" s="667"/>
      <c r="D570" s="667"/>
      <c r="E570" s="667"/>
      <c r="F570" s="667"/>
      <c r="G570" s="667"/>
      <c r="H570" s="671"/>
      <c r="I570" s="671"/>
      <c r="J570" s="667"/>
      <c r="K570" s="667"/>
      <c r="L570" s="667"/>
    </row>
    <row r="571" spans="1:12" x14ac:dyDescent="0.25">
      <c r="A571" s="670"/>
      <c r="B571" s="667"/>
      <c r="C571" s="667"/>
      <c r="D571" s="667"/>
      <c r="E571" s="667"/>
      <c r="F571" s="667"/>
      <c r="G571" s="667"/>
      <c r="H571" s="671"/>
      <c r="I571" s="671"/>
      <c r="J571" s="667"/>
      <c r="K571" s="667"/>
      <c r="L571" s="667"/>
    </row>
    <row r="572" spans="1:12" x14ac:dyDescent="0.25">
      <c r="A572" s="670"/>
      <c r="B572" s="667"/>
      <c r="C572" s="667"/>
      <c r="D572" s="667"/>
      <c r="E572" s="667"/>
      <c r="F572" s="667"/>
      <c r="G572" s="667"/>
      <c r="H572" s="671"/>
      <c r="I572" s="671"/>
      <c r="J572" s="667"/>
      <c r="K572" s="667"/>
      <c r="L572" s="667"/>
    </row>
    <row r="573" spans="1:12" x14ac:dyDescent="0.25">
      <c r="A573" s="670"/>
      <c r="B573" s="667"/>
      <c r="C573" s="667"/>
      <c r="D573" s="667"/>
      <c r="E573" s="667"/>
      <c r="F573" s="667"/>
      <c r="G573" s="667"/>
      <c r="H573" s="671"/>
      <c r="I573" s="671"/>
      <c r="J573" s="667"/>
      <c r="K573" s="667"/>
      <c r="L573" s="667"/>
    </row>
    <row r="574" spans="1:12" x14ac:dyDescent="0.25">
      <c r="A574" s="670"/>
      <c r="B574" s="667"/>
      <c r="C574" s="667"/>
      <c r="D574" s="667"/>
      <c r="E574" s="667"/>
      <c r="F574" s="667"/>
      <c r="G574" s="667"/>
      <c r="H574" s="671"/>
      <c r="I574" s="671"/>
      <c r="J574" s="667"/>
      <c r="K574" s="667"/>
      <c r="L574" s="667"/>
    </row>
    <row r="575" spans="1:12" x14ac:dyDescent="0.25">
      <c r="A575" s="670"/>
      <c r="B575" s="667"/>
      <c r="C575" s="667"/>
      <c r="D575" s="667"/>
      <c r="E575" s="667"/>
      <c r="F575" s="667"/>
      <c r="G575" s="667"/>
      <c r="H575" s="671"/>
      <c r="I575" s="671"/>
      <c r="J575" s="667"/>
      <c r="K575" s="667"/>
      <c r="L575" s="667"/>
    </row>
    <row r="576" spans="1:12" x14ac:dyDescent="0.25">
      <c r="A576" s="670"/>
      <c r="B576" s="667"/>
      <c r="C576" s="667"/>
      <c r="D576" s="667"/>
      <c r="E576" s="667"/>
      <c r="F576" s="667"/>
      <c r="G576" s="667"/>
      <c r="H576" s="671"/>
      <c r="I576" s="671"/>
      <c r="J576" s="667"/>
      <c r="K576" s="667"/>
      <c r="L576" s="667"/>
    </row>
    <row r="577" spans="1:12" x14ac:dyDescent="0.25">
      <c r="A577" s="670"/>
      <c r="B577" s="667"/>
      <c r="C577" s="667"/>
      <c r="D577" s="667"/>
      <c r="E577" s="667"/>
      <c r="F577" s="667"/>
      <c r="G577" s="667"/>
      <c r="H577" s="671"/>
      <c r="I577" s="671"/>
      <c r="J577" s="667"/>
      <c r="K577" s="667"/>
      <c r="L577" s="667"/>
    </row>
    <row r="578" spans="1:12" x14ac:dyDescent="0.25">
      <c r="A578" s="670"/>
      <c r="B578" s="667"/>
      <c r="C578" s="667"/>
      <c r="D578" s="667"/>
      <c r="E578" s="667"/>
      <c r="F578" s="667"/>
      <c r="G578" s="667"/>
      <c r="H578" s="671"/>
      <c r="I578" s="671"/>
      <c r="J578" s="667"/>
      <c r="K578" s="667"/>
      <c r="L578" s="667"/>
    </row>
    <row r="579" spans="1:12" x14ac:dyDescent="0.25">
      <c r="A579" s="670"/>
      <c r="B579" s="667"/>
      <c r="C579" s="667"/>
      <c r="D579" s="667"/>
      <c r="E579" s="667"/>
      <c r="F579" s="667"/>
      <c r="G579" s="667"/>
      <c r="H579" s="671"/>
      <c r="I579" s="671"/>
      <c r="J579" s="667"/>
      <c r="K579" s="667"/>
      <c r="L579" s="667"/>
    </row>
    <row r="580" spans="1:12" x14ac:dyDescent="0.25">
      <c r="A580" s="670"/>
      <c r="B580" s="667"/>
      <c r="C580" s="667"/>
      <c r="D580" s="667"/>
      <c r="E580" s="667"/>
      <c r="F580" s="667"/>
      <c r="G580" s="667"/>
      <c r="H580" s="671"/>
      <c r="I580" s="671"/>
      <c r="J580" s="667"/>
      <c r="K580" s="667"/>
      <c r="L580" s="667"/>
    </row>
    <row r="581" spans="1:12" x14ac:dyDescent="0.25">
      <c r="A581" s="670"/>
      <c r="B581" s="667"/>
      <c r="C581" s="667"/>
      <c r="D581" s="667"/>
      <c r="E581" s="667"/>
      <c r="F581" s="667"/>
      <c r="G581" s="667"/>
      <c r="H581" s="671"/>
      <c r="I581" s="671"/>
      <c r="J581" s="667"/>
      <c r="K581" s="667"/>
      <c r="L581" s="667"/>
    </row>
    <row r="582" spans="1:12" x14ac:dyDescent="0.25">
      <c r="A582" s="670"/>
      <c r="B582" s="667"/>
      <c r="C582" s="667"/>
      <c r="D582" s="667"/>
      <c r="E582" s="667"/>
      <c r="F582" s="667"/>
      <c r="G582" s="667"/>
      <c r="H582" s="671"/>
      <c r="I582" s="671"/>
      <c r="J582" s="667"/>
      <c r="K582" s="667"/>
      <c r="L582" s="667"/>
    </row>
    <row r="583" spans="1:12" x14ac:dyDescent="0.25">
      <c r="A583" s="670"/>
      <c r="B583" s="667"/>
      <c r="C583" s="667"/>
      <c r="D583" s="667"/>
      <c r="E583" s="667"/>
      <c r="F583" s="667"/>
      <c r="G583" s="667"/>
      <c r="H583" s="671"/>
      <c r="I583" s="671"/>
      <c r="J583" s="667"/>
      <c r="K583" s="667"/>
      <c r="L583" s="667"/>
    </row>
    <row r="584" spans="1:12" x14ac:dyDescent="0.25">
      <c r="A584" s="670"/>
      <c r="B584" s="667"/>
      <c r="C584" s="667"/>
      <c r="D584" s="667"/>
      <c r="E584" s="667"/>
      <c r="F584" s="667"/>
      <c r="G584" s="667"/>
      <c r="H584" s="671"/>
      <c r="I584" s="671"/>
      <c r="J584" s="667"/>
      <c r="K584" s="667"/>
      <c r="L584" s="667"/>
    </row>
    <row r="585" spans="1:12" x14ac:dyDescent="0.25">
      <c r="A585" s="670"/>
      <c r="B585" s="667"/>
      <c r="C585" s="667"/>
      <c r="D585" s="667"/>
      <c r="E585" s="667"/>
      <c r="F585" s="667"/>
      <c r="G585" s="667"/>
      <c r="H585" s="671"/>
      <c r="I585" s="671"/>
      <c r="J585" s="667"/>
      <c r="K585" s="667"/>
      <c r="L585" s="667"/>
    </row>
    <row r="586" spans="1:12" x14ac:dyDescent="0.25">
      <c r="A586" s="670"/>
      <c r="B586" s="667"/>
      <c r="C586" s="667"/>
      <c r="D586" s="667"/>
      <c r="E586" s="667"/>
      <c r="F586" s="667"/>
      <c r="G586" s="667"/>
      <c r="H586" s="671"/>
      <c r="I586" s="671"/>
      <c r="J586" s="667"/>
      <c r="K586" s="667"/>
      <c r="L586" s="667"/>
    </row>
    <row r="587" spans="1:12" x14ac:dyDescent="0.25">
      <c r="A587" s="670"/>
      <c r="B587" s="667"/>
      <c r="C587" s="667"/>
      <c r="D587" s="667"/>
      <c r="E587" s="667"/>
      <c r="F587" s="667"/>
      <c r="G587" s="667"/>
      <c r="H587" s="671"/>
      <c r="I587" s="671"/>
      <c r="J587" s="667"/>
      <c r="K587" s="667"/>
      <c r="L587" s="667"/>
    </row>
    <row r="588" spans="1:12" x14ac:dyDescent="0.25">
      <c r="A588" s="670"/>
      <c r="B588" s="667"/>
      <c r="C588" s="667"/>
      <c r="D588" s="667"/>
      <c r="E588" s="667"/>
      <c r="F588" s="667"/>
      <c r="G588" s="667"/>
      <c r="H588" s="671"/>
      <c r="I588" s="671"/>
      <c r="J588" s="667"/>
      <c r="K588" s="667"/>
      <c r="L588" s="667"/>
    </row>
    <row r="589" spans="1:12" x14ac:dyDescent="0.25">
      <c r="A589" s="670"/>
      <c r="B589" s="667"/>
      <c r="C589" s="667"/>
      <c r="D589" s="667"/>
      <c r="E589" s="667"/>
      <c r="F589" s="667"/>
      <c r="G589" s="667"/>
      <c r="H589" s="671"/>
      <c r="I589" s="671"/>
      <c r="J589" s="667"/>
      <c r="K589" s="667"/>
      <c r="L589" s="667"/>
    </row>
    <row r="590" spans="1:12" x14ac:dyDescent="0.25">
      <c r="A590" s="670"/>
      <c r="B590" s="667"/>
      <c r="C590" s="667"/>
      <c r="D590" s="667"/>
      <c r="E590" s="667"/>
      <c r="F590" s="667"/>
      <c r="G590" s="667"/>
      <c r="H590" s="671"/>
      <c r="I590" s="671"/>
      <c r="J590" s="667"/>
      <c r="K590" s="667"/>
      <c r="L590" s="667"/>
    </row>
    <row r="591" spans="1:12" x14ac:dyDescent="0.25">
      <c r="A591" s="670"/>
      <c r="B591" s="667"/>
      <c r="C591" s="667"/>
      <c r="D591" s="667"/>
      <c r="E591" s="667"/>
      <c r="F591" s="667"/>
      <c r="G591" s="667"/>
      <c r="H591" s="671"/>
      <c r="I591" s="671"/>
      <c r="J591" s="667"/>
      <c r="K591" s="667"/>
      <c r="L591" s="667"/>
    </row>
    <row r="592" spans="1:12" x14ac:dyDescent="0.25">
      <c r="A592" s="670"/>
      <c r="B592" s="667"/>
      <c r="C592" s="667"/>
      <c r="D592" s="667"/>
      <c r="E592" s="667"/>
      <c r="F592" s="667"/>
      <c r="G592" s="667"/>
      <c r="H592" s="671"/>
      <c r="I592" s="671"/>
      <c r="J592" s="667"/>
      <c r="K592" s="667"/>
      <c r="L592" s="667"/>
    </row>
    <row r="593" spans="1:12" x14ac:dyDescent="0.25">
      <c r="A593" s="670"/>
      <c r="B593" s="667"/>
      <c r="C593" s="667"/>
      <c r="D593" s="667"/>
      <c r="E593" s="667"/>
      <c r="F593" s="667"/>
      <c r="G593" s="667"/>
      <c r="H593" s="671"/>
      <c r="I593" s="671"/>
      <c r="J593" s="667"/>
      <c r="K593" s="667"/>
      <c r="L593" s="667"/>
    </row>
    <row r="594" spans="1:12" x14ac:dyDescent="0.25">
      <c r="A594" s="670"/>
      <c r="B594" s="667"/>
      <c r="C594" s="667"/>
      <c r="D594" s="667"/>
      <c r="E594" s="667"/>
      <c r="F594" s="667"/>
      <c r="G594" s="667"/>
      <c r="H594" s="671"/>
      <c r="I594" s="671"/>
      <c r="J594" s="667"/>
      <c r="K594" s="667"/>
      <c r="L594" s="667"/>
    </row>
    <row r="595" spans="1:12" x14ac:dyDescent="0.25">
      <c r="A595" s="670"/>
      <c r="B595" s="667"/>
      <c r="C595" s="667"/>
      <c r="D595" s="667"/>
      <c r="E595" s="667"/>
      <c r="F595" s="667"/>
      <c r="G595" s="667"/>
      <c r="H595" s="671"/>
      <c r="I595" s="671"/>
      <c r="J595" s="667"/>
      <c r="K595" s="667"/>
      <c r="L595" s="667"/>
    </row>
    <row r="596" spans="1:12" x14ac:dyDescent="0.25">
      <c r="A596" s="670"/>
      <c r="B596" s="667"/>
      <c r="C596" s="667"/>
      <c r="D596" s="667"/>
      <c r="E596" s="667"/>
      <c r="F596" s="667"/>
      <c r="G596" s="667"/>
      <c r="H596" s="671"/>
      <c r="I596" s="671"/>
      <c r="J596" s="667"/>
      <c r="K596" s="667"/>
      <c r="L596" s="667"/>
    </row>
    <row r="597" spans="1:12" x14ac:dyDescent="0.25">
      <c r="A597" s="670"/>
      <c r="B597" s="667"/>
      <c r="C597" s="667"/>
      <c r="D597" s="667"/>
      <c r="E597" s="667"/>
      <c r="F597" s="667"/>
      <c r="G597" s="667"/>
      <c r="H597" s="671"/>
      <c r="I597" s="671"/>
      <c r="J597" s="667"/>
      <c r="K597" s="667"/>
      <c r="L597" s="667"/>
    </row>
    <row r="598" spans="1:12" x14ac:dyDescent="0.25">
      <c r="A598" s="670"/>
      <c r="B598" s="667"/>
      <c r="C598" s="667"/>
      <c r="D598" s="667"/>
      <c r="E598" s="667"/>
      <c r="F598" s="667"/>
      <c r="G598" s="667"/>
      <c r="H598" s="671"/>
      <c r="I598" s="671"/>
      <c r="J598" s="667"/>
      <c r="K598" s="667"/>
      <c r="L598" s="667"/>
    </row>
    <row r="599" spans="1:12" x14ac:dyDescent="0.25">
      <c r="A599" s="670"/>
      <c r="B599" s="667"/>
      <c r="C599" s="667"/>
      <c r="D599" s="667"/>
      <c r="E599" s="667"/>
      <c r="F599" s="667"/>
      <c r="G599" s="667"/>
      <c r="H599" s="671"/>
      <c r="I599" s="671"/>
      <c r="J599" s="667"/>
      <c r="K599" s="667"/>
      <c r="L599" s="667"/>
    </row>
    <row r="600" spans="1:12" x14ac:dyDescent="0.25">
      <c r="A600" s="670"/>
      <c r="B600" s="667"/>
      <c r="C600" s="667"/>
      <c r="D600" s="667"/>
      <c r="E600" s="667"/>
      <c r="F600" s="667"/>
      <c r="G600" s="667"/>
      <c r="H600" s="671"/>
      <c r="I600" s="671"/>
      <c r="J600" s="667"/>
      <c r="K600" s="667"/>
      <c r="L600" s="667"/>
    </row>
    <row r="601" spans="1:12" x14ac:dyDescent="0.25">
      <c r="A601" s="670"/>
      <c r="B601" s="667"/>
      <c r="C601" s="667"/>
      <c r="D601" s="667"/>
      <c r="E601" s="667"/>
      <c r="F601" s="667"/>
      <c r="G601" s="667"/>
      <c r="H601" s="671"/>
      <c r="I601" s="671"/>
      <c r="J601" s="667"/>
      <c r="K601" s="667"/>
      <c r="L601" s="667"/>
    </row>
    <row r="602" spans="1:12" x14ac:dyDescent="0.25">
      <c r="A602" s="670"/>
      <c r="B602" s="667"/>
      <c r="C602" s="667"/>
      <c r="D602" s="667"/>
      <c r="E602" s="667"/>
      <c r="F602" s="667"/>
      <c r="G602" s="667"/>
      <c r="H602" s="671"/>
      <c r="I602" s="671"/>
      <c r="J602" s="667"/>
      <c r="K602" s="667"/>
      <c r="L602" s="667"/>
    </row>
    <row r="603" spans="1:12" x14ac:dyDescent="0.25">
      <c r="A603" s="670"/>
      <c r="B603" s="667"/>
      <c r="C603" s="667"/>
      <c r="D603" s="667"/>
      <c r="E603" s="667"/>
      <c r="F603" s="667"/>
      <c r="G603" s="667"/>
      <c r="H603" s="671"/>
      <c r="I603" s="671"/>
      <c r="J603" s="667"/>
      <c r="K603" s="667"/>
      <c r="L603" s="667"/>
    </row>
    <row r="604" spans="1:12" x14ac:dyDescent="0.25">
      <c r="A604" s="670"/>
      <c r="B604" s="667"/>
      <c r="C604" s="667"/>
      <c r="D604" s="667"/>
      <c r="E604" s="667"/>
      <c r="F604" s="667"/>
      <c r="G604" s="667"/>
      <c r="H604" s="671"/>
      <c r="I604" s="671"/>
      <c r="J604" s="667"/>
      <c r="K604" s="667"/>
      <c r="L604" s="667"/>
    </row>
    <row r="605" spans="1:12" x14ac:dyDescent="0.25">
      <c r="A605" s="670"/>
      <c r="B605" s="667"/>
      <c r="C605" s="667"/>
      <c r="D605" s="667"/>
      <c r="E605" s="667"/>
      <c r="F605" s="667"/>
      <c r="G605" s="667"/>
      <c r="H605" s="671"/>
      <c r="I605" s="671"/>
      <c r="J605" s="667"/>
      <c r="K605" s="667"/>
      <c r="L605" s="667"/>
    </row>
    <row r="606" spans="1:12" x14ac:dyDescent="0.25">
      <c r="A606" s="670"/>
      <c r="B606" s="667"/>
      <c r="C606" s="667"/>
      <c r="D606" s="667"/>
      <c r="E606" s="667"/>
      <c r="F606" s="667"/>
      <c r="G606" s="667"/>
      <c r="H606" s="671"/>
      <c r="I606" s="671"/>
      <c r="J606" s="667"/>
      <c r="K606" s="667"/>
      <c r="L606" s="667"/>
    </row>
    <row r="607" spans="1:12" x14ac:dyDescent="0.25">
      <c r="A607" s="670"/>
      <c r="B607" s="667"/>
      <c r="C607" s="667"/>
      <c r="D607" s="667"/>
      <c r="E607" s="667"/>
      <c r="F607" s="667"/>
      <c r="G607" s="667"/>
      <c r="H607" s="671"/>
      <c r="I607" s="671"/>
      <c r="J607" s="667"/>
      <c r="K607" s="667"/>
      <c r="L607" s="667"/>
    </row>
    <row r="608" spans="1:12" x14ac:dyDescent="0.25">
      <c r="A608" s="670"/>
      <c r="B608" s="667"/>
      <c r="C608" s="667"/>
      <c r="D608" s="667"/>
      <c r="E608" s="667"/>
      <c r="F608" s="667"/>
      <c r="G608" s="667"/>
      <c r="H608" s="671"/>
      <c r="I608" s="671"/>
      <c r="J608" s="667"/>
      <c r="K608" s="667"/>
      <c r="L608" s="667"/>
    </row>
    <row r="609" spans="1:12" x14ac:dyDescent="0.25">
      <c r="A609" s="670"/>
      <c r="B609" s="667"/>
      <c r="C609" s="667"/>
      <c r="D609" s="667"/>
      <c r="E609" s="667"/>
      <c r="F609" s="667"/>
      <c r="G609" s="667"/>
      <c r="H609" s="671"/>
      <c r="I609" s="671"/>
      <c r="J609" s="667"/>
      <c r="K609" s="667"/>
      <c r="L609" s="667"/>
    </row>
    <row r="610" spans="1:12" x14ac:dyDescent="0.25">
      <c r="A610" s="670"/>
      <c r="B610" s="667"/>
      <c r="C610" s="667"/>
      <c r="D610" s="667"/>
      <c r="E610" s="667"/>
      <c r="F610" s="667"/>
      <c r="G610" s="667"/>
      <c r="H610" s="671"/>
      <c r="I610" s="671"/>
      <c r="J610" s="667"/>
      <c r="K610" s="667"/>
      <c r="L610" s="667"/>
    </row>
    <row r="611" spans="1:12" x14ac:dyDescent="0.25">
      <c r="A611" s="670"/>
      <c r="B611" s="667"/>
      <c r="C611" s="667"/>
      <c r="D611" s="667"/>
      <c r="E611" s="667"/>
      <c r="F611" s="667"/>
      <c r="G611" s="667"/>
      <c r="H611" s="671"/>
      <c r="I611" s="671"/>
      <c r="J611" s="667"/>
      <c r="K611" s="667"/>
      <c r="L611" s="667"/>
    </row>
    <row r="612" spans="1:12" x14ac:dyDescent="0.25">
      <c r="A612" s="670"/>
      <c r="B612" s="667"/>
      <c r="C612" s="667"/>
      <c r="D612" s="667"/>
      <c r="E612" s="667"/>
      <c r="F612" s="667"/>
      <c r="G612" s="667"/>
      <c r="H612" s="671"/>
      <c r="I612" s="671"/>
      <c r="J612" s="667"/>
      <c r="K612" s="667"/>
      <c r="L612" s="667"/>
    </row>
    <row r="613" spans="1:12" x14ac:dyDescent="0.25">
      <c r="A613" s="670"/>
      <c r="B613" s="667"/>
      <c r="C613" s="667"/>
      <c r="D613" s="667"/>
      <c r="E613" s="667"/>
      <c r="F613" s="667"/>
      <c r="G613" s="667"/>
      <c r="H613" s="671"/>
      <c r="I613" s="671"/>
      <c r="J613" s="667"/>
      <c r="K613" s="667"/>
      <c r="L613" s="667"/>
    </row>
    <row r="614" spans="1:12" x14ac:dyDescent="0.25">
      <c r="A614" s="670"/>
      <c r="B614" s="667"/>
      <c r="C614" s="667"/>
      <c r="D614" s="667"/>
      <c r="E614" s="667"/>
      <c r="F614" s="667"/>
      <c r="G614" s="667"/>
      <c r="H614" s="671"/>
      <c r="I614" s="671"/>
      <c r="J614" s="667"/>
      <c r="K614" s="667"/>
      <c r="L614" s="667"/>
    </row>
    <row r="615" spans="1:12" x14ac:dyDescent="0.25">
      <c r="A615" s="670"/>
      <c r="B615" s="667"/>
      <c r="C615" s="667"/>
      <c r="D615" s="667"/>
      <c r="E615" s="667"/>
      <c r="F615" s="667"/>
      <c r="G615" s="667"/>
      <c r="H615" s="671"/>
      <c r="I615" s="671"/>
      <c r="J615" s="667"/>
      <c r="K615" s="667"/>
      <c r="L615" s="667"/>
    </row>
    <row r="616" spans="1:12" x14ac:dyDescent="0.25">
      <c r="A616" s="670"/>
      <c r="B616" s="667"/>
      <c r="C616" s="667"/>
      <c r="D616" s="667"/>
      <c r="E616" s="667"/>
      <c r="F616" s="667"/>
      <c r="G616" s="667"/>
      <c r="H616" s="671"/>
      <c r="I616" s="671"/>
      <c r="J616" s="667"/>
      <c r="K616" s="667"/>
      <c r="L616" s="667"/>
    </row>
    <row r="617" spans="1:12" x14ac:dyDescent="0.25">
      <c r="A617" s="670"/>
      <c r="B617" s="667"/>
      <c r="C617" s="667"/>
      <c r="D617" s="667"/>
      <c r="E617" s="667"/>
      <c r="F617" s="667"/>
      <c r="G617" s="667"/>
      <c r="H617" s="671"/>
      <c r="I617" s="671"/>
      <c r="J617" s="667"/>
      <c r="K617" s="667"/>
      <c r="L617" s="667"/>
    </row>
    <row r="618" spans="1:12" x14ac:dyDescent="0.25">
      <c r="A618" s="670"/>
      <c r="B618" s="667"/>
      <c r="C618" s="667"/>
      <c r="D618" s="667"/>
      <c r="E618" s="667"/>
      <c r="F618" s="667"/>
      <c r="G618" s="667"/>
      <c r="H618" s="671"/>
      <c r="I618" s="671"/>
      <c r="J618" s="667"/>
      <c r="K618" s="667"/>
      <c r="L618" s="667"/>
    </row>
    <row r="619" spans="1:12" x14ac:dyDescent="0.25">
      <c r="A619" s="670"/>
      <c r="B619" s="667"/>
      <c r="C619" s="667"/>
      <c r="D619" s="667"/>
      <c r="E619" s="667"/>
      <c r="F619" s="667"/>
      <c r="G619" s="667"/>
      <c r="H619" s="671"/>
      <c r="I619" s="671"/>
      <c r="J619" s="667"/>
      <c r="K619" s="667"/>
      <c r="L619" s="667"/>
    </row>
    <row r="620" spans="1:12" x14ac:dyDescent="0.25">
      <c r="A620" s="670"/>
      <c r="B620" s="667"/>
      <c r="C620" s="667"/>
      <c r="D620" s="667"/>
      <c r="E620" s="667"/>
      <c r="F620" s="667"/>
      <c r="G620" s="667"/>
      <c r="H620" s="671"/>
      <c r="I620" s="671"/>
      <c r="J620" s="667"/>
      <c r="K620" s="667"/>
      <c r="L620" s="667"/>
    </row>
    <row r="621" spans="1:12" x14ac:dyDescent="0.25">
      <c r="A621" s="670"/>
      <c r="B621" s="667"/>
      <c r="C621" s="667"/>
      <c r="D621" s="667"/>
      <c r="E621" s="667"/>
      <c r="F621" s="667"/>
      <c r="G621" s="667"/>
      <c r="H621" s="671"/>
      <c r="I621" s="671"/>
      <c r="J621" s="667"/>
      <c r="K621" s="667"/>
      <c r="L621" s="667"/>
    </row>
    <row r="622" spans="1:12" x14ac:dyDescent="0.25">
      <c r="A622" s="670"/>
      <c r="B622" s="667"/>
      <c r="C622" s="667"/>
      <c r="D622" s="667"/>
      <c r="E622" s="667"/>
      <c r="F622" s="667"/>
      <c r="G622" s="667"/>
      <c r="H622" s="671"/>
      <c r="I622" s="671"/>
      <c r="J622" s="667"/>
      <c r="K622" s="667"/>
      <c r="L622" s="667"/>
    </row>
    <row r="623" spans="1:12" x14ac:dyDescent="0.25">
      <c r="A623" s="670"/>
      <c r="B623" s="667"/>
      <c r="C623" s="667"/>
      <c r="D623" s="667"/>
      <c r="E623" s="667"/>
      <c r="F623" s="667"/>
      <c r="G623" s="667"/>
      <c r="H623" s="671"/>
      <c r="I623" s="671"/>
      <c r="J623" s="667"/>
      <c r="K623" s="667"/>
      <c r="L623" s="667"/>
    </row>
    <row r="624" spans="1:12" x14ac:dyDescent="0.25">
      <c r="A624" s="670"/>
      <c r="B624" s="667"/>
      <c r="C624" s="667"/>
      <c r="D624" s="667"/>
      <c r="E624" s="667"/>
      <c r="F624" s="667"/>
      <c r="G624" s="667"/>
      <c r="H624" s="671"/>
      <c r="I624" s="671"/>
      <c r="J624" s="667"/>
      <c r="K624" s="667"/>
      <c r="L624" s="667"/>
    </row>
    <row r="625" spans="1:12" x14ac:dyDescent="0.25">
      <c r="A625" s="670"/>
      <c r="B625" s="667"/>
      <c r="C625" s="667"/>
      <c r="D625" s="667"/>
      <c r="E625" s="667"/>
      <c r="F625" s="667"/>
      <c r="G625" s="667"/>
      <c r="H625" s="671"/>
      <c r="I625" s="671"/>
      <c r="J625" s="667"/>
      <c r="K625" s="667"/>
      <c r="L625" s="667"/>
    </row>
    <row r="626" spans="1:12" x14ac:dyDescent="0.25">
      <c r="A626" s="670"/>
      <c r="B626" s="667"/>
      <c r="C626" s="667"/>
      <c r="D626" s="667"/>
      <c r="E626" s="667"/>
      <c r="F626" s="667"/>
      <c r="G626" s="667"/>
      <c r="H626" s="671"/>
      <c r="I626" s="671"/>
      <c r="J626" s="667"/>
      <c r="K626" s="667"/>
      <c r="L626" s="667"/>
    </row>
    <row r="627" spans="1:12" x14ac:dyDescent="0.25">
      <c r="A627" s="670"/>
      <c r="B627" s="667"/>
      <c r="C627" s="667"/>
      <c r="D627" s="667"/>
      <c r="E627" s="667"/>
      <c r="F627" s="667"/>
      <c r="G627" s="667"/>
      <c r="H627" s="671"/>
      <c r="I627" s="671"/>
      <c r="J627" s="667"/>
      <c r="K627" s="667"/>
      <c r="L627" s="667"/>
    </row>
    <row r="628" spans="1:12" x14ac:dyDescent="0.25">
      <c r="A628" s="670"/>
      <c r="B628" s="667"/>
      <c r="C628" s="667"/>
      <c r="D628" s="667"/>
      <c r="E628" s="667"/>
      <c r="F628" s="667"/>
      <c r="G628" s="667"/>
      <c r="H628" s="671"/>
      <c r="I628" s="671"/>
      <c r="J628" s="667"/>
      <c r="K628" s="667"/>
      <c r="L628" s="667"/>
    </row>
    <row r="629" spans="1:12" x14ac:dyDescent="0.25">
      <c r="A629" s="670"/>
      <c r="B629" s="667"/>
      <c r="C629" s="667"/>
      <c r="D629" s="667"/>
      <c r="E629" s="667"/>
      <c r="F629" s="667"/>
      <c r="G629" s="667"/>
      <c r="H629" s="671"/>
      <c r="I629" s="671"/>
      <c r="J629" s="667"/>
      <c r="K629" s="667"/>
      <c r="L629" s="667"/>
    </row>
    <row r="630" spans="1:12" x14ac:dyDescent="0.25">
      <c r="A630" s="670"/>
      <c r="B630" s="667"/>
      <c r="C630" s="667"/>
      <c r="D630" s="667"/>
      <c r="E630" s="667"/>
      <c r="F630" s="667"/>
      <c r="G630" s="667"/>
      <c r="H630" s="671"/>
      <c r="I630" s="671"/>
      <c r="J630" s="667"/>
      <c r="K630" s="667"/>
      <c r="L630" s="667"/>
    </row>
    <row r="631" spans="1:12" x14ac:dyDescent="0.25">
      <c r="A631" s="670"/>
      <c r="B631" s="667"/>
      <c r="C631" s="667"/>
      <c r="D631" s="667"/>
      <c r="E631" s="667"/>
      <c r="F631" s="667"/>
      <c r="G631" s="667"/>
      <c r="H631" s="671"/>
      <c r="I631" s="671"/>
      <c r="J631" s="667"/>
      <c r="K631" s="667"/>
      <c r="L631" s="667"/>
    </row>
    <row r="632" spans="1:12" x14ac:dyDescent="0.25">
      <c r="A632" s="670"/>
      <c r="B632" s="667"/>
      <c r="C632" s="667"/>
      <c r="D632" s="667"/>
      <c r="E632" s="667"/>
      <c r="F632" s="667"/>
      <c r="G632" s="667"/>
      <c r="H632" s="671"/>
      <c r="I632" s="671"/>
      <c r="J632" s="667"/>
      <c r="K632" s="667"/>
      <c r="L632" s="667"/>
    </row>
    <row r="633" spans="1:12" x14ac:dyDescent="0.25">
      <c r="A633" s="670"/>
      <c r="B633" s="667"/>
      <c r="C633" s="667"/>
      <c r="D633" s="667"/>
      <c r="E633" s="667"/>
      <c r="F633" s="667"/>
      <c r="G633" s="667"/>
      <c r="H633" s="671"/>
      <c r="I633" s="671"/>
      <c r="J633" s="667"/>
      <c r="K633" s="667"/>
      <c r="L633" s="667"/>
    </row>
    <row r="634" spans="1:12" x14ac:dyDescent="0.25">
      <c r="A634" s="670"/>
      <c r="B634" s="667"/>
      <c r="C634" s="667"/>
      <c r="D634" s="667"/>
      <c r="E634" s="667"/>
      <c r="F634" s="667"/>
      <c r="G634" s="667"/>
      <c r="H634" s="671"/>
      <c r="I634" s="671"/>
      <c r="J634" s="667"/>
      <c r="K634" s="667"/>
      <c r="L634" s="667"/>
    </row>
    <row r="635" spans="1:12" x14ac:dyDescent="0.25">
      <c r="A635" s="670"/>
      <c r="B635" s="667"/>
      <c r="C635" s="667"/>
      <c r="D635" s="667"/>
      <c r="E635" s="667"/>
      <c r="F635" s="667"/>
      <c r="G635" s="667"/>
      <c r="H635" s="671"/>
      <c r="I635" s="671"/>
      <c r="J635" s="667"/>
      <c r="K635" s="667"/>
      <c r="L635" s="667"/>
    </row>
    <row r="636" spans="1:12" x14ac:dyDescent="0.25">
      <c r="A636" s="670"/>
      <c r="B636" s="667"/>
      <c r="C636" s="667"/>
      <c r="D636" s="667"/>
      <c r="E636" s="667"/>
      <c r="F636" s="667"/>
      <c r="G636" s="667"/>
      <c r="H636" s="671"/>
      <c r="I636" s="671"/>
      <c r="J636" s="667"/>
      <c r="K636" s="667"/>
      <c r="L636" s="667"/>
    </row>
    <row r="637" spans="1:12" x14ac:dyDescent="0.25">
      <c r="A637" s="670"/>
      <c r="B637" s="667"/>
      <c r="C637" s="667"/>
      <c r="D637" s="667"/>
      <c r="E637" s="667"/>
      <c r="F637" s="667"/>
      <c r="G637" s="667"/>
      <c r="H637" s="671"/>
      <c r="I637" s="671"/>
      <c r="J637" s="667"/>
      <c r="K637" s="667"/>
      <c r="L637" s="667"/>
    </row>
    <row r="638" spans="1:12" x14ac:dyDescent="0.25">
      <c r="A638" s="670"/>
      <c r="B638" s="667"/>
      <c r="C638" s="667"/>
      <c r="D638" s="667"/>
      <c r="E638" s="667"/>
      <c r="F638" s="667"/>
      <c r="G638" s="667"/>
      <c r="H638" s="671"/>
      <c r="I638" s="671"/>
      <c r="J638" s="667"/>
      <c r="K638" s="667"/>
      <c r="L638" s="667"/>
    </row>
    <row r="639" spans="1:12" x14ac:dyDescent="0.25">
      <c r="A639" s="670"/>
      <c r="B639" s="667"/>
      <c r="C639" s="667"/>
      <c r="D639" s="667"/>
      <c r="E639" s="667"/>
      <c r="F639" s="667"/>
      <c r="G639" s="667"/>
      <c r="H639" s="671"/>
      <c r="I639" s="671"/>
      <c r="J639" s="667"/>
      <c r="K639" s="667"/>
      <c r="L639" s="667"/>
    </row>
    <row r="640" spans="1:12" x14ac:dyDescent="0.25">
      <c r="A640" s="670"/>
      <c r="B640" s="667"/>
      <c r="C640" s="667"/>
      <c r="D640" s="667"/>
      <c r="E640" s="667"/>
      <c r="F640" s="667"/>
      <c r="G640" s="667"/>
      <c r="H640" s="671"/>
      <c r="I640" s="671"/>
      <c r="J640" s="667"/>
      <c r="K640" s="667"/>
      <c r="L640" s="667"/>
    </row>
    <row r="641" spans="1:12" x14ac:dyDescent="0.25">
      <c r="A641" s="670"/>
      <c r="B641" s="667"/>
      <c r="C641" s="667"/>
      <c r="D641" s="667"/>
      <c r="E641" s="667"/>
      <c r="F641" s="667"/>
      <c r="G641" s="667"/>
      <c r="H641" s="671"/>
      <c r="I641" s="671"/>
      <c r="J641" s="667"/>
      <c r="K641" s="667"/>
      <c r="L641" s="667"/>
    </row>
    <row r="642" spans="1:12" x14ac:dyDescent="0.25">
      <c r="A642" s="670"/>
      <c r="B642" s="667"/>
      <c r="C642" s="667"/>
      <c r="D642" s="667"/>
      <c r="E642" s="667"/>
      <c r="F642" s="667"/>
      <c r="G642" s="667"/>
      <c r="H642" s="671"/>
      <c r="I642" s="671"/>
      <c r="J642" s="667"/>
      <c r="K642" s="667"/>
      <c r="L642" s="667"/>
    </row>
    <row r="643" spans="1:12" x14ac:dyDescent="0.25">
      <c r="A643" s="670"/>
      <c r="B643" s="667"/>
      <c r="C643" s="667"/>
      <c r="D643" s="667"/>
      <c r="E643" s="667"/>
      <c r="F643" s="667"/>
      <c r="G643" s="667"/>
      <c r="H643" s="671"/>
      <c r="I643" s="671"/>
      <c r="J643" s="667"/>
      <c r="K643" s="667"/>
      <c r="L643" s="667"/>
    </row>
    <row r="644" spans="1:12" x14ac:dyDescent="0.25">
      <c r="A644" s="670"/>
      <c r="B644" s="667"/>
      <c r="C644" s="667"/>
      <c r="D644" s="667"/>
      <c r="E644" s="667"/>
      <c r="F644" s="667"/>
      <c r="G644" s="667"/>
      <c r="H644" s="671"/>
      <c r="I644" s="671"/>
      <c r="J644" s="667"/>
      <c r="K644" s="667"/>
      <c r="L644" s="667"/>
    </row>
    <row r="645" spans="1:12" x14ac:dyDescent="0.25">
      <c r="A645" s="670"/>
      <c r="B645" s="667"/>
      <c r="C645" s="667"/>
      <c r="D645" s="667"/>
      <c r="E645" s="667"/>
      <c r="F645" s="667"/>
      <c r="G645" s="667"/>
      <c r="H645" s="671"/>
      <c r="I645" s="671"/>
      <c r="J645" s="667"/>
      <c r="K645" s="667"/>
      <c r="L645" s="667"/>
    </row>
    <row r="646" spans="1:12" x14ac:dyDescent="0.25">
      <c r="A646" s="670"/>
      <c r="B646" s="667"/>
      <c r="C646" s="667"/>
      <c r="D646" s="667"/>
      <c r="E646" s="667"/>
      <c r="F646" s="667"/>
      <c r="G646" s="667"/>
      <c r="H646" s="671"/>
      <c r="I646" s="671"/>
      <c r="J646" s="667"/>
      <c r="K646" s="667"/>
      <c r="L646" s="667"/>
    </row>
    <row r="647" spans="1:12" x14ac:dyDescent="0.25">
      <c r="A647" s="670"/>
      <c r="B647" s="667"/>
      <c r="C647" s="667"/>
      <c r="D647" s="667"/>
      <c r="E647" s="667"/>
      <c r="F647" s="667"/>
      <c r="G647" s="667"/>
      <c r="H647" s="671"/>
      <c r="I647" s="671"/>
      <c r="J647" s="667"/>
      <c r="K647" s="667"/>
      <c r="L647" s="667"/>
    </row>
    <row r="648" spans="1:12" x14ac:dyDescent="0.25">
      <c r="A648" s="670"/>
      <c r="B648" s="667"/>
      <c r="C648" s="667"/>
      <c r="D648" s="667"/>
      <c r="E648" s="667"/>
      <c r="F648" s="667"/>
      <c r="G648" s="667"/>
      <c r="H648" s="671"/>
      <c r="I648" s="671"/>
      <c r="J648" s="667"/>
      <c r="K648" s="667"/>
      <c r="L648" s="667"/>
    </row>
    <row r="649" spans="1:12" x14ac:dyDescent="0.25">
      <c r="A649" s="670"/>
      <c r="B649" s="667"/>
      <c r="C649" s="667"/>
      <c r="D649" s="667"/>
      <c r="E649" s="667"/>
      <c r="F649" s="667"/>
      <c r="G649" s="667"/>
      <c r="H649" s="671"/>
      <c r="I649" s="671"/>
      <c r="J649" s="667"/>
      <c r="K649" s="667"/>
      <c r="L649" s="667"/>
    </row>
    <row r="650" spans="1:12" x14ac:dyDescent="0.25">
      <c r="A650" s="670"/>
      <c r="B650" s="667"/>
      <c r="C650" s="667"/>
      <c r="D650" s="667"/>
      <c r="E650" s="667"/>
      <c r="F650" s="667"/>
      <c r="G650" s="667"/>
      <c r="H650" s="671"/>
      <c r="I650" s="671"/>
      <c r="J650" s="667"/>
      <c r="K650" s="667"/>
      <c r="L650" s="667"/>
    </row>
    <row r="651" spans="1:12" x14ac:dyDescent="0.25">
      <c r="A651" s="670"/>
      <c r="B651" s="667"/>
      <c r="C651" s="667"/>
      <c r="D651" s="667"/>
      <c r="E651" s="667"/>
      <c r="F651" s="667"/>
      <c r="G651" s="667"/>
      <c r="H651" s="671"/>
      <c r="I651" s="671"/>
      <c r="J651" s="667"/>
      <c r="K651" s="667"/>
      <c r="L651" s="667"/>
    </row>
    <row r="652" spans="1:12" x14ac:dyDescent="0.25">
      <c r="A652" s="670"/>
      <c r="B652" s="667"/>
      <c r="C652" s="667"/>
      <c r="D652" s="667"/>
      <c r="E652" s="667"/>
      <c r="F652" s="667"/>
      <c r="G652" s="667"/>
      <c r="H652" s="671"/>
      <c r="I652" s="671"/>
      <c r="J652" s="667"/>
      <c r="K652" s="667"/>
      <c r="L652" s="667"/>
    </row>
    <row r="653" spans="1:12" x14ac:dyDescent="0.25">
      <c r="A653" s="670"/>
      <c r="B653" s="667"/>
      <c r="C653" s="667"/>
      <c r="D653" s="667"/>
      <c r="E653" s="667"/>
      <c r="F653" s="667"/>
      <c r="G653" s="667"/>
      <c r="H653" s="671"/>
      <c r="I653" s="671"/>
      <c r="J653" s="667"/>
      <c r="K653" s="667"/>
      <c r="L653" s="667"/>
    </row>
    <row r="654" spans="1:12" x14ac:dyDescent="0.25">
      <c r="A654" s="670"/>
      <c r="B654" s="667"/>
      <c r="C654" s="667"/>
      <c r="D654" s="667"/>
      <c r="E654" s="667"/>
      <c r="F654" s="667"/>
      <c r="G654" s="667"/>
      <c r="H654" s="671"/>
      <c r="I654" s="671"/>
      <c r="J654" s="667"/>
      <c r="K654" s="667"/>
      <c r="L654" s="667"/>
    </row>
    <row r="655" spans="1:12" x14ac:dyDescent="0.25">
      <c r="A655" s="670"/>
      <c r="B655" s="667"/>
      <c r="C655" s="667"/>
      <c r="D655" s="667"/>
      <c r="E655" s="667"/>
      <c r="F655" s="667"/>
      <c r="G655" s="667"/>
      <c r="H655" s="671"/>
      <c r="I655" s="671"/>
      <c r="J655" s="667"/>
      <c r="K655" s="667"/>
      <c r="L655" s="667"/>
    </row>
    <row r="656" spans="1:12" x14ac:dyDescent="0.25">
      <c r="A656" s="670"/>
      <c r="B656" s="667"/>
      <c r="C656" s="667"/>
      <c r="D656" s="667"/>
      <c r="E656" s="667"/>
      <c r="F656" s="667"/>
      <c r="G656" s="667"/>
      <c r="H656" s="671"/>
      <c r="I656" s="671"/>
      <c r="J656" s="667"/>
      <c r="K656" s="667"/>
      <c r="L656" s="667"/>
    </row>
    <row r="657" spans="1:12" x14ac:dyDescent="0.25">
      <c r="A657" s="670"/>
      <c r="B657" s="667"/>
      <c r="C657" s="667"/>
      <c r="D657" s="667"/>
      <c r="E657" s="667"/>
      <c r="F657" s="667"/>
      <c r="G657" s="667"/>
      <c r="H657" s="671"/>
      <c r="I657" s="671"/>
      <c r="J657" s="667"/>
      <c r="K657" s="667"/>
      <c r="L657" s="667"/>
    </row>
    <row r="658" spans="1:12" x14ac:dyDescent="0.25">
      <c r="A658" s="670"/>
      <c r="B658" s="667"/>
      <c r="C658" s="667"/>
      <c r="D658" s="667"/>
      <c r="E658" s="667"/>
      <c r="F658" s="667"/>
      <c r="G658" s="667"/>
      <c r="H658" s="671"/>
      <c r="I658" s="671"/>
      <c r="J658" s="667"/>
      <c r="K658" s="667"/>
      <c r="L658" s="667"/>
    </row>
    <row r="659" spans="1:12" x14ac:dyDescent="0.25">
      <c r="A659" s="670"/>
      <c r="B659" s="667"/>
      <c r="C659" s="667"/>
      <c r="D659" s="667"/>
      <c r="E659" s="667"/>
      <c r="F659" s="667"/>
      <c r="G659" s="667"/>
      <c r="H659" s="671"/>
      <c r="I659" s="671"/>
      <c r="J659" s="667"/>
      <c r="K659" s="667"/>
      <c r="L659" s="667"/>
    </row>
    <row r="660" spans="1:12" x14ac:dyDescent="0.25">
      <c r="A660" s="670"/>
      <c r="B660" s="667"/>
      <c r="C660" s="667"/>
      <c r="D660" s="667"/>
      <c r="E660" s="667"/>
      <c r="F660" s="667"/>
      <c r="G660" s="667"/>
      <c r="H660" s="671"/>
      <c r="I660" s="671"/>
      <c r="J660" s="667"/>
      <c r="K660" s="667"/>
      <c r="L660" s="667"/>
    </row>
    <row r="661" spans="1:12" x14ac:dyDescent="0.25">
      <c r="A661" s="670"/>
      <c r="B661" s="667"/>
      <c r="C661" s="667"/>
      <c r="D661" s="667"/>
      <c r="E661" s="667"/>
      <c r="F661" s="667"/>
      <c r="G661" s="667"/>
      <c r="H661" s="671"/>
      <c r="I661" s="671"/>
      <c r="J661" s="667"/>
      <c r="K661" s="667"/>
      <c r="L661" s="667"/>
    </row>
    <row r="662" spans="1:12" x14ac:dyDescent="0.25">
      <c r="A662" s="670"/>
      <c r="B662" s="667"/>
      <c r="C662" s="667"/>
      <c r="D662" s="667"/>
      <c r="E662" s="667"/>
      <c r="F662" s="667"/>
      <c r="G662" s="667"/>
      <c r="H662" s="671"/>
      <c r="I662" s="671"/>
      <c r="J662" s="667"/>
      <c r="K662" s="667"/>
      <c r="L662" s="667"/>
    </row>
    <row r="663" spans="1:12" x14ac:dyDescent="0.25">
      <c r="A663" s="670"/>
      <c r="B663" s="667"/>
      <c r="C663" s="667"/>
      <c r="D663" s="667"/>
      <c r="E663" s="667"/>
      <c r="F663" s="667"/>
      <c r="G663" s="667"/>
      <c r="H663" s="671"/>
      <c r="I663" s="671"/>
      <c r="J663" s="667"/>
      <c r="K663" s="667"/>
      <c r="L663" s="667"/>
    </row>
    <row r="664" spans="1:12" x14ac:dyDescent="0.25">
      <c r="A664" s="670"/>
      <c r="B664" s="667"/>
      <c r="C664" s="667"/>
      <c r="D664" s="667"/>
      <c r="E664" s="667"/>
      <c r="F664" s="667"/>
      <c r="G664" s="667"/>
      <c r="H664" s="671"/>
      <c r="I664" s="671"/>
      <c r="J664" s="667"/>
      <c r="K664" s="667"/>
      <c r="L664" s="667"/>
    </row>
    <row r="665" spans="1:12" x14ac:dyDescent="0.25">
      <c r="A665" s="670"/>
      <c r="B665" s="667"/>
      <c r="C665" s="667"/>
      <c r="D665" s="667"/>
      <c r="E665" s="667"/>
      <c r="F665" s="667"/>
      <c r="G665" s="667"/>
      <c r="H665" s="671"/>
      <c r="I665" s="671"/>
      <c r="J665" s="667"/>
      <c r="K665" s="667"/>
      <c r="L665" s="667"/>
    </row>
    <row r="666" spans="1:12" x14ac:dyDescent="0.25">
      <c r="A666" s="670"/>
      <c r="B666" s="667"/>
      <c r="C666" s="667"/>
      <c r="D666" s="667"/>
      <c r="E666" s="667"/>
      <c r="F666" s="667"/>
      <c r="G666" s="667"/>
      <c r="H666" s="671"/>
      <c r="I666" s="671"/>
      <c r="J666" s="667"/>
      <c r="K666" s="667"/>
      <c r="L666" s="667"/>
    </row>
    <row r="667" spans="1:12" x14ac:dyDescent="0.25">
      <c r="A667" s="670"/>
      <c r="B667" s="667"/>
      <c r="C667" s="667"/>
      <c r="D667" s="667"/>
      <c r="E667" s="667"/>
      <c r="F667" s="667"/>
      <c r="G667" s="667"/>
      <c r="H667" s="671"/>
      <c r="I667" s="671"/>
      <c r="J667" s="667"/>
      <c r="K667" s="667"/>
      <c r="L667" s="667"/>
    </row>
    <row r="668" spans="1:12" x14ac:dyDescent="0.25">
      <c r="A668" s="670"/>
      <c r="B668" s="667"/>
      <c r="C668" s="667"/>
      <c r="D668" s="667"/>
      <c r="E668" s="667"/>
      <c r="F668" s="667"/>
      <c r="G668" s="667"/>
      <c r="H668" s="671"/>
      <c r="I668" s="671"/>
      <c r="J668" s="667"/>
      <c r="K668" s="667"/>
      <c r="L668" s="667"/>
    </row>
    <row r="669" spans="1:12" x14ac:dyDescent="0.25">
      <c r="A669" s="670"/>
      <c r="B669" s="667"/>
      <c r="C669" s="667"/>
      <c r="D669" s="667"/>
      <c r="E669" s="667"/>
      <c r="F669" s="667"/>
      <c r="G669" s="667"/>
      <c r="H669" s="671"/>
      <c r="I669" s="671"/>
      <c r="J669" s="667"/>
      <c r="K669" s="667"/>
      <c r="L669" s="667"/>
    </row>
    <row r="670" spans="1:12" x14ac:dyDescent="0.25">
      <c r="A670" s="670"/>
      <c r="B670" s="667"/>
      <c r="C670" s="667"/>
      <c r="D670" s="667"/>
      <c r="E670" s="667"/>
      <c r="F670" s="667"/>
      <c r="G670" s="667"/>
      <c r="H670" s="671"/>
      <c r="I670" s="671"/>
      <c r="J670" s="667"/>
      <c r="K670" s="667"/>
      <c r="L670" s="667"/>
    </row>
    <row r="671" spans="1:12" x14ac:dyDescent="0.25">
      <c r="A671" s="670"/>
      <c r="B671" s="667"/>
      <c r="C671" s="667"/>
      <c r="D671" s="667"/>
      <c r="E671" s="667"/>
      <c r="F671" s="667"/>
      <c r="G671" s="667"/>
      <c r="H671" s="671"/>
      <c r="I671" s="671"/>
      <c r="J671" s="667"/>
      <c r="K671" s="667"/>
      <c r="L671" s="667"/>
    </row>
    <row r="672" spans="1:12" x14ac:dyDescent="0.25">
      <c r="A672" s="670"/>
      <c r="B672" s="667"/>
      <c r="C672" s="667"/>
      <c r="D672" s="667"/>
      <c r="E672" s="667"/>
      <c r="F672" s="667"/>
      <c r="G672" s="667"/>
      <c r="H672" s="671"/>
      <c r="I672" s="671"/>
      <c r="J672" s="667"/>
      <c r="K672" s="667"/>
      <c r="L672" s="667"/>
    </row>
    <row r="673" spans="1:12" x14ac:dyDescent="0.25">
      <c r="A673" s="670"/>
      <c r="B673" s="667"/>
      <c r="C673" s="667"/>
      <c r="D673" s="667"/>
      <c r="E673" s="667"/>
      <c r="F673" s="667"/>
      <c r="G673" s="667"/>
      <c r="H673" s="671"/>
      <c r="I673" s="671"/>
      <c r="J673" s="667"/>
      <c r="K673" s="667"/>
      <c r="L673" s="667"/>
    </row>
    <row r="674" spans="1:12" x14ac:dyDescent="0.25">
      <c r="A674" s="670"/>
      <c r="B674" s="667"/>
      <c r="C674" s="667"/>
      <c r="D674" s="667"/>
      <c r="E674" s="667"/>
      <c r="F674" s="667"/>
      <c r="G674" s="667"/>
      <c r="H674" s="671"/>
      <c r="I674" s="671"/>
      <c r="J674" s="667"/>
      <c r="K674" s="667"/>
      <c r="L674" s="667"/>
    </row>
    <row r="675" spans="1:12" x14ac:dyDescent="0.25">
      <c r="A675" s="670"/>
      <c r="B675" s="667"/>
      <c r="C675" s="667"/>
      <c r="D675" s="667"/>
      <c r="E675" s="667"/>
      <c r="F675" s="667"/>
      <c r="G675" s="667"/>
      <c r="H675" s="671"/>
      <c r="I675" s="671"/>
      <c r="J675" s="667"/>
      <c r="K675" s="667"/>
      <c r="L675" s="667"/>
    </row>
    <row r="676" spans="1:12" x14ac:dyDescent="0.25">
      <c r="A676" s="670"/>
      <c r="B676" s="667"/>
      <c r="C676" s="667"/>
      <c r="D676" s="667"/>
      <c r="E676" s="667"/>
      <c r="F676" s="667"/>
      <c r="G676" s="667"/>
      <c r="H676" s="671"/>
      <c r="I676" s="671"/>
      <c r="J676" s="667"/>
      <c r="K676" s="667"/>
      <c r="L676" s="667"/>
    </row>
    <row r="677" spans="1:12" x14ac:dyDescent="0.25">
      <c r="A677" s="670"/>
      <c r="B677" s="667"/>
      <c r="C677" s="667"/>
      <c r="D677" s="667"/>
      <c r="E677" s="667"/>
      <c r="F677" s="667"/>
      <c r="G677" s="667"/>
      <c r="H677" s="671"/>
      <c r="I677" s="671"/>
      <c r="J677" s="667"/>
      <c r="K677" s="667"/>
      <c r="L677" s="667"/>
    </row>
    <row r="678" spans="1:12" x14ac:dyDescent="0.25">
      <c r="A678" s="670"/>
      <c r="B678" s="667"/>
      <c r="C678" s="667"/>
      <c r="D678" s="667"/>
      <c r="E678" s="667"/>
      <c r="F678" s="667"/>
      <c r="G678" s="667"/>
      <c r="H678" s="671"/>
      <c r="I678" s="671"/>
      <c r="J678" s="667"/>
      <c r="K678" s="667"/>
      <c r="L678" s="667"/>
    </row>
    <row r="679" spans="1:12" x14ac:dyDescent="0.25">
      <c r="A679" s="670"/>
      <c r="B679" s="667"/>
      <c r="C679" s="667"/>
      <c r="D679" s="667"/>
      <c r="E679" s="667"/>
      <c r="F679" s="667"/>
      <c r="G679" s="667"/>
      <c r="H679" s="671"/>
      <c r="I679" s="671"/>
      <c r="J679" s="667"/>
      <c r="K679" s="667"/>
      <c r="L679" s="667"/>
    </row>
    <row r="680" spans="1:12" x14ac:dyDescent="0.25">
      <c r="A680" s="670"/>
      <c r="B680" s="667"/>
      <c r="C680" s="667"/>
      <c r="D680" s="667"/>
      <c r="E680" s="667"/>
      <c r="F680" s="667"/>
      <c r="G680" s="667"/>
      <c r="H680" s="671"/>
      <c r="I680" s="671"/>
      <c r="J680" s="667"/>
      <c r="K680" s="667"/>
      <c r="L680" s="667"/>
    </row>
    <row r="681" spans="1:12" x14ac:dyDescent="0.25">
      <c r="A681" s="670"/>
      <c r="B681" s="667"/>
      <c r="C681" s="667"/>
      <c r="D681" s="667"/>
      <c r="E681" s="667"/>
      <c r="F681" s="667"/>
      <c r="G681" s="667"/>
      <c r="H681" s="671"/>
      <c r="I681" s="671"/>
      <c r="J681" s="667"/>
      <c r="K681" s="667"/>
      <c r="L681" s="667"/>
    </row>
    <row r="682" spans="1:12" x14ac:dyDescent="0.25">
      <c r="A682" s="670"/>
      <c r="B682" s="667"/>
      <c r="C682" s="667"/>
      <c r="D682" s="667"/>
      <c r="E682" s="667"/>
      <c r="F682" s="667"/>
      <c r="G682" s="667"/>
      <c r="H682" s="671"/>
      <c r="I682" s="671"/>
      <c r="J682" s="667"/>
      <c r="K682" s="667"/>
      <c r="L682" s="667"/>
    </row>
    <row r="683" spans="1:12" x14ac:dyDescent="0.25">
      <c r="A683" s="670"/>
      <c r="B683" s="667"/>
      <c r="C683" s="667"/>
      <c r="D683" s="667"/>
      <c r="E683" s="667"/>
      <c r="F683" s="667"/>
      <c r="G683" s="667"/>
      <c r="H683" s="671"/>
      <c r="I683" s="671"/>
      <c r="J683" s="667"/>
      <c r="K683" s="667"/>
      <c r="L683" s="667"/>
    </row>
    <row r="684" spans="1:12" x14ac:dyDescent="0.25">
      <c r="A684" s="670"/>
      <c r="B684" s="667"/>
      <c r="C684" s="667"/>
      <c r="D684" s="667"/>
      <c r="E684" s="667"/>
      <c r="F684" s="667"/>
      <c r="G684" s="667"/>
      <c r="H684" s="671"/>
      <c r="I684" s="671"/>
      <c r="J684" s="667"/>
      <c r="K684" s="667"/>
      <c r="L684" s="667"/>
    </row>
    <row r="685" spans="1:12" x14ac:dyDescent="0.25">
      <c r="A685" s="670"/>
      <c r="B685" s="667"/>
      <c r="C685" s="667"/>
      <c r="D685" s="667"/>
      <c r="E685" s="667"/>
      <c r="F685" s="667"/>
      <c r="G685" s="667"/>
      <c r="H685" s="671"/>
      <c r="I685" s="671"/>
      <c r="J685" s="667"/>
      <c r="K685" s="667"/>
      <c r="L685" s="667"/>
    </row>
    <row r="686" spans="1:12" x14ac:dyDescent="0.25">
      <c r="A686" s="670"/>
      <c r="B686" s="667"/>
      <c r="C686" s="667"/>
      <c r="D686" s="667"/>
      <c r="E686" s="667"/>
      <c r="F686" s="667"/>
      <c r="G686" s="667"/>
      <c r="H686" s="671"/>
      <c r="I686" s="671"/>
      <c r="J686" s="667"/>
      <c r="K686" s="667"/>
      <c r="L686" s="667"/>
    </row>
    <row r="687" spans="1:12" x14ac:dyDescent="0.25">
      <c r="A687" s="670"/>
      <c r="B687" s="667"/>
      <c r="C687" s="667"/>
      <c r="D687" s="667"/>
      <c r="E687" s="667"/>
      <c r="F687" s="667"/>
      <c r="G687" s="667"/>
      <c r="H687" s="671"/>
      <c r="I687" s="671"/>
      <c r="J687" s="667"/>
      <c r="K687" s="667"/>
      <c r="L687" s="667"/>
    </row>
    <row r="688" spans="1:12" x14ac:dyDescent="0.25">
      <c r="A688" s="670"/>
      <c r="B688" s="667"/>
      <c r="C688" s="667"/>
      <c r="D688" s="667"/>
      <c r="E688" s="667"/>
      <c r="F688" s="667"/>
      <c r="G688" s="667"/>
      <c r="H688" s="671"/>
      <c r="I688" s="671"/>
      <c r="J688" s="667"/>
      <c r="K688" s="667"/>
      <c r="L688" s="667"/>
    </row>
    <row r="689" spans="1:12" x14ac:dyDescent="0.25">
      <c r="A689" s="672" t="s">
        <v>463</v>
      </c>
      <c r="B689" s="672" t="s">
        <v>463</v>
      </c>
      <c r="C689" s="672" t="s">
        <v>463</v>
      </c>
      <c r="D689" s="672" t="s">
        <v>463</v>
      </c>
      <c r="E689" s="672" t="s">
        <v>463</v>
      </c>
      <c r="F689" s="672" t="s">
        <v>463</v>
      </c>
      <c r="G689" s="672" t="s">
        <v>463</v>
      </c>
      <c r="H689" s="672" t="s">
        <v>463</v>
      </c>
      <c r="I689" s="672" t="s">
        <v>463</v>
      </c>
      <c r="J689" s="672" t="s">
        <v>463</v>
      </c>
      <c r="K689" s="672" t="s">
        <v>463</v>
      </c>
      <c r="L689" s="672"/>
    </row>
  </sheetData>
  <sheetProtection algorithmName="SHA-512" hashValue="Y3r8COaZjrGR332T8oJa/lvOKIxG4vPPbJk/z1LuF5tWg/ZjM92oKliqnJtThW/4FEnHikEC7UGohLiOamECpA==" saltValue="yx+ED4Z5iFcm1Pxet9ES/w==" spinCount="100000" sheet="1" objects="1" scenarios="1" autoFilter="0"/>
  <autoFilter ref="A1:L361" xr:uid="{DB7048B2-463D-4F70-A5CD-F49735F4DE38}"/>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FFB1-2A14-417B-AD4A-C5BBE36A7DF6}">
  <sheetPr codeName="גיליון4">
    <tabColor rgb="FFFFFF00"/>
  </sheetPr>
  <dimension ref="A1:G258"/>
  <sheetViews>
    <sheetView rightToLeft="1" view="pageBreakPreview" zoomScale="85" zoomScaleNormal="100" zoomScaleSheetLayoutView="85" workbookViewId="0">
      <pane ySplit="1" topLeftCell="A219" activePane="bottomLeft" state="frozen"/>
      <selection pane="bottomLeft" activeCell="G2" sqref="G2"/>
    </sheetView>
  </sheetViews>
  <sheetFormatPr defaultRowHeight="15" x14ac:dyDescent="0.25"/>
  <cols>
    <col min="1" max="1" width="26.140625" style="484" bestFit="1" customWidth="1"/>
    <col min="2" max="2" width="13.140625" style="484" bestFit="1" customWidth="1"/>
    <col min="3" max="16384" width="9.140625" style="484"/>
  </cols>
  <sheetData>
    <row r="1" spans="1:7" ht="89.25" x14ac:dyDescent="0.25">
      <c r="A1" s="482" t="s">
        <v>684</v>
      </c>
      <c r="B1" s="482" t="s">
        <v>685</v>
      </c>
      <c r="C1" s="482" t="s">
        <v>686</v>
      </c>
      <c r="D1" s="482" t="s">
        <v>687</v>
      </c>
      <c r="E1" s="482" t="s">
        <v>688</v>
      </c>
      <c r="F1" s="482" t="s">
        <v>689</v>
      </c>
      <c r="G1" s="483" t="s">
        <v>690</v>
      </c>
    </row>
    <row r="2" spans="1:7" x14ac:dyDescent="0.25">
      <c r="A2" s="485" t="s">
        <v>691</v>
      </c>
      <c r="B2" s="485">
        <v>0</v>
      </c>
      <c r="C2" s="486">
        <v>7870.1304037485797</v>
      </c>
      <c r="D2" s="487">
        <v>41.316250851144801</v>
      </c>
      <c r="E2" s="485">
        <v>3</v>
      </c>
      <c r="F2" s="485">
        <v>6</v>
      </c>
      <c r="G2" s="485">
        <v>0</v>
      </c>
    </row>
    <row r="3" spans="1:7" x14ac:dyDescent="0.25">
      <c r="A3" s="485" t="s">
        <v>692</v>
      </c>
      <c r="B3" s="485">
        <v>0</v>
      </c>
      <c r="C3" s="486">
        <v>14441.2368228287</v>
      </c>
      <c r="D3" s="487">
        <v>105.271006730932</v>
      </c>
      <c r="E3" s="485">
        <v>3</v>
      </c>
      <c r="F3" s="485">
        <v>4</v>
      </c>
      <c r="G3" s="485">
        <v>1</v>
      </c>
    </row>
    <row r="4" spans="1:7" x14ac:dyDescent="0.25">
      <c r="A4" s="485" t="s">
        <v>693</v>
      </c>
      <c r="B4" s="485">
        <v>0</v>
      </c>
      <c r="C4" s="486">
        <v>14159.0799628718</v>
      </c>
      <c r="D4" s="487">
        <v>14.4853813589092</v>
      </c>
      <c r="E4" s="485">
        <v>9</v>
      </c>
      <c r="F4" s="485">
        <v>7</v>
      </c>
      <c r="G4" s="485">
        <v>0</v>
      </c>
    </row>
    <row r="5" spans="1:7" x14ac:dyDescent="0.25">
      <c r="A5" s="485" t="s">
        <v>694</v>
      </c>
      <c r="B5" s="485">
        <v>0</v>
      </c>
      <c r="C5" s="486">
        <v>57578.669845939599</v>
      </c>
      <c r="D5" s="487">
        <v>60.581242748414603</v>
      </c>
      <c r="E5" s="485">
        <v>2</v>
      </c>
      <c r="F5" s="485">
        <v>5</v>
      </c>
      <c r="G5" s="485">
        <v>0</v>
      </c>
    </row>
    <row r="6" spans="1:7" x14ac:dyDescent="0.25">
      <c r="A6" s="485" t="s">
        <v>695</v>
      </c>
      <c r="B6" s="485">
        <v>0</v>
      </c>
      <c r="C6" s="486">
        <v>33970.236827859801</v>
      </c>
      <c r="D6" s="487">
        <v>87.130838665736604</v>
      </c>
      <c r="E6" s="485">
        <v>3</v>
      </c>
      <c r="F6" s="485">
        <v>3</v>
      </c>
      <c r="G6" s="485">
        <v>1</v>
      </c>
    </row>
    <row r="7" spans="1:7" x14ac:dyDescent="0.25">
      <c r="A7" s="485" t="s">
        <v>696</v>
      </c>
      <c r="B7" s="485">
        <v>0</v>
      </c>
      <c r="C7" s="486">
        <v>36694.315871629798</v>
      </c>
      <c r="D7" s="487">
        <v>0</v>
      </c>
      <c r="E7" s="485">
        <v>5</v>
      </c>
      <c r="F7" s="485">
        <v>8</v>
      </c>
      <c r="G7" s="485">
        <v>0</v>
      </c>
    </row>
    <row r="8" spans="1:7" x14ac:dyDescent="0.25">
      <c r="A8" s="485" t="s">
        <v>697</v>
      </c>
      <c r="B8" s="485">
        <v>0</v>
      </c>
      <c r="C8" s="486">
        <v>19715.051125367299</v>
      </c>
      <c r="D8" s="487">
        <v>39.407376186601297</v>
      </c>
      <c r="E8" s="485">
        <v>5</v>
      </c>
      <c r="F8" s="485">
        <v>6</v>
      </c>
      <c r="G8" s="485">
        <v>0</v>
      </c>
    </row>
    <row r="9" spans="1:7" x14ac:dyDescent="0.25">
      <c r="A9" s="485" t="s">
        <v>698</v>
      </c>
      <c r="B9" s="485">
        <v>0</v>
      </c>
      <c r="C9" s="486">
        <v>9113.0638908432902</v>
      </c>
      <c r="D9" s="487">
        <v>15.178513942691</v>
      </c>
      <c r="E9" s="485">
        <v>8</v>
      </c>
      <c r="F9" s="485">
        <v>6</v>
      </c>
      <c r="G9" s="485">
        <v>0</v>
      </c>
    </row>
    <row r="10" spans="1:7" x14ac:dyDescent="0.25">
      <c r="A10" s="485" t="s">
        <v>699</v>
      </c>
      <c r="B10" s="485">
        <v>0</v>
      </c>
      <c r="C10" s="486">
        <v>13347.5552167234</v>
      </c>
      <c r="D10" s="487">
        <v>0</v>
      </c>
      <c r="E10" s="485">
        <v>7</v>
      </c>
      <c r="F10" s="485">
        <v>9</v>
      </c>
      <c r="G10" s="485">
        <v>0</v>
      </c>
    </row>
    <row r="11" spans="1:7" x14ac:dyDescent="0.25">
      <c r="A11" s="485" t="s">
        <v>700</v>
      </c>
      <c r="B11" s="485">
        <v>0</v>
      </c>
      <c r="C11" s="486">
        <v>52674.372581622403</v>
      </c>
      <c r="D11" s="487">
        <v>323.002330261476</v>
      </c>
      <c r="E11" s="485">
        <v>6</v>
      </c>
      <c r="F11" s="485">
        <v>1</v>
      </c>
      <c r="G11" s="485">
        <v>1</v>
      </c>
    </row>
    <row r="12" spans="1:7" x14ac:dyDescent="0.25">
      <c r="A12" s="485" t="s">
        <v>701</v>
      </c>
      <c r="B12" s="485">
        <v>0</v>
      </c>
      <c r="C12" s="486">
        <v>15123.367308336299</v>
      </c>
      <c r="D12" s="487">
        <v>85.347011005019198</v>
      </c>
      <c r="E12" s="485">
        <v>3</v>
      </c>
      <c r="F12" s="485">
        <v>4</v>
      </c>
      <c r="G12" s="485">
        <v>1</v>
      </c>
    </row>
    <row r="13" spans="1:7" x14ac:dyDescent="0.25">
      <c r="A13" s="485" t="s">
        <v>702</v>
      </c>
      <c r="B13" s="485">
        <v>1</v>
      </c>
      <c r="C13" s="486">
        <v>8402.9731334267708</v>
      </c>
      <c r="D13" s="487">
        <v>102.89464055565197</v>
      </c>
      <c r="E13" s="485">
        <v>2</v>
      </c>
      <c r="F13" s="485">
        <v>3</v>
      </c>
      <c r="G13" s="485">
        <v>1</v>
      </c>
    </row>
    <row r="14" spans="1:7" x14ac:dyDescent="0.25">
      <c r="A14" s="485" t="s">
        <v>703</v>
      </c>
      <c r="B14" s="485">
        <v>1</v>
      </c>
      <c r="C14" s="486">
        <v>17241.9823792317</v>
      </c>
      <c r="D14" s="487">
        <v>100.15003729747376</v>
      </c>
      <c r="E14" s="485">
        <v>1</v>
      </c>
      <c r="F14" s="485">
        <v>3</v>
      </c>
      <c r="G14" s="485">
        <v>1</v>
      </c>
    </row>
    <row r="15" spans="1:7" x14ac:dyDescent="0.25">
      <c r="A15" s="485" t="s">
        <v>704</v>
      </c>
      <c r="B15" s="485">
        <v>1</v>
      </c>
      <c r="C15" s="486">
        <v>2274.3178385799602</v>
      </c>
      <c r="D15" s="487">
        <v>53.966052139555131</v>
      </c>
      <c r="E15" s="485">
        <v>8</v>
      </c>
      <c r="F15" s="485">
        <v>4</v>
      </c>
      <c r="G15" s="485">
        <v>0</v>
      </c>
    </row>
    <row r="16" spans="1:7" x14ac:dyDescent="0.25">
      <c r="A16" s="485" t="s">
        <v>705</v>
      </c>
      <c r="B16" s="485">
        <v>0</v>
      </c>
      <c r="C16" s="486">
        <v>3460.9485720684302</v>
      </c>
      <c r="D16" s="487">
        <v>30.2706887023691</v>
      </c>
      <c r="E16" s="485">
        <v>7</v>
      </c>
      <c r="F16" s="485">
        <v>6</v>
      </c>
      <c r="G16" s="485">
        <v>0</v>
      </c>
    </row>
    <row r="17" spans="1:7" x14ac:dyDescent="0.25">
      <c r="A17" s="485" t="s">
        <v>706</v>
      </c>
      <c r="B17" s="485">
        <v>0</v>
      </c>
      <c r="C17" s="486">
        <v>49585.566490118799</v>
      </c>
      <c r="D17" s="487">
        <v>11.5731964987549</v>
      </c>
      <c r="E17" s="485">
        <v>2</v>
      </c>
      <c r="F17" s="485">
        <v>7</v>
      </c>
      <c r="G17" s="485">
        <v>0</v>
      </c>
    </row>
    <row r="18" spans="1:7" x14ac:dyDescent="0.25">
      <c r="A18" s="485" t="s">
        <v>707</v>
      </c>
      <c r="B18" s="485">
        <v>0</v>
      </c>
      <c r="C18" s="486">
        <v>7966.0421597616596</v>
      </c>
      <c r="D18" s="487">
        <v>18.176151461841702</v>
      </c>
      <c r="E18" s="485">
        <v>8</v>
      </c>
      <c r="F18" s="485">
        <v>6</v>
      </c>
      <c r="G18" s="485">
        <v>0</v>
      </c>
    </row>
    <row r="19" spans="1:7" x14ac:dyDescent="0.25">
      <c r="A19" s="485" t="s">
        <v>708</v>
      </c>
      <c r="B19" s="485">
        <v>0</v>
      </c>
      <c r="C19" s="486">
        <v>4070.9451331644</v>
      </c>
      <c r="D19" s="487">
        <v>17.440387985746401</v>
      </c>
      <c r="E19" s="485">
        <v>8</v>
      </c>
      <c r="F19" s="485">
        <v>6</v>
      </c>
      <c r="G19" s="485">
        <v>0</v>
      </c>
    </row>
    <row r="20" spans="1:7" x14ac:dyDescent="0.25">
      <c r="A20" s="485" t="s">
        <v>709</v>
      </c>
      <c r="B20" s="485">
        <v>0</v>
      </c>
      <c r="C20" s="486">
        <v>13578.060729495101</v>
      </c>
      <c r="D20" s="487">
        <v>90.470919369712206</v>
      </c>
      <c r="E20" s="485">
        <v>3</v>
      </c>
      <c r="F20" s="485">
        <v>5</v>
      </c>
      <c r="G20" s="485">
        <v>1</v>
      </c>
    </row>
    <row r="21" spans="1:7" x14ac:dyDescent="0.25">
      <c r="A21" s="485" t="s">
        <v>710</v>
      </c>
      <c r="B21" s="485">
        <v>0</v>
      </c>
      <c r="C21" s="486">
        <v>11803.405802044799</v>
      </c>
      <c r="D21" s="487">
        <v>66.052826004596795</v>
      </c>
      <c r="E21" s="485">
        <v>7</v>
      </c>
      <c r="F21" s="485">
        <v>5</v>
      </c>
      <c r="G21" s="485">
        <v>0</v>
      </c>
    </row>
    <row r="22" spans="1:7" x14ac:dyDescent="0.25">
      <c r="A22" s="485" t="s">
        <v>711</v>
      </c>
      <c r="B22" s="485">
        <v>0</v>
      </c>
      <c r="C22" s="486">
        <v>19642.166052222201</v>
      </c>
      <c r="D22" s="487">
        <v>33.278948675188197</v>
      </c>
      <c r="E22" s="485">
        <v>6</v>
      </c>
      <c r="F22" s="485">
        <v>5</v>
      </c>
      <c r="G22" s="485">
        <v>1</v>
      </c>
    </row>
    <row r="23" spans="1:7" x14ac:dyDescent="0.25">
      <c r="A23" s="485" t="s">
        <v>712</v>
      </c>
      <c r="B23" s="485">
        <v>0</v>
      </c>
      <c r="C23" s="486">
        <v>225172.744086302</v>
      </c>
      <c r="D23" s="487">
        <v>28.488399573388499</v>
      </c>
      <c r="E23" s="485">
        <v>5</v>
      </c>
      <c r="F23" s="485">
        <v>7</v>
      </c>
      <c r="G23" s="485">
        <v>0</v>
      </c>
    </row>
    <row r="24" spans="1:7" x14ac:dyDescent="0.25">
      <c r="A24" s="485" t="s">
        <v>713</v>
      </c>
      <c r="B24" s="485">
        <v>1</v>
      </c>
      <c r="C24" s="486">
        <v>15129.295189861199</v>
      </c>
      <c r="D24" s="487">
        <v>101.47985155892709</v>
      </c>
      <c r="E24" s="485">
        <v>6</v>
      </c>
      <c r="F24" s="485">
        <v>2</v>
      </c>
      <c r="G24" s="485">
        <v>1</v>
      </c>
    </row>
    <row r="25" spans="1:7" x14ac:dyDescent="0.25">
      <c r="A25" s="485" t="s">
        <v>714</v>
      </c>
      <c r="B25" s="485">
        <v>0</v>
      </c>
      <c r="C25" s="486">
        <v>148628.72568077501</v>
      </c>
      <c r="D25" s="487">
        <v>43.6771470285587</v>
      </c>
      <c r="E25" s="485">
        <v>5</v>
      </c>
      <c r="F25" s="485">
        <v>6</v>
      </c>
      <c r="G25" s="485">
        <v>0</v>
      </c>
    </row>
    <row r="26" spans="1:7" x14ac:dyDescent="0.25">
      <c r="A26" s="485" t="s">
        <v>715</v>
      </c>
      <c r="B26" s="485">
        <v>0</v>
      </c>
      <c r="C26" s="486">
        <v>30922.440982629101</v>
      </c>
      <c r="D26" s="487">
        <v>40.594331951417402</v>
      </c>
      <c r="E26" s="485">
        <v>4</v>
      </c>
      <c r="F26" s="485">
        <v>6</v>
      </c>
      <c r="G26" s="485">
        <v>0</v>
      </c>
    </row>
    <row r="27" spans="1:7" x14ac:dyDescent="0.25">
      <c r="A27" s="485" t="s">
        <v>716</v>
      </c>
      <c r="B27" s="485">
        <v>1</v>
      </c>
      <c r="C27" s="486">
        <v>23696.4645509681</v>
      </c>
      <c r="D27" s="487">
        <v>35.181834158141299</v>
      </c>
      <c r="E27" s="485">
        <v>7</v>
      </c>
      <c r="F27" s="485">
        <v>6</v>
      </c>
      <c r="G27" s="485">
        <v>0</v>
      </c>
    </row>
    <row r="28" spans="1:7" x14ac:dyDescent="0.25">
      <c r="A28" s="485" t="s">
        <v>717</v>
      </c>
      <c r="B28" s="485">
        <v>0</v>
      </c>
      <c r="C28" s="486">
        <v>29695.080914758699</v>
      </c>
      <c r="D28" s="487">
        <v>9.6579653550105196</v>
      </c>
      <c r="E28" s="485">
        <v>7</v>
      </c>
      <c r="F28" s="485">
        <v>8</v>
      </c>
      <c r="G28" s="485">
        <v>0</v>
      </c>
    </row>
    <row r="29" spans="1:7" x14ac:dyDescent="0.25">
      <c r="A29" s="485" t="s">
        <v>718</v>
      </c>
      <c r="B29" s="485">
        <v>0</v>
      </c>
      <c r="C29" s="486">
        <v>208757.114417431</v>
      </c>
      <c r="D29" s="487">
        <v>91.509133617387704</v>
      </c>
      <c r="E29" s="485">
        <v>5</v>
      </c>
      <c r="F29" s="488" t="s">
        <v>719</v>
      </c>
      <c r="G29" s="485">
        <v>1</v>
      </c>
    </row>
    <row r="30" spans="1:7" x14ac:dyDescent="0.25">
      <c r="A30" s="485" t="s">
        <v>720</v>
      </c>
      <c r="B30" s="485">
        <v>1</v>
      </c>
      <c r="C30" s="486">
        <v>8130.1521667002198</v>
      </c>
      <c r="D30" s="487">
        <v>84.873053786381206</v>
      </c>
      <c r="E30" s="485">
        <v>3</v>
      </c>
      <c r="F30" s="485">
        <v>3</v>
      </c>
      <c r="G30" s="485">
        <v>1</v>
      </c>
    </row>
    <row r="31" spans="1:7" x14ac:dyDescent="0.25">
      <c r="A31" s="485" t="s">
        <v>721</v>
      </c>
      <c r="B31" s="485">
        <v>0</v>
      </c>
      <c r="C31" s="486">
        <v>10133.2089662177</v>
      </c>
      <c r="D31" s="487">
        <v>108.704748798827</v>
      </c>
      <c r="E31" s="485">
        <v>3</v>
      </c>
      <c r="F31" s="485">
        <v>3</v>
      </c>
      <c r="G31" s="485">
        <v>1</v>
      </c>
    </row>
    <row r="32" spans="1:7" x14ac:dyDescent="0.25">
      <c r="A32" s="485" t="s">
        <v>722</v>
      </c>
      <c r="B32" s="485">
        <v>0</v>
      </c>
      <c r="C32" s="486">
        <v>6746.7133009477202</v>
      </c>
      <c r="D32" s="487">
        <v>180.07045653364699</v>
      </c>
      <c r="E32" s="485">
        <v>3</v>
      </c>
      <c r="F32" s="485">
        <v>1</v>
      </c>
      <c r="G32" s="485">
        <v>1</v>
      </c>
    </row>
    <row r="33" spans="1:7" x14ac:dyDescent="0.25">
      <c r="A33" s="485" t="s">
        <v>723</v>
      </c>
      <c r="B33" s="485">
        <v>0</v>
      </c>
      <c r="C33" s="486">
        <v>9954.3574279388595</v>
      </c>
      <c r="D33" s="487">
        <v>90.0582246319983</v>
      </c>
      <c r="E33" s="485">
        <v>2</v>
      </c>
      <c r="F33" s="485">
        <v>4</v>
      </c>
      <c r="G33" s="485">
        <v>1</v>
      </c>
    </row>
    <row r="34" spans="1:7" x14ac:dyDescent="0.25">
      <c r="A34" s="485" t="s">
        <v>724</v>
      </c>
      <c r="B34" s="485">
        <v>0</v>
      </c>
      <c r="C34" s="486">
        <v>5680.3136269083598</v>
      </c>
      <c r="D34" s="487">
        <v>64.585080326232202</v>
      </c>
      <c r="E34" s="485">
        <v>4</v>
      </c>
      <c r="F34" s="485">
        <v>4</v>
      </c>
      <c r="G34" s="485">
        <v>1</v>
      </c>
    </row>
    <row r="35" spans="1:7" x14ac:dyDescent="0.25">
      <c r="A35" s="485" t="s">
        <v>725</v>
      </c>
      <c r="B35" s="485">
        <v>0</v>
      </c>
      <c r="C35" s="486">
        <v>5406.7156710566396</v>
      </c>
      <c r="D35" s="487">
        <v>20.486011123853601</v>
      </c>
      <c r="E35" s="485">
        <v>7</v>
      </c>
      <c r="F35" s="485">
        <v>6</v>
      </c>
      <c r="G35" s="485">
        <v>0</v>
      </c>
    </row>
    <row r="36" spans="1:7" x14ac:dyDescent="0.25">
      <c r="A36" s="485" t="s">
        <v>726</v>
      </c>
      <c r="B36" s="485">
        <v>0</v>
      </c>
      <c r="C36" s="486">
        <v>12302.9264686356</v>
      </c>
      <c r="D36" s="487">
        <v>125.05068337554199</v>
      </c>
      <c r="E36" s="485">
        <v>4</v>
      </c>
      <c r="F36" s="485">
        <v>2</v>
      </c>
      <c r="G36" s="485">
        <v>1</v>
      </c>
    </row>
    <row r="37" spans="1:7" x14ac:dyDescent="0.25">
      <c r="A37" s="485" t="s">
        <v>727</v>
      </c>
      <c r="B37" s="485">
        <v>0</v>
      </c>
      <c r="C37" s="486">
        <v>7636.0695406493596</v>
      </c>
      <c r="D37" s="487">
        <v>2.3524323717248801</v>
      </c>
      <c r="E37" s="485">
        <v>7</v>
      </c>
      <c r="F37" s="485">
        <v>8</v>
      </c>
      <c r="G37" s="485">
        <v>0</v>
      </c>
    </row>
    <row r="38" spans="1:7" x14ac:dyDescent="0.25">
      <c r="A38" s="485" t="s">
        <v>728</v>
      </c>
      <c r="B38" s="485">
        <v>0</v>
      </c>
      <c r="C38" s="486">
        <v>18818.674381979999</v>
      </c>
      <c r="D38" s="487">
        <v>99.469050905649695</v>
      </c>
      <c r="E38" s="485">
        <v>4</v>
      </c>
      <c r="F38" s="485">
        <v>3</v>
      </c>
      <c r="G38" s="485">
        <v>1</v>
      </c>
    </row>
    <row r="39" spans="1:7" x14ac:dyDescent="0.25">
      <c r="A39" s="485" t="s">
        <v>729</v>
      </c>
      <c r="B39" s="485">
        <v>0</v>
      </c>
      <c r="C39" s="486">
        <v>141553.52054593901</v>
      </c>
      <c r="D39" s="487">
        <v>43.219492368656503</v>
      </c>
      <c r="E39" s="485">
        <v>2</v>
      </c>
      <c r="F39" s="485">
        <v>6</v>
      </c>
      <c r="G39" s="485">
        <v>0</v>
      </c>
    </row>
    <row r="40" spans="1:7" x14ac:dyDescent="0.25">
      <c r="A40" s="485" t="s">
        <v>730</v>
      </c>
      <c r="B40" s="485">
        <v>0</v>
      </c>
      <c r="C40" s="486">
        <v>63205.405603570398</v>
      </c>
      <c r="D40" s="487">
        <v>59.0548051193934</v>
      </c>
      <c r="E40" s="485">
        <v>2</v>
      </c>
      <c r="F40" s="485">
        <v>5</v>
      </c>
      <c r="G40" s="485">
        <v>0</v>
      </c>
    </row>
    <row r="41" spans="1:7" x14ac:dyDescent="0.25">
      <c r="A41" s="485" t="s">
        <v>731</v>
      </c>
      <c r="B41" s="485">
        <v>0</v>
      </c>
      <c r="C41" s="486">
        <v>211164.85534660899</v>
      </c>
      <c r="D41" s="487">
        <v>0</v>
      </c>
      <c r="E41" s="485">
        <v>2</v>
      </c>
      <c r="F41" s="485">
        <v>10</v>
      </c>
      <c r="G41" s="485">
        <v>0</v>
      </c>
    </row>
    <row r="42" spans="1:7" x14ac:dyDescent="0.25">
      <c r="A42" s="485" t="s">
        <v>732</v>
      </c>
      <c r="B42" s="485">
        <v>0</v>
      </c>
      <c r="C42" s="486">
        <v>6893.9079182941896</v>
      </c>
      <c r="D42" s="487">
        <v>27.382826622065</v>
      </c>
      <c r="E42" s="485">
        <v>5</v>
      </c>
      <c r="F42" s="485">
        <v>6</v>
      </c>
      <c r="G42" s="485">
        <v>0</v>
      </c>
    </row>
    <row r="43" spans="1:7" x14ac:dyDescent="0.25">
      <c r="A43" s="485" t="s">
        <v>733</v>
      </c>
      <c r="B43" s="485">
        <v>1</v>
      </c>
      <c r="C43" s="486">
        <v>11417.215271740501</v>
      </c>
      <c r="D43" s="487">
        <v>82.477797697818403</v>
      </c>
      <c r="E43" s="485">
        <v>7</v>
      </c>
      <c r="F43" s="485">
        <v>3</v>
      </c>
      <c r="G43" s="485">
        <v>1</v>
      </c>
    </row>
    <row r="44" spans="1:7" x14ac:dyDescent="0.25">
      <c r="A44" s="485" t="s">
        <v>734</v>
      </c>
      <c r="B44" s="485">
        <v>0</v>
      </c>
      <c r="C44" s="486">
        <v>15847.660767036799</v>
      </c>
      <c r="D44" s="487">
        <v>45.1606789494287</v>
      </c>
      <c r="E44" s="485">
        <v>8</v>
      </c>
      <c r="F44" s="485">
        <v>5</v>
      </c>
      <c r="G44" s="485">
        <v>0</v>
      </c>
    </row>
    <row r="45" spans="1:7" x14ac:dyDescent="0.25">
      <c r="A45" s="485" t="s">
        <v>735</v>
      </c>
      <c r="B45" s="485">
        <v>0</v>
      </c>
      <c r="C45" s="486">
        <v>10475.934385390599</v>
      </c>
      <c r="D45" s="487">
        <v>56.062720160134901</v>
      </c>
      <c r="E45" s="485">
        <v>3</v>
      </c>
      <c r="F45" s="485">
        <v>5</v>
      </c>
      <c r="G45" s="485">
        <v>0</v>
      </c>
    </row>
    <row r="46" spans="1:7" x14ac:dyDescent="0.25">
      <c r="A46" s="485" t="s">
        <v>736</v>
      </c>
      <c r="B46" s="485">
        <v>0</v>
      </c>
      <c r="C46" s="486">
        <v>8061.2934489443196</v>
      </c>
      <c r="D46" s="487">
        <v>80.383746871579206</v>
      </c>
      <c r="E46" s="485">
        <v>3</v>
      </c>
      <c r="F46" s="485">
        <v>4</v>
      </c>
      <c r="G46" s="485">
        <v>1</v>
      </c>
    </row>
    <row r="47" spans="1:7" x14ac:dyDescent="0.25">
      <c r="A47" s="485" t="s">
        <v>737</v>
      </c>
      <c r="B47" s="485">
        <v>0</v>
      </c>
      <c r="C47" s="486">
        <v>8528.6041624751506</v>
      </c>
      <c r="D47" s="487">
        <v>109.13446941880299</v>
      </c>
      <c r="E47" s="485">
        <v>3</v>
      </c>
      <c r="F47" s="485">
        <v>4</v>
      </c>
      <c r="G47" s="485">
        <v>1</v>
      </c>
    </row>
    <row r="48" spans="1:7" x14ac:dyDescent="0.25">
      <c r="A48" s="485" t="s">
        <v>738</v>
      </c>
      <c r="B48" s="485">
        <v>1</v>
      </c>
      <c r="C48" s="486">
        <v>8046.3744397188102</v>
      </c>
      <c r="D48" s="487">
        <v>18.264419531362098</v>
      </c>
      <c r="E48" s="485">
        <v>8</v>
      </c>
      <c r="F48" s="485">
        <v>7</v>
      </c>
      <c r="G48" s="485">
        <v>0</v>
      </c>
    </row>
    <row r="49" spans="1:7" x14ac:dyDescent="0.25">
      <c r="A49" s="485" t="s">
        <v>739</v>
      </c>
      <c r="B49" s="485">
        <v>0</v>
      </c>
      <c r="C49" s="486">
        <v>126009.98200668101</v>
      </c>
      <c r="D49" s="487">
        <v>0</v>
      </c>
      <c r="E49" s="485">
        <v>5</v>
      </c>
      <c r="F49" s="485">
        <v>9</v>
      </c>
      <c r="G49" s="485">
        <v>0</v>
      </c>
    </row>
    <row r="50" spans="1:7" x14ac:dyDescent="0.25">
      <c r="A50" s="485" t="s">
        <v>740</v>
      </c>
      <c r="B50" s="485">
        <v>0</v>
      </c>
      <c r="C50" s="486">
        <v>21475.3393534688</v>
      </c>
      <c r="D50" s="487">
        <v>101.234836643137</v>
      </c>
      <c r="E50" s="485">
        <v>3</v>
      </c>
      <c r="F50" s="485">
        <v>4</v>
      </c>
      <c r="G50" s="485">
        <v>1</v>
      </c>
    </row>
    <row r="51" spans="1:7" x14ac:dyDescent="0.25">
      <c r="A51" s="485" t="s">
        <v>741</v>
      </c>
      <c r="B51" s="485">
        <v>0</v>
      </c>
      <c r="C51" s="486">
        <v>6630.7154202905504</v>
      </c>
      <c r="D51" s="487">
        <v>104.50285197986599</v>
      </c>
      <c r="E51" s="485">
        <v>5</v>
      </c>
      <c r="F51" s="485">
        <v>4</v>
      </c>
      <c r="G51" s="485">
        <v>1</v>
      </c>
    </row>
    <row r="52" spans="1:7" x14ac:dyDescent="0.25">
      <c r="A52" s="485" t="s">
        <v>742</v>
      </c>
      <c r="B52" s="485">
        <v>0</v>
      </c>
      <c r="C52" s="486">
        <v>10350.0328346797</v>
      </c>
      <c r="D52" s="487">
        <v>11.4175199539325</v>
      </c>
      <c r="E52" s="485">
        <v>3</v>
      </c>
      <c r="F52" s="485">
        <v>7</v>
      </c>
      <c r="G52" s="485">
        <v>0</v>
      </c>
    </row>
    <row r="53" spans="1:7" x14ac:dyDescent="0.25">
      <c r="A53" s="485" t="s">
        <v>743</v>
      </c>
      <c r="B53" s="485">
        <v>0</v>
      </c>
      <c r="C53" s="486">
        <v>15258.780016769</v>
      </c>
      <c r="D53" s="487">
        <v>44.535369858010696</v>
      </c>
      <c r="E53" s="485">
        <v>2</v>
      </c>
      <c r="F53" s="485">
        <v>5</v>
      </c>
      <c r="G53" s="485">
        <v>0</v>
      </c>
    </row>
    <row r="54" spans="1:7" x14ac:dyDescent="0.25">
      <c r="A54" s="485" t="s">
        <v>744</v>
      </c>
      <c r="B54" s="485">
        <v>0</v>
      </c>
      <c r="C54" s="486">
        <v>3148.4618312574798</v>
      </c>
      <c r="D54" s="487">
        <v>136.97010954067201</v>
      </c>
      <c r="E54" s="485">
        <v>7</v>
      </c>
      <c r="F54" s="485">
        <v>2</v>
      </c>
      <c r="G54" s="485">
        <v>1</v>
      </c>
    </row>
    <row r="55" spans="1:7" x14ac:dyDescent="0.25">
      <c r="A55" s="485" t="s">
        <v>745</v>
      </c>
      <c r="B55" s="485">
        <v>0</v>
      </c>
      <c r="C55" s="486">
        <v>12461.347062037799</v>
      </c>
      <c r="D55" s="487">
        <v>38.293639814214004</v>
      </c>
      <c r="E55" s="485">
        <v>5</v>
      </c>
      <c r="F55" s="485">
        <v>6</v>
      </c>
      <c r="G55" s="485">
        <v>0</v>
      </c>
    </row>
    <row r="56" spans="1:7" x14ac:dyDescent="0.25">
      <c r="A56" s="485" t="s">
        <v>746</v>
      </c>
      <c r="B56" s="485">
        <v>0</v>
      </c>
      <c r="C56" s="486">
        <v>20030.82583143</v>
      </c>
      <c r="D56" s="487">
        <v>42.6101190930599</v>
      </c>
      <c r="E56" s="485">
        <v>4</v>
      </c>
      <c r="F56" s="485">
        <v>6</v>
      </c>
      <c r="G56" s="485">
        <v>0</v>
      </c>
    </row>
    <row r="57" spans="1:7" x14ac:dyDescent="0.25">
      <c r="A57" s="485" t="s">
        <v>747</v>
      </c>
      <c r="B57" s="485">
        <v>0</v>
      </c>
      <c r="C57" s="486">
        <v>28159.5953384555</v>
      </c>
      <c r="D57" s="487">
        <v>0.41488225443843002</v>
      </c>
      <c r="E57" s="485">
        <v>8</v>
      </c>
      <c r="F57" s="485">
        <v>10</v>
      </c>
      <c r="G57" s="485">
        <v>0</v>
      </c>
    </row>
    <row r="58" spans="1:7" x14ac:dyDescent="0.25">
      <c r="A58" s="485" t="s">
        <v>748</v>
      </c>
      <c r="B58" s="485">
        <v>0</v>
      </c>
      <c r="C58" s="486">
        <v>61271.295180254703</v>
      </c>
      <c r="D58" s="487">
        <v>0</v>
      </c>
      <c r="E58" s="485">
        <v>9</v>
      </c>
      <c r="F58" s="485">
        <v>10</v>
      </c>
      <c r="G58" s="485">
        <v>0</v>
      </c>
    </row>
    <row r="59" spans="1:7" x14ac:dyDescent="0.25">
      <c r="A59" s="485" t="s">
        <v>749</v>
      </c>
      <c r="B59" s="485">
        <v>0</v>
      </c>
      <c r="C59" s="486">
        <v>29987.818696216698</v>
      </c>
      <c r="D59" s="487">
        <v>23.5000200349088</v>
      </c>
      <c r="E59" s="485">
        <v>7</v>
      </c>
      <c r="F59" s="485">
        <v>6</v>
      </c>
      <c r="G59" s="485">
        <v>0</v>
      </c>
    </row>
    <row r="60" spans="1:7" x14ac:dyDescent="0.25">
      <c r="A60" s="485" t="s">
        <v>750</v>
      </c>
      <c r="B60" s="485">
        <v>1</v>
      </c>
      <c r="C60" s="486">
        <v>5191.7776910391003</v>
      </c>
      <c r="D60" s="487">
        <v>23.452187944969843</v>
      </c>
      <c r="E60" s="485">
        <v>9</v>
      </c>
      <c r="F60" s="485">
        <v>6</v>
      </c>
      <c r="G60" s="485">
        <v>0</v>
      </c>
    </row>
    <row r="61" spans="1:7" x14ac:dyDescent="0.25">
      <c r="A61" s="485" t="s">
        <v>751</v>
      </c>
      <c r="B61" s="485">
        <v>1</v>
      </c>
      <c r="C61" s="486">
        <v>19182.713127564701</v>
      </c>
      <c r="D61" s="487">
        <v>152.95647437898472</v>
      </c>
      <c r="E61" s="485">
        <v>6</v>
      </c>
      <c r="F61" s="485">
        <v>1</v>
      </c>
      <c r="G61" s="485">
        <v>1</v>
      </c>
    </row>
    <row r="62" spans="1:7" x14ac:dyDescent="0.25">
      <c r="A62" s="485" t="s">
        <v>752</v>
      </c>
      <c r="B62" s="485">
        <v>1</v>
      </c>
      <c r="C62" s="486">
        <v>25628.702893956099</v>
      </c>
      <c r="D62" s="487">
        <v>68.82292288757084</v>
      </c>
      <c r="E62" s="485">
        <v>6</v>
      </c>
      <c r="F62" s="485">
        <v>4</v>
      </c>
      <c r="G62" s="485">
        <v>0</v>
      </c>
    </row>
    <row r="63" spans="1:7" x14ac:dyDescent="0.25">
      <c r="A63" s="485" t="s">
        <v>753</v>
      </c>
      <c r="B63" s="485">
        <v>1</v>
      </c>
      <c r="C63" s="486">
        <v>27619.980448147198</v>
      </c>
      <c r="D63" s="487">
        <v>21.629940528972998</v>
      </c>
      <c r="E63" s="485">
        <v>8</v>
      </c>
      <c r="F63" s="485">
        <v>6</v>
      </c>
      <c r="G63" s="485">
        <v>0</v>
      </c>
    </row>
    <row r="64" spans="1:7" x14ac:dyDescent="0.25">
      <c r="A64" s="485" t="s">
        <v>754</v>
      </c>
      <c r="B64" s="485">
        <v>0</v>
      </c>
      <c r="C64" s="486">
        <v>24244.195942264399</v>
      </c>
      <c r="D64" s="487">
        <v>30.468126322172299</v>
      </c>
      <c r="E64" s="485">
        <v>7</v>
      </c>
      <c r="F64" s="485">
        <v>6</v>
      </c>
      <c r="G64" s="485">
        <v>0</v>
      </c>
    </row>
    <row r="65" spans="1:7" x14ac:dyDescent="0.25">
      <c r="A65" s="485" t="s">
        <v>755</v>
      </c>
      <c r="B65" s="485">
        <v>1</v>
      </c>
      <c r="C65" s="486">
        <v>6581.3282293906504</v>
      </c>
      <c r="D65" s="487">
        <v>10.504571281269421</v>
      </c>
      <c r="E65" s="485">
        <v>8</v>
      </c>
      <c r="F65" s="485">
        <v>7</v>
      </c>
      <c r="G65" s="485">
        <v>0</v>
      </c>
    </row>
    <row r="66" spans="1:7" x14ac:dyDescent="0.25">
      <c r="A66" s="485" t="s">
        <v>756</v>
      </c>
      <c r="B66" s="485">
        <v>0</v>
      </c>
      <c r="C66" s="486">
        <v>22632.943423027202</v>
      </c>
      <c r="D66" s="487">
        <v>1.4325543587588201</v>
      </c>
      <c r="E66" s="485">
        <v>9</v>
      </c>
      <c r="F66" s="485">
        <v>9</v>
      </c>
      <c r="G66" s="485">
        <v>0</v>
      </c>
    </row>
    <row r="67" spans="1:7" x14ac:dyDescent="0.25">
      <c r="A67" s="485" t="s">
        <v>757</v>
      </c>
      <c r="B67" s="485">
        <v>0</v>
      </c>
      <c r="C67" s="486">
        <v>18046.421138078</v>
      </c>
      <c r="D67" s="487">
        <v>72.435451757244195</v>
      </c>
      <c r="E67" s="485">
        <v>5</v>
      </c>
      <c r="F67" s="485">
        <v>4</v>
      </c>
      <c r="G67" s="485">
        <v>0</v>
      </c>
    </row>
    <row r="68" spans="1:7" x14ac:dyDescent="0.25">
      <c r="A68" s="485" t="s">
        <v>758</v>
      </c>
      <c r="B68" s="485">
        <v>0</v>
      </c>
      <c r="C68" s="486">
        <v>10770.154583780901</v>
      </c>
      <c r="D68" s="487">
        <v>90.344247032644205</v>
      </c>
      <c r="E68" s="485">
        <v>4</v>
      </c>
      <c r="F68" s="485">
        <v>4</v>
      </c>
      <c r="G68" s="485">
        <v>1</v>
      </c>
    </row>
    <row r="69" spans="1:7" x14ac:dyDescent="0.25">
      <c r="A69" s="485" t="s">
        <v>759</v>
      </c>
      <c r="B69" s="485">
        <v>0</v>
      </c>
      <c r="C69" s="486">
        <v>12926.853504439699</v>
      </c>
      <c r="D69" s="487">
        <v>109.425188649088</v>
      </c>
      <c r="E69" s="485">
        <v>4</v>
      </c>
      <c r="F69" s="485">
        <v>4</v>
      </c>
      <c r="G69" s="485">
        <v>1</v>
      </c>
    </row>
    <row r="70" spans="1:7" x14ac:dyDescent="0.25">
      <c r="A70" s="485" t="s">
        <v>760</v>
      </c>
      <c r="B70" s="485">
        <v>0</v>
      </c>
      <c r="C70" s="486">
        <v>10582.9571969424</v>
      </c>
      <c r="D70" s="487">
        <v>112.811764851844</v>
      </c>
      <c r="E70" s="485">
        <v>4</v>
      </c>
      <c r="F70" s="485">
        <v>3</v>
      </c>
      <c r="G70" s="485">
        <v>1</v>
      </c>
    </row>
    <row r="71" spans="1:7" x14ac:dyDescent="0.25">
      <c r="A71" s="485" t="s">
        <v>761</v>
      </c>
      <c r="B71" s="485">
        <v>0</v>
      </c>
      <c r="C71" s="486">
        <v>35648.861410108198</v>
      </c>
      <c r="D71" s="487">
        <v>129.29538524950999</v>
      </c>
      <c r="E71" s="485">
        <v>4</v>
      </c>
      <c r="F71" s="485">
        <v>2</v>
      </c>
      <c r="G71" s="485">
        <v>1</v>
      </c>
    </row>
    <row r="72" spans="1:7" x14ac:dyDescent="0.25">
      <c r="A72" s="485" t="s">
        <v>762</v>
      </c>
      <c r="B72" s="485">
        <v>1</v>
      </c>
      <c r="C72" s="486">
        <v>34325.375744960598</v>
      </c>
      <c r="D72" s="487">
        <v>9.6544258786446484</v>
      </c>
      <c r="E72" s="485">
        <v>8</v>
      </c>
      <c r="F72" s="485">
        <v>7</v>
      </c>
      <c r="G72" s="485">
        <v>0</v>
      </c>
    </row>
    <row r="73" spans="1:7" x14ac:dyDescent="0.25">
      <c r="A73" s="485" t="s">
        <v>763</v>
      </c>
      <c r="B73" s="485">
        <v>1</v>
      </c>
      <c r="C73" s="486">
        <v>31590.008518879698</v>
      </c>
      <c r="D73" s="487">
        <v>83.394816486419899</v>
      </c>
      <c r="E73" s="485">
        <v>5</v>
      </c>
      <c r="F73" s="485">
        <v>3</v>
      </c>
      <c r="G73" s="485">
        <v>1</v>
      </c>
    </row>
    <row r="74" spans="1:7" x14ac:dyDescent="0.25">
      <c r="A74" s="485" t="s">
        <v>764</v>
      </c>
      <c r="B74" s="485">
        <v>1</v>
      </c>
      <c r="C74" s="486">
        <v>19309.9252817134</v>
      </c>
      <c r="D74" s="487">
        <v>155.43756230903935</v>
      </c>
      <c r="E74" s="485">
        <v>7</v>
      </c>
      <c r="F74" s="485">
        <v>1</v>
      </c>
      <c r="G74" s="485">
        <v>1</v>
      </c>
    </row>
    <row r="75" spans="1:7" x14ac:dyDescent="0.25">
      <c r="A75" s="485" t="s">
        <v>765</v>
      </c>
      <c r="B75" s="485">
        <v>1</v>
      </c>
      <c r="C75" s="486">
        <v>12763.8436845903</v>
      </c>
      <c r="D75" s="487">
        <v>104.91669374045603</v>
      </c>
      <c r="E75" s="485">
        <v>7</v>
      </c>
      <c r="F75" s="485">
        <v>3</v>
      </c>
      <c r="G75" s="485">
        <v>1</v>
      </c>
    </row>
    <row r="76" spans="1:7" x14ac:dyDescent="0.25">
      <c r="A76" s="485" t="s">
        <v>766</v>
      </c>
      <c r="B76" s="485">
        <v>0</v>
      </c>
      <c r="C76" s="486">
        <v>65279.822102751197</v>
      </c>
      <c r="D76" s="487">
        <v>7.0025399999485103</v>
      </c>
      <c r="E76" s="485">
        <v>9</v>
      </c>
      <c r="F76" s="485">
        <v>8</v>
      </c>
      <c r="G76" s="485">
        <v>0</v>
      </c>
    </row>
    <row r="77" spans="1:7" x14ac:dyDescent="0.25">
      <c r="A77" s="485" t="s">
        <v>767</v>
      </c>
      <c r="B77" s="485">
        <v>1</v>
      </c>
      <c r="C77" s="486">
        <v>3771.40563132942</v>
      </c>
      <c r="D77" s="487">
        <v>210.08229401336203</v>
      </c>
      <c r="E77" s="485">
        <v>7</v>
      </c>
      <c r="F77" s="485">
        <v>1</v>
      </c>
      <c r="G77" s="485">
        <v>1</v>
      </c>
    </row>
    <row r="78" spans="1:7" x14ac:dyDescent="0.25">
      <c r="A78" s="485" t="s">
        <v>768</v>
      </c>
      <c r="B78" s="485">
        <v>0</v>
      </c>
      <c r="C78" s="486">
        <v>4107.6688577470704</v>
      </c>
      <c r="D78" s="487">
        <v>44.289235698308701</v>
      </c>
      <c r="E78" s="485">
        <v>9</v>
      </c>
      <c r="F78" s="485">
        <v>6</v>
      </c>
      <c r="G78" s="485">
        <v>0</v>
      </c>
    </row>
    <row r="79" spans="1:7" x14ac:dyDescent="0.25">
      <c r="A79" s="485" t="s">
        <v>769</v>
      </c>
      <c r="B79" s="485">
        <v>1</v>
      </c>
      <c r="C79" s="486">
        <v>10077.570976563</v>
      </c>
      <c r="D79" s="487">
        <v>91.480051761547443</v>
      </c>
      <c r="E79" s="485">
        <v>5</v>
      </c>
      <c r="F79" s="485">
        <v>3</v>
      </c>
      <c r="G79" s="485">
        <v>1</v>
      </c>
    </row>
    <row r="80" spans="1:7" x14ac:dyDescent="0.25">
      <c r="A80" s="485" t="s">
        <v>770</v>
      </c>
      <c r="B80" s="485">
        <v>0</v>
      </c>
      <c r="C80" s="486">
        <v>103015.50849707201</v>
      </c>
      <c r="D80" s="487">
        <v>0</v>
      </c>
      <c r="E80" s="485">
        <v>8</v>
      </c>
      <c r="F80" s="485">
        <v>8</v>
      </c>
      <c r="G80" s="485">
        <v>0</v>
      </c>
    </row>
    <row r="81" spans="1:7" x14ac:dyDescent="0.25">
      <c r="A81" s="485" t="s">
        <v>771</v>
      </c>
      <c r="B81" s="485">
        <v>1</v>
      </c>
      <c r="C81" s="486">
        <v>13159.719702155</v>
      </c>
      <c r="D81" s="487">
        <v>83.570991532483859</v>
      </c>
      <c r="E81" s="485">
        <v>5</v>
      </c>
      <c r="F81" s="485">
        <v>5</v>
      </c>
      <c r="G81" s="485">
        <v>0</v>
      </c>
    </row>
    <row r="82" spans="1:7" x14ac:dyDescent="0.25">
      <c r="A82" s="485" t="s">
        <v>772</v>
      </c>
      <c r="B82" s="485">
        <v>0</v>
      </c>
      <c r="C82" s="486">
        <v>23781.5530102263</v>
      </c>
      <c r="D82" s="487">
        <v>48.790887254386</v>
      </c>
      <c r="E82" s="485">
        <v>8</v>
      </c>
      <c r="F82" s="485">
        <v>5</v>
      </c>
      <c r="G82" s="485">
        <v>0</v>
      </c>
    </row>
    <row r="83" spans="1:7" x14ac:dyDescent="0.25">
      <c r="A83" s="485" t="s">
        <v>773</v>
      </c>
      <c r="B83" s="485">
        <v>0</v>
      </c>
      <c r="C83" s="486">
        <v>7350.6803058051</v>
      </c>
      <c r="D83" s="487">
        <v>34.121110247893199</v>
      </c>
      <c r="E83" s="485">
        <v>4</v>
      </c>
      <c r="F83" s="485">
        <v>6</v>
      </c>
      <c r="G83" s="485">
        <v>0</v>
      </c>
    </row>
    <row r="84" spans="1:7" x14ac:dyDescent="0.25">
      <c r="A84" s="485" t="s">
        <v>774</v>
      </c>
      <c r="B84" s="485">
        <v>0</v>
      </c>
      <c r="C84" s="486">
        <v>8401.9883397023204</v>
      </c>
      <c r="D84" s="487">
        <v>84.3781300081192</v>
      </c>
      <c r="E84" s="485">
        <v>3</v>
      </c>
      <c r="F84" s="485">
        <v>4</v>
      </c>
      <c r="G84" s="485">
        <v>1</v>
      </c>
    </row>
    <row r="85" spans="1:7" x14ac:dyDescent="0.25">
      <c r="A85" s="485" t="s">
        <v>775</v>
      </c>
      <c r="B85" s="485">
        <v>1</v>
      </c>
      <c r="C85" s="486">
        <v>4745.2769242718296</v>
      </c>
      <c r="D85" s="487">
        <v>282.33041545484184</v>
      </c>
      <c r="E85" s="485">
        <v>5</v>
      </c>
      <c r="F85" s="485">
        <v>1</v>
      </c>
      <c r="G85" s="485">
        <v>1</v>
      </c>
    </row>
    <row r="86" spans="1:7" x14ac:dyDescent="0.25">
      <c r="A86" s="485" t="s">
        <v>776</v>
      </c>
      <c r="B86" s="485">
        <v>1</v>
      </c>
      <c r="C86" s="486">
        <v>6840.3598146170998</v>
      </c>
      <c r="D86" s="487">
        <v>22.0100902624113</v>
      </c>
      <c r="E86" s="485">
        <v>6</v>
      </c>
      <c r="F86" s="485">
        <v>6</v>
      </c>
      <c r="G86" s="485">
        <v>0</v>
      </c>
    </row>
    <row r="87" spans="1:7" x14ac:dyDescent="0.25">
      <c r="A87" s="485" t="s">
        <v>777</v>
      </c>
      <c r="B87" s="485">
        <v>1</v>
      </c>
      <c r="C87" s="486">
        <v>24103.340688199802</v>
      </c>
      <c r="D87" s="487">
        <v>12.955655809393397</v>
      </c>
      <c r="E87" s="485">
        <v>7</v>
      </c>
      <c r="F87" s="485">
        <v>7</v>
      </c>
      <c r="G87" s="485">
        <v>0</v>
      </c>
    </row>
    <row r="88" spans="1:7" x14ac:dyDescent="0.25">
      <c r="A88" s="485" t="s">
        <v>778</v>
      </c>
      <c r="B88" s="485">
        <v>0</v>
      </c>
      <c r="C88" s="486">
        <v>99955.501726964096</v>
      </c>
      <c r="D88" s="487">
        <v>32.909416236580597</v>
      </c>
      <c r="E88" s="485">
        <v>6</v>
      </c>
      <c r="F88" s="485">
        <v>6</v>
      </c>
      <c r="G88" s="485">
        <v>0</v>
      </c>
    </row>
    <row r="89" spans="1:7" x14ac:dyDescent="0.25">
      <c r="A89" s="485" t="s">
        <v>779</v>
      </c>
      <c r="B89" s="485">
        <v>0</v>
      </c>
      <c r="C89" s="486">
        <v>197165.74651803001</v>
      </c>
      <c r="D89" s="487">
        <v>0</v>
      </c>
      <c r="E89" s="485">
        <v>7</v>
      </c>
      <c r="F89" s="485">
        <v>9</v>
      </c>
      <c r="G89" s="485">
        <v>0</v>
      </c>
    </row>
    <row r="90" spans="1:7" x14ac:dyDescent="0.25">
      <c r="A90" s="485" t="s">
        <v>780</v>
      </c>
      <c r="B90" s="485">
        <v>1</v>
      </c>
      <c r="C90" s="486">
        <v>19234.516739364899</v>
      </c>
      <c r="D90" s="487">
        <v>45.762900011092569</v>
      </c>
      <c r="E90" s="485">
        <v>7</v>
      </c>
      <c r="F90" s="485">
        <v>5</v>
      </c>
      <c r="G90" s="485">
        <v>0</v>
      </c>
    </row>
    <row r="91" spans="1:7" x14ac:dyDescent="0.25">
      <c r="A91" s="485" t="s">
        <v>781</v>
      </c>
      <c r="B91" s="485">
        <v>1</v>
      </c>
      <c r="C91" s="486">
        <v>35198.140209886798</v>
      </c>
      <c r="D91" s="487">
        <v>57.827793712649431</v>
      </c>
      <c r="E91" s="485">
        <v>8</v>
      </c>
      <c r="F91" s="485">
        <v>5</v>
      </c>
      <c r="G91" s="485">
        <v>0</v>
      </c>
    </row>
    <row r="92" spans="1:7" x14ac:dyDescent="0.25">
      <c r="A92" s="485" t="s">
        <v>782</v>
      </c>
      <c r="B92" s="485">
        <v>1</v>
      </c>
      <c r="C92" s="486">
        <v>13484.985810837799</v>
      </c>
      <c r="D92" s="487">
        <v>8.3187539437119433</v>
      </c>
      <c r="E92" s="485">
        <v>8</v>
      </c>
      <c r="F92" s="485">
        <v>7</v>
      </c>
      <c r="G92" s="485">
        <v>0</v>
      </c>
    </row>
    <row r="93" spans="1:7" x14ac:dyDescent="0.25">
      <c r="A93" s="485" t="s">
        <v>783</v>
      </c>
      <c r="B93" s="485">
        <v>0</v>
      </c>
      <c r="C93" s="486">
        <v>23918.7402367947</v>
      </c>
      <c r="D93" s="487">
        <v>93.869225572051207</v>
      </c>
      <c r="E93" s="485">
        <v>1</v>
      </c>
      <c r="F93" s="485">
        <v>3</v>
      </c>
      <c r="G93" s="485">
        <v>1</v>
      </c>
    </row>
    <row r="94" spans="1:7" x14ac:dyDescent="0.25">
      <c r="A94" s="485" t="s">
        <v>784</v>
      </c>
      <c r="B94" s="485">
        <v>0</v>
      </c>
      <c r="C94" s="486">
        <v>6581.0784677526799</v>
      </c>
      <c r="D94" s="487">
        <v>129.06516325405701</v>
      </c>
      <c r="E94" s="485">
        <v>5</v>
      </c>
      <c r="F94" s="485">
        <v>2</v>
      </c>
      <c r="G94" s="485">
        <v>1</v>
      </c>
    </row>
    <row r="95" spans="1:7" x14ac:dyDescent="0.25">
      <c r="A95" s="485" t="s">
        <v>785</v>
      </c>
      <c r="B95" s="485">
        <v>0</v>
      </c>
      <c r="C95" s="486">
        <v>281351.41641180002</v>
      </c>
      <c r="D95" s="487">
        <v>79.647755976194802</v>
      </c>
      <c r="E95" s="485">
        <v>7</v>
      </c>
      <c r="F95" s="485">
        <v>6</v>
      </c>
      <c r="G95" s="485">
        <v>0</v>
      </c>
    </row>
    <row r="96" spans="1:7" x14ac:dyDescent="0.25">
      <c r="A96" s="485" t="s">
        <v>786</v>
      </c>
      <c r="B96" s="485">
        <v>0</v>
      </c>
      <c r="C96" s="486">
        <v>9758.9752750200205</v>
      </c>
      <c r="D96" s="487">
        <v>136.90736845418601</v>
      </c>
      <c r="E96" s="485">
        <v>4</v>
      </c>
      <c r="F96" s="485">
        <v>2</v>
      </c>
      <c r="G96" s="485">
        <v>1</v>
      </c>
    </row>
    <row r="97" spans="1:7" x14ac:dyDescent="0.25">
      <c r="A97" s="485" t="s">
        <v>787</v>
      </c>
      <c r="B97" s="485">
        <v>0</v>
      </c>
      <c r="C97" s="486">
        <v>27000.7811978139</v>
      </c>
      <c r="D97" s="487">
        <v>48.727053485002997</v>
      </c>
      <c r="E97" s="485">
        <v>5</v>
      </c>
      <c r="F97" s="485">
        <v>5</v>
      </c>
      <c r="G97" s="485">
        <v>0</v>
      </c>
    </row>
    <row r="98" spans="1:7" x14ac:dyDescent="0.25">
      <c r="A98" s="485" t="s">
        <v>788</v>
      </c>
      <c r="B98" s="485">
        <v>0</v>
      </c>
      <c r="C98" s="486">
        <v>46233.021959170903</v>
      </c>
      <c r="D98" s="487">
        <v>113.77774800412</v>
      </c>
      <c r="E98" s="485">
        <v>3</v>
      </c>
      <c r="F98" s="485">
        <v>3</v>
      </c>
      <c r="G98" s="485">
        <v>1</v>
      </c>
    </row>
    <row r="99" spans="1:7" x14ac:dyDescent="0.25">
      <c r="A99" s="485" t="s">
        <v>789</v>
      </c>
      <c r="B99" s="485">
        <v>0</v>
      </c>
      <c r="C99" s="486">
        <v>6990.8351214376498</v>
      </c>
      <c r="D99" s="487">
        <v>139.644023551967</v>
      </c>
      <c r="E99" s="485">
        <v>3</v>
      </c>
      <c r="F99" s="485">
        <v>2</v>
      </c>
      <c r="G99" s="485">
        <v>1</v>
      </c>
    </row>
    <row r="100" spans="1:7" x14ac:dyDescent="0.25">
      <c r="A100" s="485" t="s">
        <v>790</v>
      </c>
      <c r="B100" s="485">
        <v>0</v>
      </c>
      <c r="C100" s="486">
        <v>14641.982520272601</v>
      </c>
      <c r="D100" s="487">
        <v>100.06599039585799</v>
      </c>
      <c r="E100" s="485">
        <v>3</v>
      </c>
      <c r="F100" s="485">
        <v>3</v>
      </c>
      <c r="G100" s="485">
        <v>1</v>
      </c>
    </row>
    <row r="101" spans="1:7" x14ac:dyDescent="0.25">
      <c r="A101" s="485" t="s">
        <v>791</v>
      </c>
      <c r="B101" s="485">
        <v>0</v>
      </c>
      <c r="C101" s="486">
        <v>45288.439200481698</v>
      </c>
      <c r="D101" s="487">
        <v>20.610403797740101</v>
      </c>
      <c r="E101" s="485">
        <v>3</v>
      </c>
      <c r="F101" s="485">
        <v>6</v>
      </c>
      <c r="G101" s="485">
        <v>0</v>
      </c>
    </row>
    <row r="102" spans="1:7" x14ac:dyDescent="0.25">
      <c r="A102" s="485" t="s">
        <v>792</v>
      </c>
      <c r="B102" s="485">
        <v>0</v>
      </c>
      <c r="C102" s="486">
        <v>27257.772128742399</v>
      </c>
      <c r="D102" s="487">
        <v>13.182365896897901</v>
      </c>
      <c r="E102" s="485">
        <v>5</v>
      </c>
      <c r="F102" s="485">
        <v>6</v>
      </c>
      <c r="G102" s="485">
        <v>0</v>
      </c>
    </row>
    <row r="103" spans="1:7" x14ac:dyDescent="0.25">
      <c r="A103" s="485" t="s">
        <v>793</v>
      </c>
      <c r="B103" s="485">
        <v>0</v>
      </c>
      <c r="C103" s="486">
        <v>26702.2812225747</v>
      </c>
      <c r="D103" s="487">
        <v>69.6584891755694</v>
      </c>
      <c r="E103" s="485">
        <v>6</v>
      </c>
      <c r="F103" s="485">
        <v>5</v>
      </c>
      <c r="G103" s="485">
        <v>0</v>
      </c>
    </row>
    <row r="104" spans="1:7" x14ac:dyDescent="0.25">
      <c r="A104" s="485" t="s">
        <v>794</v>
      </c>
      <c r="B104" s="485">
        <v>0</v>
      </c>
      <c r="C104" s="486">
        <v>35041.8553619792</v>
      </c>
      <c r="D104" s="487">
        <v>93.378868793267003</v>
      </c>
      <c r="E104" s="485">
        <v>3</v>
      </c>
      <c r="F104" s="485">
        <v>4</v>
      </c>
      <c r="G104" s="485">
        <v>1</v>
      </c>
    </row>
    <row r="105" spans="1:7" x14ac:dyDescent="0.25">
      <c r="A105" s="485" t="s">
        <v>795</v>
      </c>
      <c r="B105" s="485">
        <v>0</v>
      </c>
      <c r="C105" s="486">
        <v>6849.8557056023801</v>
      </c>
      <c r="D105" s="487">
        <v>114.573710497303</v>
      </c>
      <c r="E105" s="485">
        <v>4</v>
      </c>
      <c r="F105" s="485">
        <v>3</v>
      </c>
      <c r="G105" s="485">
        <v>1</v>
      </c>
    </row>
    <row r="106" spans="1:7" x14ac:dyDescent="0.25">
      <c r="A106" s="485" t="s">
        <v>796</v>
      </c>
      <c r="B106" s="485">
        <v>0</v>
      </c>
      <c r="C106" s="486">
        <v>4446.6196279775704</v>
      </c>
      <c r="D106" s="487">
        <v>102.30990181521101</v>
      </c>
      <c r="E106" s="485">
        <v>2</v>
      </c>
      <c r="F106" s="485">
        <v>3</v>
      </c>
      <c r="G106" s="485">
        <v>1</v>
      </c>
    </row>
    <row r="107" spans="1:7" x14ac:dyDescent="0.25">
      <c r="A107" s="485" t="s">
        <v>797</v>
      </c>
      <c r="B107" s="485">
        <v>0</v>
      </c>
      <c r="C107" s="486">
        <v>53572.3358641058</v>
      </c>
      <c r="D107" s="487">
        <v>14.7045742668973</v>
      </c>
      <c r="E107" s="485">
        <v>7</v>
      </c>
      <c r="F107" s="485">
        <v>7</v>
      </c>
      <c r="G107" s="485">
        <v>0</v>
      </c>
    </row>
    <row r="108" spans="1:7" x14ac:dyDescent="0.25">
      <c r="A108" s="485" t="s">
        <v>798</v>
      </c>
      <c r="B108" s="485">
        <v>0</v>
      </c>
      <c r="C108" s="486">
        <v>30609.915449969401</v>
      </c>
      <c r="D108" s="487">
        <v>2.0072604137025798</v>
      </c>
      <c r="E108" s="485">
        <v>7</v>
      </c>
      <c r="F108" s="485">
        <v>8</v>
      </c>
      <c r="G108" s="485">
        <v>0</v>
      </c>
    </row>
    <row r="109" spans="1:7" x14ac:dyDescent="0.25">
      <c r="A109" s="485" t="s">
        <v>799</v>
      </c>
      <c r="B109" s="485">
        <v>1</v>
      </c>
      <c r="C109" s="486">
        <v>9139.5255808156908</v>
      </c>
      <c r="D109" s="487">
        <v>44.466233727390545</v>
      </c>
      <c r="E109" s="485">
        <v>8</v>
      </c>
      <c r="F109" s="485">
        <v>5</v>
      </c>
      <c r="G109" s="485">
        <v>0</v>
      </c>
    </row>
    <row r="110" spans="1:7" x14ac:dyDescent="0.25">
      <c r="A110" s="485" t="s">
        <v>800</v>
      </c>
      <c r="B110" s="485">
        <v>0</v>
      </c>
      <c r="C110" s="486">
        <v>1803.5049871093199</v>
      </c>
      <c r="D110" s="487">
        <v>147.553406630333</v>
      </c>
      <c r="E110" s="485">
        <v>7</v>
      </c>
      <c r="F110" s="485">
        <v>1</v>
      </c>
      <c r="G110" s="485">
        <v>1</v>
      </c>
    </row>
    <row r="111" spans="1:7" x14ac:dyDescent="0.25">
      <c r="A111" s="485" t="s">
        <v>801</v>
      </c>
      <c r="B111" s="485">
        <v>0</v>
      </c>
      <c r="C111" s="486">
        <v>19519.6469892485</v>
      </c>
      <c r="D111" s="487">
        <v>85.480245978099106</v>
      </c>
      <c r="E111" s="485">
        <v>3</v>
      </c>
      <c r="F111" s="485">
        <v>5</v>
      </c>
      <c r="G111" s="485">
        <v>1</v>
      </c>
    </row>
    <row r="112" spans="1:7" x14ac:dyDescent="0.25">
      <c r="A112" s="485" t="s">
        <v>802</v>
      </c>
      <c r="B112" s="485">
        <v>0</v>
      </c>
      <c r="C112" s="486">
        <v>24151.113752127101</v>
      </c>
      <c r="D112" s="487">
        <v>67.706645175523505</v>
      </c>
      <c r="E112" s="485">
        <v>7</v>
      </c>
      <c r="F112" s="485">
        <v>5</v>
      </c>
      <c r="G112" s="485">
        <v>1</v>
      </c>
    </row>
    <row r="113" spans="1:7" x14ac:dyDescent="0.25">
      <c r="A113" s="485" t="s">
        <v>803</v>
      </c>
      <c r="B113" s="485">
        <v>0</v>
      </c>
      <c r="C113" s="486">
        <v>11021.4235383247</v>
      </c>
      <c r="D113" s="487">
        <v>126.29832651434999</v>
      </c>
      <c r="E113" s="485">
        <v>4</v>
      </c>
      <c r="F113" s="485">
        <v>2</v>
      </c>
      <c r="G113" s="485">
        <v>1</v>
      </c>
    </row>
    <row r="114" spans="1:7" x14ac:dyDescent="0.25">
      <c r="A114" s="485" t="s">
        <v>804</v>
      </c>
      <c r="B114" s="485">
        <v>0</v>
      </c>
      <c r="C114" s="486">
        <v>963859.00076437904</v>
      </c>
      <c r="D114" s="487">
        <v>53.4009571806411</v>
      </c>
      <c r="E114" s="485">
        <v>2</v>
      </c>
      <c r="F114" s="485">
        <v>9</v>
      </c>
      <c r="G114" s="485">
        <v>0</v>
      </c>
    </row>
    <row r="115" spans="1:7" x14ac:dyDescent="0.25">
      <c r="A115" s="485" t="s">
        <v>805</v>
      </c>
      <c r="B115" s="485">
        <v>0</v>
      </c>
      <c r="C115" s="486">
        <v>17202.422138825201</v>
      </c>
      <c r="D115" s="487">
        <v>107.60500748232</v>
      </c>
      <c r="E115" s="485">
        <v>3</v>
      </c>
      <c r="F115" s="485">
        <v>3</v>
      </c>
      <c r="G115" s="485">
        <v>1</v>
      </c>
    </row>
    <row r="116" spans="1:7" x14ac:dyDescent="0.25">
      <c r="A116" s="485" t="s">
        <v>806</v>
      </c>
      <c r="B116" s="485">
        <v>0</v>
      </c>
      <c r="C116" s="486">
        <v>14465.1673518313</v>
      </c>
      <c r="D116" s="487">
        <v>95.785616893063803</v>
      </c>
      <c r="E116" s="485">
        <v>3</v>
      </c>
      <c r="F116" s="485">
        <v>4</v>
      </c>
      <c r="G116" s="485">
        <v>1</v>
      </c>
    </row>
    <row r="117" spans="1:7" x14ac:dyDescent="0.25">
      <c r="A117" s="485" t="s">
        <v>807</v>
      </c>
      <c r="B117" s="485">
        <v>0</v>
      </c>
      <c r="C117" s="486">
        <v>3722.6538520211798</v>
      </c>
      <c r="D117" s="487">
        <v>98.340990274442504</v>
      </c>
      <c r="E117" s="485">
        <v>5</v>
      </c>
      <c r="F117" s="485">
        <v>4</v>
      </c>
      <c r="G117" s="485">
        <v>1</v>
      </c>
    </row>
    <row r="118" spans="1:7" x14ac:dyDescent="0.25">
      <c r="A118" s="485" t="s">
        <v>808</v>
      </c>
      <c r="B118" s="485">
        <v>0</v>
      </c>
      <c r="C118" s="486">
        <v>8948.5791945805704</v>
      </c>
      <c r="D118" s="487">
        <v>18.2393398983493</v>
      </c>
      <c r="E118" s="485">
        <v>9</v>
      </c>
      <c r="F118" s="485">
        <v>6</v>
      </c>
      <c r="G118" s="485">
        <v>0</v>
      </c>
    </row>
    <row r="119" spans="1:7" x14ac:dyDescent="0.25">
      <c r="A119" s="485" t="s">
        <v>809</v>
      </c>
      <c r="B119" s="485">
        <v>0</v>
      </c>
      <c r="C119" s="486">
        <v>23136.139958584699</v>
      </c>
      <c r="D119" s="487">
        <v>110.509244856712</v>
      </c>
      <c r="E119" s="485">
        <v>1</v>
      </c>
      <c r="F119" s="485">
        <v>2</v>
      </c>
      <c r="G119" s="485">
        <v>1</v>
      </c>
    </row>
    <row r="120" spans="1:7" x14ac:dyDescent="0.25">
      <c r="A120" s="485" t="s">
        <v>810</v>
      </c>
      <c r="B120" s="485">
        <v>0</v>
      </c>
      <c r="C120" s="486">
        <v>9100.07715235873</v>
      </c>
      <c r="D120" s="487">
        <v>120.521170861141</v>
      </c>
      <c r="E120" s="485">
        <v>3</v>
      </c>
      <c r="F120" s="485">
        <v>3</v>
      </c>
      <c r="G120" s="485">
        <v>1</v>
      </c>
    </row>
    <row r="121" spans="1:7" x14ac:dyDescent="0.25">
      <c r="A121" s="485" t="s">
        <v>811</v>
      </c>
      <c r="B121" s="485">
        <v>0</v>
      </c>
      <c r="C121" s="486">
        <v>5727.8252920578198</v>
      </c>
      <c r="D121" s="487">
        <v>85.803565215588605</v>
      </c>
      <c r="E121" s="485">
        <v>3</v>
      </c>
      <c r="F121" s="485">
        <v>4</v>
      </c>
      <c r="G121" s="485">
        <v>1</v>
      </c>
    </row>
    <row r="122" spans="1:7" x14ac:dyDescent="0.25">
      <c r="A122" s="485" t="s">
        <v>812</v>
      </c>
      <c r="B122" s="485">
        <v>0</v>
      </c>
      <c r="C122" s="486">
        <v>3852.4793295455202</v>
      </c>
      <c r="D122" s="487">
        <v>12.605514387094001</v>
      </c>
      <c r="E122" s="485">
        <v>4</v>
      </c>
      <c r="F122" s="485">
        <v>7</v>
      </c>
      <c r="G122" s="485">
        <v>0</v>
      </c>
    </row>
    <row r="123" spans="1:7" x14ac:dyDescent="0.25">
      <c r="A123" s="485" t="s">
        <v>813</v>
      </c>
      <c r="B123" s="485">
        <v>0</v>
      </c>
      <c r="C123" s="486">
        <v>5492.4123639359104</v>
      </c>
      <c r="D123" s="487">
        <v>118.718614868372</v>
      </c>
      <c r="E123" s="485">
        <v>9</v>
      </c>
      <c r="F123" s="485">
        <v>3</v>
      </c>
      <c r="G123" s="485">
        <v>1</v>
      </c>
    </row>
    <row r="124" spans="1:7" x14ac:dyDescent="0.25">
      <c r="A124" s="485" t="s">
        <v>814</v>
      </c>
      <c r="B124" s="485">
        <v>0</v>
      </c>
      <c r="C124" s="486">
        <v>10198.118916973301</v>
      </c>
      <c r="D124" s="487">
        <v>103.94848123176899</v>
      </c>
      <c r="E124" s="485">
        <v>5</v>
      </c>
      <c r="F124" s="485">
        <v>4</v>
      </c>
      <c r="G124" s="485">
        <v>1</v>
      </c>
    </row>
    <row r="125" spans="1:7" x14ac:dyDescent="0.25">
      <c r="A125" s="485" t="s">
        <v>815</v>
      </c>
      <c r="B125" s="485">
        <v>0</v>
      </c>
      <c r="C125" s="486">
        <v>27794.697413225302</v>
      </c>
      <c r="D125" s="487">
        <v>21.763138865009498</v>
      </c>
      <c r="E125" s="485">
        <v>7</v>
      </c>
      <c r="F125" s="485">
        <v>6</v>
      </c>
      <c r="G125" s="485">
        <v>0</v>
      </c>
    </row>
    <row r="126" spans="1:7" x14ac:dyDescent="0.25">
      <c r="A126" s="485" t="s">
        <v>816</v>
      </c>
      <c r="B126" s="485">
        <v>0</v>
      </c>
      <c r="C126" s="486">
        <v>3478.7600166742</v>
      </c>
      <c r="D126" s="487">
        <v>95.467928081040895</v>
      </c>
      <c r="E126" s="485">
        <v>6</v>
      </c>
      <c r="F126" s="485">
        <v>3</v>
      </c>
      <c r="G126" s="485">
        <v>1</v>
      </c>
    </row>
    <row r="127" spans="1:7" x14ac:dyDescent="0.25">
      <c r="A127" s="485" t="s">
        <v>817</v>
      </c>
      <c r="B127" s="485">
        <v>0</v>
      </c>
      <c r="C127" s="486">
        <v>23509.6714690224</v>
      </c>
      <c r="D127" s="487">
        <v>93.009718865810797</v>
      </c>
      <c r="E127" s="485">
        <v>3</v>
      </c>
      <c r="F127" s="485">
        <v>4</v>
      </c>
      <c r="G127" s="485">
        <v>1</v>
      </c>
    </row>
    <row r="128" spans="1:7" x14ac:dyDescent="0.25">
      <c r="A128" s="485" t="s">
        <v>818</v>
      </c>
      <c r="B128" s="485">
        <v>0</v>
      </c>
      <c r="C128" s="486">
        <v>21055.982459368301</v>
      </c>
      <c r="D128" s="487">
        <v>92.326437741911803</v>
      </c>
      <c r="E128" s="485">
        <v>2</v>
      </c>
      <c r="F128" s="485">
        <v>4</v>
      </c>
      <c r="G128" s="485">
        <v>1</v>
      </c>
    </row>
    <row r="129" spans="1:7" x14ac:dyDescent="0.25">
      <c r="A129" s="485" t="s">
        <v>819</v>
      </c>
      <c r="B129" s="485">
        <v>0</v>
      </c>
      <c r="C129" s="486">
        <v>101310.653235822</v>
      </c>
      <c r="D129" s="487">
        <v>6.8591548130669704</v>
      </c>
      <c r="E129" s="485">
        <v>8</v>
      </c>
      <c r="F129" s="485">
        <v>8</v>
      </c>
      <c r="G129" s="485">
        <v>0</v>
      </c>
    </row>
    <row r="130" spans="1:7" x14ac:dyDescent="0.25">
      <c r="A130" s="485" t="s">
        <v>820</v>
      </c>
      <c r="B130" s="485">
        <v>0</v>
      </c>
      <c r="C130" s="486">
        <v>24727.3838624407</v>
      </c>
      <c r="D130" s="487">
        <v>10.9260298343663</v>
      </c>
      <c r="E130" s="485">
        <v>4</v>
      </c>
      <c r="F130" s="485">
        <v>7</v>
      </c>
      <c r="G130" s="485">
        <v>0</v>
      </c>
    </row>
    <row r="131" spans="1:7" x14ac:dyDescent="0.25">
      <c r="A131" s="485" t="s">
        <v>821</v>
      </c>
      <c r="B131" s="485">
        <v>0</v>
      </c>
      <c r="C131" s="486">
        <v>19664.561487891198</v>
      </c>
      <c r="D131" s="487">
        <v>50.771999701202198</v>
      </c>
      <c r="E131" s="485">
        <v>5</v>
      </c>
      <c r="F131" s="485">
        <v>5</v>
      </c>
      <c r="G131" s="485">
        <v>0</v>
      </c>
    </row>
    <row r="132" spans="1:7" x14ac:dyDescent="0.25">
      <c r="A132" s="485" t="s">
        <v>822</v>
      </c>
      <c r="B132" s="485">
        <v>0</v>
      </c>
      <c r="C132" s="486">
        <v>1933.46228086729</v>
      </c>
      <c r="D132" s="487">
        <v>0</v>
      </c>
      <c r="E132" s="485">
        <v>10</v>
      </c>
      <c r="F132" s="485">
        <v>8</v>
      </c>
      <c r="G132" s="485">
        <v>0</v>
      </c>
    </row>
    <row r="133" spans="1:7" x14ac:dyDescent="0.25">
      <c r="A133" s="485" t="s">
        <v>823</v>
      </c>
      <c r="B133" s="485">
        <v>0</v>
      </c>
      <c r="C133" s="486">
        <v>4424.2983973850396</v>
      </c>
      <c r="D133" s="487">
        <v>91.4781932908285</v>
      </c>
      <c r="E133" s="485">
        <v>8</v>
      </c>
      <c r="F133" s="485">
        <v>3</v>
      </c>
      <c r="G133" s="485">
        <v>1</v>
      </c>
    </row>
    <row r="134" spans="1:7" x14ac:dyDescent="0.25">
      <c r="A134" s="485" t="s">
        <v>824</v>
      </c>
      <c r="B134" s="485">
        <v>0</v>
      </c>
      <c r="C134" s="486">
        <v>46266.373580696898</v>
      </c>
      <c r="D134" s="487">
        <v>111.152918115096</v>
      </c>
      <c r="E134" s="485">
        <v>5</v>
      </c>
      <c r="F134" s="485">
        <v>4</v>
      </c>
      <c r="G134" s="485">
        <v>1</v>
      </c>
    </row>
    <row r="135" spans="1:7" x14ac:dyDescent="0.25">
      <c r="A135" s="485" t="s">
        <v>825</v>
      </c>
      <c r="B135" s="485">
        <v>1</v>
      </c>
      <c r="C135" s="486">
        <v>23363.5221386136</v>
      </c>
      <c r="D135" s="487">
        <v>19.518719608275781</v>
      </c>
      <c r="E135" s="485">
        <v>8</v>
      </c>
      <c r="F135" s="485">
        <v>6</v>
      </c>
      <c r="G135" s="485">
        <v>0</v>
      </c>
    </row>
    <row r="136" spans="1:7" x14ac:dyDescent="0.25">
      <c r="A136" s="485" t="s">
        <v>826</v>
      </c>
      <c r="B136" s="485">
        <v>0</v>
      </c>
      <c r="C136" s="486">
        <v>6975.6488267650302</v>
      </c>
      <c r="D136" s="487">
        <v>79.339235878664795</v>
      </c>
      <c r="E136" s="485">
        <v>9</v>
      </c>
      <c r="F136" s="485">
        <v>3</v>
      </c>
      <c r="G136" s="485">
        <v>1</v>
      </c>
    </row>
    <row r="137" spans="1:7" x14ac:dyDescent="0.25">
      <c r="A137" s="485" t="s">
        <v>827</v>
      </c>
      <c r="B137" s="485">
        <v>0</v>
      </c>
      <c r="C137" s="486">
        <v>82143.159694267597</v>
      </c>
      <c r="D137" s="487">
        <v>12.507920141508</v>
      </c>
      <c r="E137" s="485">
        <v>3</v>
      </c>
      <c r="F137" s="485">
        <v>8</v>
      </c>
      <c r="G137" s="485">
        <v>0</v>
      </c>
    </row>
    <row r="138" spans="1:7" x14ac:dyDescent="0.25">
      <c r="A138" s="485" t="s">
        <v>828</v>
      </c>
      <c r="B138" s="485">
        <v>1</v>
      </c>
      <c r="C138" s="486">
        <v>13776.272979687399</v>
      </c>
      <c r="D138" s="487">
        <v>56.613128982190403</v>
      </c>
      <c r="E138" s="485">
        <v>7</v>
      </c>
      <c r="F138" s="485">
        <v>4</v>
      </c>
      <c r="G138" s="485">
        <v>0</v>
      </c>
    </row>
    <row r="139" spans="1:7" x14ac:dyDescent="0.25">
      <c r="A139" s="485" t="s">
        <v>829</v>
      </c>
      <c r="B139" s="485">
        <v>0</v>
      </c>
      <c r="C139" s="486">
        <v>15273.575960816001</v>
      </c>
      <c r="D139" s="487">
        <v>87.549207618275503</v>
      </c>
      <c r="E139" s="485">
        <v>2</v>
      </c>
      <c r="F139" s="485">
        <v>3</v>
      </c>
      <c r="G139" s="485">
        <v>1</v>
      </c>
    </row>
    <row r="140" spans="1:7" x14ac:dyDescent="0.25">
      <c r="A140" s="485" t="s">
        <v>830</v>
      </c>
      <c r="B140" s="485">
        <v>1</v>
      </c>
      <c r="C140" s="486">
        <v>7564.0674079544897</v>
      </c>
      <c r="D140" s="487">
        <v>148.93857293820531</v>
      </c>
      <c r="E140" s="485">
        <v>7</v>
      </c>
      <c r="F140" s="485">
        <v>1</v>
      </c>
      <c r="G140" s="485">
        <v>1</v>
      </c>
    </row>
    <row r="141" spans="1:7" x14ac:dyDescent="0.25">
      <c r="A141" s="485" t="s">
        <v>831</v>
      </c>
      <c r="B141" s="485">
        <v>0</v>
      </c>
      <c r="C141" s="486">
        <v>24823.002413231399</v>
      </c>
      <c r="D141" s="487">
        <v>44.899986823759903</v>
      </c>
      <c r="E141" s="485">
        <v>8</v>
      </c>
      <c r="F141" s="485">
        <v>6</v>
      </c>
      <c r="G141" s="485">
        <v>0</v>
      </c>
    </row>
    <row r="142" spans="1:7" x14ac:dyDescent="0.25">
      <c r="A142" s="485" t="s">
        <v>832</v>
      </c>
      <c r="B142" s="485">
        <v>0</v>
      </c>
      <c r="C142" s="486">
        <v>15623.347895622701</v>
      </c>
      <c r="D142" s="487">
        <v>106.818509029362</v>
      </c>
      <c r="E142" s="485">
        <v>3</v>
      </c>
      <c r="F142" s="485">
        <v>4</v>
      </c>
      <c r="G142" s="485">
        <v>1</v>
      </c>
    </row>
    <row r="143" spans="1:7" x14ac:dyDescent="0.25">
      <c r="A143" s="485" t="s">
        <v>833</v>
      </c>
      <c r="B143" s="485">
        <v>0</v>
      </c>
      <c r="C143" s="486">
        <v>11401.591185293701</v>
      </c>
      <c r="D143" s="487">
        <v>184.99532775106701</v>
      </c>
      <c r="E143" s="485">
        <v>3</v>
      </c>
      <c r="F143" s="485">
        <v>1</v>
      </c>
      <c r="G143" s="485">
        <v>1</v>
      </c>
    </row>
    <row r="144" spans="1:7" x14ac:dyDescent="0.25">
      <c r="A144" s="485" t="s">
        <v>834</v>
      </c>
      <c r="B144" s="485">
        <v>0</v>
      </c>
      <c r="C144" s="486">
        <v>23614.511819723899</v>
      </c>
      <c r="D144" s="487">
        <v>115.41366092374901</v>
      </c>
      <c r="E144" s="485">
        <v>3</v>
      </c>
      <c r="F144" s="485">
        <v>3</v>
      </c>
      <c r="G144" s="485">
        <v>1</v>
      </c>
    </row>
    <row r="145" spans="1:7" x14ac:dyDescent="0.25">
      <c r="A145" s="485" t="s">
        <v>835</v>
      </c>
      <c r="B145" s="485">
        <v>0</v>
      </c>
      <c r="C145" s="486">
        <v>1878.4145409187099</v>
      </c>
      <c r="D145" s="487">
        <v>121.35454778889201</v>
      </c>
      <c r="E145" s="485">
        <v>5</v>
      </c>
      <c r="F145" s="485">
        <v>2</v>
      </c>
      <c r="G145" s="485">
        <v>1</v>
      </c>
    </row>
    <row r="146" spans="1:7" x14ac:dyDescent="0.25">
      <c r="A146" s="485" t="s">
        <v>836</v>
      </c>
      <c r="B146" s="485">
        <v>0</v>
      </c>
      <c r="C146" s="486">
        <v>25912.067905494099</v>
      </c>
      <c r="D146" s="487">
        <v>85.875669631892194</v>
      </c>
      <c r="E146" s="485">
        <v>4</v>
      </c>
      <c r="F146" s="485">
        <v>4</v>
      </c>
      <c r="G146" s="485">
        <v>1</v>
      </c>
    </row>
    <row r="147" spans="1:7" x14ac:dyDescent="0.25">
      <c r="A147" s="485" t="s">
        <v>837</v>
      </c>
      <c r="B147" s="485">
        <v>1</v>
      </c>
      <c r="C147" s="486">
        <v>12154.1204057742</v>
      </c>
      <c r="D147" s="487">
        <v>68.082295889883</v>
      </c>
      <c r="E147" s="485">
        <v>7</v>
      </c>
      <c r="F147" s="485">
        <v>4</v>
      </c>
      <c r="G147" s="485">
        <v>1</v>
      </c>
    </row>
    <row r="148" spans="1:7" x14ac:dyDescent="0.25">
      <c r="A148" s="485" t="s">
        <v>838</v>
      </c>
      <c r="B148" s="485">
        <v>1</v>
      </c>
      <c r="C148" s="486">
        <v>2030.8614433785101</v>
      </c>
      <c r="D148" s="487">
        <v>85.382323375875615</v>
      </c>
      <c r="E148" s="485">
        <v>7</v>
      </c>
      <c r="F148" s="485">
        <v>3</v>
      </c>
      <c r="G148" s="485">
        <v>1</v>
      </c>
    </row>
    <row r="149" spans="1:7" x14ac:dyDescent="0.25">
      <c r="A149" s="485" t="s">
        <v>839</v>
      </c>
      <c r="B149" s="485">
        <v>0</v>
      </c>
      <c r="C149" s="486">
        <v>97082.053694471295</v>
      </c>
      <c r="D149" s="487">
        <v>25.053588454095099</v>
      </c>
      <c r="E149" s="485">
        <v>8</v>
      </c>
      <c r="F149" s="485">
        <v>6</v>
      </c>
      <c r="G149" s="485">
        <v>0</v>
      </c>
    </row>
    <row r="150" spans="1:7" x14ac:dyDescent="0.25">
      <c r="A150" s="485" t="s">
        <v>840</v>
      </c>
      <c r="B150" s="485">
        <v>0</v>
      </c>
      <c r="C150" s="486">
        <v>80988.671305517099</v>
      </c>
      <c r="D150" s="487">
        <v>27.470660871263501</v>
      </c>
      <c r="E150" s="485">
        <v>1</v>
      </c>
      <c r="F150" s="485">
        <v>6</v>
      </c>
      <c r="G150" s="485">
        <v>0</v>
      </c>
    </row>
    <row r="151" spans="1:7" x14ac:dyDescent="0.25">
      <c r="A151" s="485" t="s">
        <v>841</v>
      </c>
      <c r="B151" s="485">
        <v>0</v>
      </c>
      <c r="C151" s="486">
        <v>15397.9678703347</v>
      </c>
      <c r="D151" s="487">
        <v>19.460335971352201</v>
      </c>
      <c r="E151" s="485">
        <v>8</v>
      </c>
      <c r="F151" s="485">
        <v>6</v>
      </c>
      <c r="G151" s="485">
        <v>0</v>
      </c>
    </row>
    <row r="152" spans="1:7" x14ac:dyDescent="0.25">
      <c r="A152" s="485" t="s">
        <v>842</v>
      </c>
      <c r="B152" s="485">
        <v>0</v>
      </c>
      <c r="C152" s="486">
        <v>4072.6276787463098</v>
      </c>
      <c r="D152" s="487">
        <v>103.07572734937</v>
      </c>
      <c r="E152" s="485">
        <v>4</v>
      </c>
      <c r="F152" s="485">
        <v>4</v>
      </c>
      <c r="G152" s="485">
        <v>1</v>
      </c>
    </row>
    <row r="153" spans="1:7" x14ac:dyDescent="0.25">
      <c r="A153" s="485" t="s">
        <v>843</v>
      </c>
      <c r="B153" s="485">
        <v>1</v>
      </c>
      <c r="C153" s="486">
        <v>30618.427055625099</v>
      </c>
      <c r="D153" s="487">
        <v>108.61157149332236</v>
      </c>
      <c r="E153" s="485">
        <v>7</v>
      </c>
      <c r="F153" s="485">
        <v>3</v>
      </c>
      <c r="G153" s="485">
        <v>1</v>
      </c>
    </row>
    <row r="154" spans="1:7" x14ac:dyDescent="0.25">
      <c r="A154" s="485" t="s">
        <v>844</v>
      </c>
      <c r="B154" s="485">
        <v>1</v>
      </c>
      <c r="C154" s="486">
        <v>73458.999435499805</v>
      </c>
      <c r="D154" s="487">
        <v>46.461300189193011</v>
      </c>
      <c r="E154" s="485">
        <v>5</v>
      </c>
      <c r="F154" s="485">
        <v>5</v>
      </c>
      <c r="G154" s="485">
        <v>1</v>
      </c>
    </row>
    <row r="155" spans="1:7" x14ac:dyDescent="0.25">
      <c r="A155" s="485" t="s">
        <v>845</v>
      </c>
      <c r="B155" s="485">
        <v>1</v>
      </c>
      <c r="C155" s="486">
        <v>61800.367143765397</v>
      </c>
      <c r="D155" s="487">
        <v>44.316569510626643</v>
      </c>
      <c r="E155" s="485">
        <v>7</v>
      </c>
      <c r="F155" s="485">
        <v>6</v>
      </c>
      <c r="G155" s="485">
        <v>0</v>
      </c>
    </row>
    <row r="156" spans="1:7" x14ac:dyDescent="0.25">
      <c r="A156" s="485" t="s">
        <v>846</v>
      </c>
      <c r="B156" s="485">
        <v>0</v>
      </c>
      <c r="C156" s="486">
        <v>1692.5010990466601</v>
      </c>
      <c r="D156" s="487">
        <v>171.83611646803899</v>
      </c>
      <c r="E156" s="485">
        <v>7</v>
      </c>
      <c r="F156" s="485">
        <v>1</v>
      </c>
      <c r="G156" s="485">
        <v>1</v>
      </c>
    </row>
    <row r="157" spans="1:7" x14ac:dyDescent="0.25">
      <c r="A157" s="485" t="s">
        <v>847</v>
      </c>
      <c r="B157" s="485">
        <v>0</v>
      </c>
      <c r="C157" s="486">
        <v>10565.2807812356</v>
      </c>
      <c r="D157" s="487">
        <v>92.9828183573823</v>
      </c>
      <c r="E157" s="485">
        <v>9</v>
      </c>
      <c r="F157" s="485">
        <v>3</v>
      </c>
      <c r="G157" s="485">
        <v>1</v>
      </c>
    </row>
    <row r="158" spans="1:7" x14ac:dyDescent="0.25">
      <c r="A158" s="485" t="s">
        <v>848</v>
      </c>
      <c r="B158" s="485">
        <v>1</v>
      </c>
      <c r="C158" s="486">
        <v>21198.073207250301</v>
      </c>
      <c r="D158" s="487">
        <v>46.038910222097172</v>
      </c>
      <c r="E158" s="485">
        <v>7</v>
      </c>
      <c r="F158" s="485">
        <v>5</v>
      </c>
      <c r="G158" s="485">
        <v>0</v>
      </c>
    </row>
    <row r="159" spans="1:7" x14ac:dyDescent="0.25">
      <c r="A159" s="485" t="s">
        <v>849</v>
      </c>
      <c r="B159" s="485">
        <v>0</v>
      </c>
      <c r="C159" s="486">
        <v>3810.5482151874699</v>
      </c>
      <c r="D159" s="487">
        <v>181.211246889687</v>
      </c>
      <c r="E159" s="485">
        <v>3</v>
      </c>
      <c r="F159" s="485">
        <v>1</v>
      </c>
      <c r="G159" s="485">
        <v>1</v>
      </c>
    </row>
    <row r="160" spans="1:7" x14ac:dyDescent="0.25">
      <c r="A160" s="485" t="s">
        <v>850</v>
      </c>
      <c r="B160" s="485">
        <v>0</v>
      </c>
      <c r="C160" s="486">
        <v>3156.1045500703599</v>
      </c>
      <c r="D160" s="487">
        <v>120.97458232496599</v>
      </c>
      <c r="E160" s="485">
        <v>7</v>
      </c>
      <c r="F160" s="485">
        <v>3</v>
      </c>
      <c r="G160" s="485">
        <v>1</v>
      </c>
    </row>
    <row r="161" spans="1:7" x14ac:dyDescent="0.25">
      <c r="A161" s="485" t="s">
        <v>851</v>
      </c>
      <c r="B161" s="485">
        <v>0</v>
      </c>
      <c r="C161" s="486">
        <v>37419.776049560998</v>
      </c>
      <c r="D161" s="487">
        <v>62.733960297794802</v>
      </c>
      <c r="E161" s="485">
        <v>6</v>
      </c>
      <c r="F161" s="485">
        <v>5</v>
      </c>
      <c r="G161" s="485">
        <v>0</v>
      </c>
    </row>
    <row r="162" spans="1:7" x14ac:dyDescent="0.25">
      <c r="A162" s="485" t="s">
        <v>852</v>
      </c>
      <c r="B162" s="485">
        <v>0</v>
      </c>
      <c r="C162" s="486">
        <v>1316.84629413279</v>
      </c>
      <c r="D162" s="487">
        <v>61.789245043593603</v>
      </c>
      <c r="E162" s="485">
        <v>3</v>
      </c>
      <c r="F162" s="485">
        <v>3</v>
      </c>
      <c r="G162" s="485">
        <v>1</v>
      </c>
    </row>
    <row r="163" spans="1:7" x14ac:dyDescent="0.25">
      <c r="A163" s="485" t="s">
        <v>853</v>
      </c>
      <c r="B163" s="485">
        <v>1</v>
      </c>
      <c r="C163" s="486">
        <v>11540.3118160248</v>
      </c>
      <c r="D163" s="487">
        <v>125.04098107709747</v>
      </c>
      <c r="E163" s="485">
        <v>7</v>
      </c>
      <c r="F163" s="485">
        <v>2</v>
      </c>
      <c r="G163" s="485">
        <v>1</v>
      </c>
    </row>
    <row r="164" spans="1:7" x14ac:dyDescent="0.25">
      <c r="A164" s="485" t="s">
        <v>854</v>
      </c>
      <c r="B164" s="485">
        <v>0</v>
      </c>
      <c r="C164" s="486">
        <v>15627.267055545801</v>
      </c>
      <c r="D164" s="487">
        <v>60.870553980148202</v>
      </c>
      <c r="E164" s="485">
        <v>3</v>
      </c>
      <c r="F164" s="485">
        <v>5</v>
      </c>
      <c r="G164" s="485">
        <v>0</v>
      </c>
    </row>
    <row r="165" spans="1:7" x14ac:dyDescent="0.25">
      <c r="A165" s="485" t="s">
        <v>855</v>
      </c>
      <c r="B165" s="485">
        <v>0</v>
      </c>
      <c r="C165" s="486">
        <v>22237.3110167921</v>
      </c>
      <c r="D165" s="487">
        <v>121.379957244869</v>
      </c>
      <c r="E165" s="485">
        <v>5</v>
      </c>
      <c r="F165" s="485">
        <v>3</v>
      </c>
      <c r="G165" s="485">
        <v>1</v>
      </c>
    </row>
    <row r="166" spans="1:7" x14ac:dyDescent="0.25">
      <c r="A166" s="485" t="s">
        <v>856</v>
      </c>
      <c r="B166" s="485">
        <v>0</v>
      </c>
      <c r="C166" s="486">
        <v>5174.8533792096296</v>
      </c>
      <c r="D166" s="487">
        <v>171.98941781185999</v>
      </c>
      <c r="E166" s="485">
        <v>3</v>
      </c>
      <c r="F166" s="485">
        <v>1</v>
      </c>
      <c r="G166" s="485">
        <v>1</v>
      </c>
    </row>
    <row r="167" spans="1:7" x14ac:dyDescent="0.25">
      <c r="A167" s="485" t="s">
        <v>857</v>
      </c>
      <c r="B167" s="485">
        <v>1</v>
      </c>
      <c r="C167" s="486">
        <v>15052.8030365583</v>
      </c>
      <c r="D167" s="487">
        <v>132.46146452014395</v>
      </c>
      <c r="E167" s="485">
        <v>5</v>
      </c>
      <c r="F167" s="485">
        <v>2</v>
      </c>
      <c r="G167" s="485">
        <v>1</v>
      </c>
    </row>
    <row r="168" spans="1:7" x14ac:dyDescent="0.25">
      <c r="A168" s="485" t="s">
        <v>858</v>
      </c>
      <c r="B168" s="485">
        <v>1</v>
      </c>
      <c r="C168" s="486">
        <v>14458.7404225808</v>
      </c>
      <c r="D168" s="487">
        <v>82.38816682001459</v>
      </c>
      <c r="E168" s="485">
        <v>6</v>
      </c>
      <c r="F168" s="485">
        <v>3</v>
      </c>
      <c r="G168" s="485">
        <v>1</v>
      </c>
    </row>
    <row r="169" spans="1:7" x14ac:dyDescent="0.25">
      <c r="A169" s="485" t="s">
        <v>859</v>
      </c>
      <c r="B169" s="485">
        <v>1</v>
      </c>
      <c r="C169" s="486">
        <v>30016.742119987699</v>
      </c>
      <c r="D169" s="487">
        <v>109.41125712037126</v>
      </c>
      <c r="E169" s="485">
        <v>7</v>
      </c>
      <c r="F169" s="485">
        <v>3</v>
      </c>
      <c r="G169" s="485">
        <v>1</v>
      </c>
    </row>
    <row r="170" spans="1:7" x14ac:dyDescent="0.25">
      <c r="A170" s="485" t="s">
        <v>860</v>
      </c>
      <c r="B170" s="485">
        <v>0</v>
      </c>
      <c r="C170" s="486">
        <v>8648.7347607295505</v>
      </c>
      <c r="D170" s="487">
        <v>91.467023190541497</v>
      </c>
      <c r="E170" s="485">
        <v>3</v>
      </c>
      <c r="F170" s="485">
        <v>5</v>
      </c>
      <c r="G170" s="485">
        <v>1</v>
      </c>
    </row>
    <row r="171" spans="1:7" x14ac:dyDescent="0.25">
      <c r="A171" s="485" t="s">
        <v>861</v>
      </c>
      <c r="B171" s="485">
        <v>0</v>
      </c>
      <c r="C171" s="486">
        <v>60656.338968309101</v>
      </c>
      <c r="D171" s="487">
        <v>105.95180954412</v>
      </c>
      <c r="E171" s="485">
        <v>6</v>
      </c>
      <c r="F171" s="485">
        <v>4</v>
      </c>
      <c r="G171" s="485">
        <v>1</v>
      </c>
    </row>
    <row r="172" spans="1:7" x14ac:dyDescent="0.25">
      <c r="A172" s="485" t="s">
        <v>862</v>
      </c>
      <c r="B172" s="485">
        <v>1</v>
      </c>
      <c r="C172" s="486">
        <v>13289.516513955199</v>
      </c>
      <c r="D172" s="487">
        <v>120.06870099804701</v>
      </c>
      <c r="E172" s="485">
        <v>1</v>
      </c>
      <c r="F172" s="485">
        <v>2</v>
      </c>
      <c r="G172" s="485">
        <v>1</v>
      </c>
    </row>
    <row r="173" spans="1:7" x14ac:dyDescent="0.25">
      <c r="A173" s="485" t="s">
        <v>863</v>
      </c>
      <c r="B173" s="485">
        <v>0</v>
      </c>
      <c r="C173" s="486">
        <v>42510.2317362881</v>
      </c>
      <c r="D173" s="487">
        <v>87.868297851580394</v>
      </c>
      <c r="E173" s="485">
        <v>5</v>
      </c>
      <c r="F173" s="485">
        <v>5</v>
      </c>
      <c r="G173" s="485">
        <v>1</v>
      </c>
    </row>
    <row r="174" spans="1:7" x14ac:dyDescent="0.25">
      <c r="A174" s="485" t="s">
        <v>864</v>
      </c>
      <c r="B174" s="485">
        <v>1</v>
      </c>
      <c r="C174" s="486">
        <v>10169.286139822199</v>
      </c>
      <c r="D174" s="487">
        <v>29.959328596528469</v>
      </c>
      <c r="E174" s="485">
        <v>5</v>
      </c>
      <c r="F174" s="485">
        <v>6</v>
      </c>
      <c r="G174" s="485">
        <v>0</v>
      </c>
    </row>
    <row r="175" spans="1:7" x14ac:dyDescent="0.25">
      <c r="A175" s="485" t="s">
        <v>865</v>
      </c>
      <c r="B175" s="485">
        <v>0</v>
      </c>
      <c r="C175" s="486">
        <v>13538.4101162759</v>
      </c>
      <c r="D175" s="487">
        <v>113.852691345162</v>
      </c>
      <c r="E175" s="485">
        <v>3</v>
      </c>
      <c r="F175" s="485">
        <v>3</v>
      </c>
      <c r="G175" s="485">
        <v>1</v>
      </c>
    </row>
    <row r="176" spans="1:7" x14ac:dyDescent="0.25">
      <c r="A176" s="485" t="s">
        <v>866</v>
      </c>
      <c r="B176" s="485">
        <v>0</v>
      </c>
      <c r="C176" s="486">
        <v>49928.912294627698</v>
      </c>
      <c r="D176" s="487">
        <v>8.8594822813368701</v>
      </c>
      <c r="E176" s="485">
        <v>8</v>
      </c>
      <c r="F176" s="485">
        <v>8</v>
      </c>
      <c r="G176" s="485">
        <v>0</v>
      </c>
    </row>
    <row r="177" spans="1:7" x14ac:dyDescent="0.25">
      <c r="A177" s="485" t="s">
        <v>867</v>
      </c>
      <c r="B177" s="485">
        <v>0</v>
      </c>
      <c r="C177" s="486">
        <v>77790.040814141204</v>
      </c>
      <c r="D177" s="487">
        <v>85.826737206613203</v>
      </c>
      <c r="E177" s="485">
        <v>3</v>
      </c>
      <c r="F177" s="485">
        <v>5</v>
      </c>
      <c r="G177" s="485">
        <v>1</v>
      </c>
    </row>
    <row r="178" spans="1:7" x14ac:dyDescent="0.25">
      <c r="A178" s="485" t="s">
        <v>868</v>
      </c>
      <c r="B178" s="485">
        <v>0</v>
      </c>
      <c r="C178" s="486">
        <v>23751.3807811027</v>
      </c>
      <c r="D178" s="487">
        <v>81.197565264819104</v>
      </c>
      <c r="E178" s="485">
        <v>7</v>
      </c>
      <c r="F178" s="485">
        <v>5</v>
      </c>
      <c r="G178" s="485">
        <v>0</v>
      </c>
    </row>
    <row r="179" spans="1:7" x14ac:dyDescent="0.25">
      <c r="A179" s="485" t="s">
        <v>869</v>
      </c>
      <c r="B179" s="485">
        <v>0</v>
      </c>
      <c r="C179" s="486">
        <v>42019.251723170601</v>
      </c>
      <c r="D179" s="487">
        <v>72.683338938096</v>
      </c>
      <c r="E179" s="485">
        <v>3</v>
      </c>
      <c r="F179" s="485">
        <v>4</v>
      </c>
      <c r="G179" s="485">
        <v>1</v>
      </c>
    </row>
    <row r="180" spans="1:7" x14ac:dyDescent="0.25">
      <c r="A180" s="485" t="s">
        <v>870</v>
      </c>
      <c r="B180" s="485">
        <v>0</v>
      </c>
      <c r="C180" s="486">
        <v>223234.488149599</v>
      </c>
      <c r="D180" s="487">
        <v>15.610240355553801</v>
      </c>
      <c r="E180" s="485">
        <v>6</v>
      </c>
      <c r="F180" s="485">
        <v>7</v>
      </c>
      <c r="G180" s="485">
        <v>0</v>
      </c>
    </row>
    <row r="181" spans="1:7" x14ac:dyDescent="0.25">
      <c r="A181" s="485" t="s">
        <v>871</v>
      </c>
      <c r="B181" s="485">
        <v>0</v>
      </c>
      <c r="C181" s="486">
        <v>4422.2493265746798</v>
      </c>
      <c r="D181" s="487">
        <v>118.323251299131</v>
      </c>
      <c r="E181" s="485">
        <v>4</v>
      </c>
      <c r="F181" s="485">
        <v>3</v>
      </c>
      <c r="G181" s="485">
        <v>1</v>
      </c>
    </row>
    <row r="182" spans="1:7" x14ac:dyDescent="0.25">
      <c r="A182" s="485" t="s">
        <v>872</v>
      </c>
      <c r="B182" s="485">
        <v>0</v>
      </c>
      <c r="C182" s="486">
        <v>4050.5123646408401</v>
      </c>
      <c r="D182" s="487">
        <v>1.7015798573213701</v>
      </c>
      <c r="E182" s="485">
        <v>10</v>
      </c>
      <c r="F182" s="485">
        <v>9</v>
      </c>
      <c r="G182" s="485">
        <v>0</v>
      </c>
    </row>
    <row r="183" spans="1:7" x14ac:dyDescent="0.25">
      <c r="A183" s="485" t="s">
        <v>873</v>
      </c>
      <c r="B183" s="485">
        <v>0</v>
      </c>
      <c r="C183" s="486">
        <v>32715.2927315542</v>
      </c>
      <c r="D183" s="487">
        <v>105.837195032552</v>
      </c>
      <c r="E183" s="485">
        <v>4</v>
      </c>
      <c r="F183" s="485">
        <v>4</v>
      </c>
      <c r="G183" s="485">
        <v>1</v>
      </c>
    </row>
    <row r="184" spans="1:7" x14ac:dyDescent="0.25">
      <c r="A184" s="485" t="s">
        <v>874</v>
      </c>
      <c r="B184" s="485">
        <v>0</v>
      </c>
      <c r="C184" s="486">
        <v>2742.22796491483</v>
      </c>
      <c r="D184" s="487">
        <v>178.74418176139201</v>
      </c>
      <c r="E184" s="485">
        <v>3</v>
      </c>
      <c r="F184" s="485">
        <v>1</v>
      </c>
      <c r="G184" s="485">
        <v>1</v>
      </c>
    </row>
    <row r="185" spans="1:7" x14ac:dyDescent="0.25">
      <c r="A185" s="485" t="s">
        <v>875</v>
      </c>
      <c r="B185" s="485">
        <v>0</v>
      </c>
      <c r="C185" s="486">
        <v>7653.6739657711296</v>
      </c>
      <c r="D185" s="487">
        <v>93.897777928717701</v>
      </c>
      <c r="E185" s="485">
        <v>9</v>
      </c>
      <c r="F185" s="485">
        <v>3</v>
      </c>
      <c r="G185" s="485">
        <v>1</v>
      </c>
    </row>
    <row r="186" spans="1:7" x14ac:dyDescent="0.25">
      <c r="A186" s="485" t="s">
        <v>876</v>
      </c>
      <c r="B186" s="485">
        <v>0</v>
      </c>
      <c r="C186" s="486">
        <v>5763.0019234261199</v>
      </c>
      <c r="D186" s="487">
        <v>108.863629135403</v>
      </c>
      <c r="E186" s="485">
        <v>5</v>
      </c>
      <c r="F186" s="485">
        <v>3</v>
      </c>
      <c r="G186" s="485">
        <v>1</v>
      </c>
    </row>
    <row r="187" spans="1:7" x14ac:dyDescent="0.25">
      <c r="A187" s="485" t="s">
        <v>877</v>
      </c>
      <c r="B187" s="485">
        <v>0</v>
      </c>
      <c r="C187" s="486">
        <v>8647.6768126605693</v>
      </c>
      <c r="D187" s="487">
        <v>89.621371953876107</v>
      </c>
      <c r="E187" s="485">
        <v>2</v>
      </c>
      <c r="F187" s="485">
        <v>4</v>
      </c>
      <c r="G187" s="485">
        <v>1</v>
      </c>
    </row>
    <row r="188" spans="1:7" x14ac:dyDescent="0.25">
      <c r="A188" s="485" t="s">
        <v>878</v>
      </c>
      <c r="B188" s="485">
        <v>0</v>
      </c>
      <c r="C188" s="486">
        <v>13744.066214742899</v>
      </c>
      <c r="D188" s="487">
        <v>91.851044217313103</v>
      </c>
      <c r="E188" s="485">
        <v>3</v>
      </c>
      <c r="F188" s="485">
        <v>4</v>
      </c>
      <c r="G188" s="485">
        <v>1</v>
      </c>
    </row>
    <row r="189" spans="1:7" x14ac:dyDescent="0.25">
      <c r="A189" s="485" t="s">
        <v>879</v>
      </c>
      <c r="B189" s="485">
        <v>0</v>
      </c>
      <c r="C189" s="486">
        <v>2171.95485875961</v>
      </c>
      <c r="D189" s="487">
        <v>183.570736362086</v>
      </c>
      <c r="E189" s="485">
        <v>3</v>
      </c>
      <c r="F189" s="485">
        <v>1</v>
      </c>
      <c r="G189" s="485">
        <v>1</v>
      </c>
    </row>
    <row r="190" spans="1:7" x14ac:dyDescent="0.25">
      <c r="A190" s="485" t="s">
        <v>880</v>
      </c>
      <c r="B190" s="485">
        <v>0</v>
      </c>
      <c r="C190" s="486">
        <v>49236.856898250699</v>
      </c>
      <c r="D190" s="487">
        <v>97.064840812384404</v>
      </c>
      <c r="E190" s="485">
        <v>4</v>
      </c>
      <c r="F190" s="485">
        <v>4</v>
      </c>
      <c r="G190" s="485">
        <v>1</v>
      </c>
    </row>
    <row r="191" spans="1:7" x14ac:dyDescent="0.25">
      <c r="A191" s="485" t="s">
        <v>881</v>
      </c>
      <c r="B191" s="485">
        <v>0</v>
      </c>
      <c r="C191" s="486">
        <v>4361.6810503308998</v>
      </c>
      <c r="D191" s="487">
        <v>35.082239348585802</v>
      </c>
      <c r="E191" s="485">
        <v>2</v>
      </c>
      <c r="F191" s="485">
        <v>5</v>
      </c>
      <c r="G191" s="485">
        <v>1</v>
      </c>
    </row>
    <row r="192" spans="1:7" x14ac:dyDescent="0.25">
      <c r="A192" s="485" t="s">
        <v>882</v>
      </c>
      <c r="B192" s="485">
        <v>1</v>
      </c>
      <c r="C192" s="486">
        <v>14340.6192663165</v>
      </c>
      <c r="D192" s="487">
        <v>116.89753647569158</v>
      </c>
      <c r="E192" s="485">
        <v>7</v>
      </c>
      <c r="F192" s="485">
        <v>2</v>
      </c>
      <c r="G192" s="485">
        <v>1</v>
      </c>
    </row>
    <row r="193" spans="1:7" x14ac:dyDescent="0.25">
      <c r="A193" s="485" t="s">
        <v>883</v>
      </c>
      <c r="B193" s="485">
        <v>1</v>
      </c>
      <c r="C193" s="486">
        <v>14082.7584002685</v>
      </c>
      <c r="D193" s="487">
        <v>104.89117389522499</v>
      </c>
      <c r="E193" s="485">
        <v>6</v>
      </c>
      <c r="F193" s="485">
        <v>2</v>
      </c>
      <c r="G193" s="485">
        <v>1</v>
      </c>
    </row>
    <row r="194" spans="1:7" x14ac:dyDescent="0.25">
      <c r="A194" s="485" t="s">
        <v>884</v>
      </c>
      <c r="B194" s="485">
        <v>1</v>
      </c>
      <c r="C194" s="486">
        <v>42728.561166083302</v>
      </c>
      <c r="D194" s="487">
        <v>26.035512397577165</v>
      </c>
      <c r="E194" s="485">
        <v>8</v>
      </c>
      <c r="F194" s="485">
        <v>6</v>
      </c>
      <c r="G194" s="485">
        <v>0</v>
      </c>
    </row>
    <row r="195" spans="1:7" x14ac:dyDescent="0.25">
      <c r="A195" s="485" t="s">
        <v>885</v>
      </c>
      <c r="B195" s="485">
        <v>1</v>
      </c>
      <c r="C195" s="486">
        <v>39691.681335124398</v>
      </c>
      <c r="D195" s="487">
        <v>83.861127385618843</v>
      </c>
      <c r="E195" s="485">
        <v>8</v>
      </c>
      <c r="F195" s="485">
        <v>4</v>
      </c>
      <c r="G195" s="485">
        <v>1</v>
      </c>
    </row>
    <row r="196" spans="1:7" x14ac:dyDescent="0.25">
      <c r="A196" s="485" t="s">
        <v>886</v>
      </c>
      <c r="B196" s="485">
        <v>1</v>
      </c>
      <c r="C196" s="486">
        <v>15808.8062407659</v>
      </c>
      <c r="D196" s="487">
        <v>4.9126354702855943</v>
      </c>
      <c r="E196" s="485">
        <v>6</v>
      </c>
      <c r="F196" s="485">
        <v>8</v>
      </c>
      <c r="G196" s="485">
        <v>0</v>
      </c>
    </row>
    <row r="197" spans="1:7" x14ac:dyDescent="0.25">
      <c r="A197" s="485" t="s">
        <v>887</v>
      </c>
      <c r="B197" s="485">
        <v>0</v>
      </c>
      <c r="C197" s="486">
        <v>12741.2453299929</v>
      </c>
      <c r="D197" s="487">
        <v>75.283245970487002</v>
      </c>
      <c r="E197" s="485">
        <v>5</v>
      </c>
      <c r="F197" s="485">
        <v>4</v>
      </c>
      <c r="G197" s="485">
        <v>0</v>
      </c>
    </row>
    <row r="198" spans="1:7" x14ac:dyDescent="0.25">
      <c r="A198" s="485" t="s">
        <v>888</v>
      </c>
      <c r="B198" s="485">
        <v>0</v>
      </c>
      <c r="C198" s="486">
        <v>58821.601671977201</v>
      </c>
      <c r="D198" s="487">
        <v>76.541580923111596</v>
      </c>
      <c r="E198" s="485">
        <v>5</v>
      </c>
      <c r="F198" s="485">
        <v>5</v>
      </c>
      <c r="G198" s="485">
        <v>1</v>
      </c>
    </row>
    <row r="199" spans="1:7" x14ac:dyDescent="0.25">
      <c r="A199" s="485" t="s">
        <v>889</v>
      </c>
      <c r="B199" s="485">
        <v>0</v>
      </c>
      <c r="C199" s="486">
        <v>26623.851910858699</v>
      </c>
      <c r="D199" s="487">
        <v>109.25414465773</v>
      </c>
      <c r="E199" s="485">
        <v>3</v>
      </c>
      <c r="F199" s="485">
        <v>3</v>
      </c>
      <c r="G199" s="485">
        <v>1</v>
      </c>
    </row>
    <row r="200" spans="1:7" x14ac:dyDescent="0.25">
      <c r="A200" s="485" t="s">
        <v>890</v>
      </c>
      <c r="B200" s="485">
        <v>1</v>
      </c>
      <c r="C200" s="486">
        <v>6102.5400127866696</v>
      </c>
      <c r="D200" s="487">
        <v>82.873084608857795</v>
      </c>
      <c r="E200" s="485">
        <v>6</v>
      </c>
      <c r="F200" s="485">
        <v>3</v>
      </c>
      <c r="G200" s="485">
        <v>1</v>
      </c>
    </row>
    <row r="201" spans="1:7" x14ac:dyDescent="0.25">
      <c r="A201" s="485" t="s">
        <v>891</v>
      </c>
      <c r="B201" s="485">
        <v>0</v>
      </c>
      <c r="C201" s="486">
        <v>27484.324681259299</v>
      </c>
      <c r="D201" s="487">
        <v>122.078469319544</v>
      </c>
      <c r="E201" s="485">
        <v>3</v>
      </c>
      <c r="F201" s="485">
        <v>2</v>
      </c>
      <c r="G201" s="485">
        <v>1</v>
      </c>
    </row>
    <row r="202" spans="1:7" x14ac:dyDescent="0.25">
      <c r="A202" s="485" t="s">
        <v>892</v>
      </c>
      <c r="B202" s="485">
        <v>0</v>
      </c>
      <c r="C202" s="486">
        <v>25805.248040647599</v>
      </c>
      <c r="D202" s="487">
        <v>52.085747384676402</v>
      </c>
      <c r="E202" s="485">
        <v>4</v>
      </c>
      <c r="F202" s="485">
        <v>5</v>
      </c>
      <c r="G202" s="485">
        <v>0</v>
      </c>
    </row>
    <row r="203" spans="1:7" x14ac:dyDescent="0.25">
      <c r="A203" s="485" t="s">
        <v>893</v>
      </c>
      <c r="B203" s="485">
        <v>0</v>
      </c>
      <c r="C203" s="486">
        <v>19664.681533441399</v>
      </c>
      <c r="D203" s="487">
        <v>118.822320473047</v>
      </c>
      <c r="E203" s="485">
        <v>1</v>
      </c>
      <c r="F203" s="485">
        <v>2</v>
      </c>
      <c r="G203" s="485">
        <v>1</v>
      </c>
    </row>
    <row r="204" spans="1:7" x14ac:dyDescent="0.25">
      <c r="A204" s="485" t="s">
        <v>894</v>
      </c>
      <c r="B204" s="485">
        <v>0</v>
      </c>
      <c r="C204" s="486">
        <v>13558.162007983099</v>
      </c>
      <c r="D204" s="487">
        <v>50.832231658518502</v>
      </c>
      <c r="E204" s="485">
        <v>3</v>
      </c>
      <c r="F204" s="485">
        <v>5</v>
      </c>
      <c r="G204" s="485">
        <v>0</v>
      </c>
    </row>
    <row r="205" spans="1:7" x14ac:dyDescent="0.25">
      <c r="A205" s="485" t="s">
        <v>895</v>
      </c>
      <c r="B205" s="485">
        <v>0</v>
      </c>
      <c r="C205" s="486">
        <v>3236.2965782633</v>
      </c>
      <c r="D205" s="487">
        <v>131.831567803713</v>
      </c>
      <c r="E205" s="485">
        <v>7</v>
      </c>
      <c r="F205" s="485">
        <v>2</v>
      </c>
      <c r="G205" s="485">
        <v>1</v>
      </c>
    </row>
    <row r="206" spans="1:7" x14ac:dyDescent="0.25">
      <c r="A206" s="485" t="s">
        <v>896</v>
      </c>
      <c r="B206" s="485">
        <v>0</v>
      </c>
      <c r="C206" s="486">
        <v>6022.5828848833698</v>
      </c>
      <c r="D206" s="487">
        <v>124.332739877371</v>
      </c>
      <c r="E206" s="485">
        <v>5</v>
      </c>
      <c r="F206" s="485">
        <v>3</v>
      </c>
      <c r="G206" s="485">
        <v>1</v>
      </c>
    </row>
    <row r="207" spans="1:7" x14ac:dyDescent="0.25">
      <c r="A207" s="485" t="s">
        <v>897</v>
      </c>
      <c r="B207" s="485">
        <v>0</v>
      </c>
      <c r="C207" s="486">
        <v>43884.579654113397</v>
      </c>
      <c r="D207" s="487">
        <v>41.179164766606903</v>
      </c>
      <c r="E207" s="485">
        <v>7</v>
      </c>
      <c r="F207" s="485">
        <v>6</v>
      </c>
      <c r="G207" s="485">
        <v>0</v>
      </c>
    </row>
    <row r="208" spans="1:7" x14ac:dyDescent="0.25">
      <c r="A208" s="485" t="s">
        <v>898</v>
      </c>
      <c r="B208" s="485">
        <v>0</v>
      </c>
      <c r="C208" s="486">
        <v>7249.85786333333</v>
      </c>
      <c r="D208" s="487">
        <v>18.624941328756599</v>
      </c>
      <c r="E208" s="485">
        <v>9</v>
      </c>
      <c r="F208" s="485">
        <v>6</v>
      </c>
      <c r="G208" s="485">
        <v>0</v>
      </c>
    </row>
    <row r="209" spans="1:7" x14ac:dyDescent="0.25">
      <c r="A209" s="485" t="s">
        <v>899</v>
      </c>
      <c r="B209" s="485">
        <v>0</v>
      </c>
      <c r="C209" s="486">
        <v>250959.55372450899</v>
      </c>
      <c r="D209" s="487">
        <v>4.2329036440192498</v>
      </c>
      <c r="E209" s="485">
        <v>7</v>
      </c>
      <c r="F209" s="485">
        <v>9</v>
      </c>
      <c r="G209" s="485">
        <v>0</v>
      </c>
    </row>
    <row r="210" spans="1:7" x14ac:dyDescent="0.25">
      <c r="A210" s="489" t="s">
        <v>900</v>
      </c>
      <c r="B210" s="485">
        <v>0</v>
      </c>
      <c r="C210" s="490">
        <v>12142</v>
      </c>
      <c r="D210" s="489"/>
      <c r="E210" s="489">
        <v>8</v>
      </c>
      <c r="F210" s="489">
        <v>5</v>
      </c>
      <c r="G210" s="489">
        <v>0</v>
      </c>
    </row>
    <row r="211" spans="1:7" x14ac:dyDescent="0.25">
      <c r="A211" s="485" t="s">
        <v>901</v>
      </c>
      <c r="B211" s="485">
        <v>0</v>
      </c>
      <c r="C211" s="486">
        <v>37448.694348302699</v>
      </c>
      <c r="D211" s="487">
        <v>142.696019474091</v>
      </c>
      <c r="E211" s="485">
        <v>2</v>
      </c>
      <c r="F211" s="485">
        <v>2</v>
      </c>
      <c r="G211" s="485">
        <v>1</v>
      </c>
    </row>
    <row r="212" spans="1:7" x14ac:dyDescent="0.25">
      <c r="A212" s="485" t="s">
        <v>902</v>
      </c>
      <c r="B212" s="485">
        <v>0</v>
      </c>
      <c r="C212" s="486">
        <v>4590.0431942444302</v>
      </c>
      <c r="D212" s="487">
        <v>34.590299541095099</v>
      </c>
      <c r="E212" s="485">
        <v>5</v>
      </c>
      <c r="F212" s="485">
        <v>5</v>
      </c>
      <c r="G212" s="485">
        <v>1</v>
      </c>
    </row>
    <row r="213" spans="1:7" x14ac:dyDescent="0.25">
      <c r="A213" s="485" t="s">
        <v>903</v>
      </c>
      <c r="B213" s="485">
        <v>0</v>
      </c>
      <c r="C213" s="486">
        <v>22666.295112130501</v>
      </c>
      <c r="D213" s="487">
        <v>17.1869460282104</v>
      </c>
      <c r="E213" s="485">
        <v>8</v>
      </c>
      <c r="F213" s="485">
        <v>6</v>
      </c>
      <c r="G213" s="485">
        <v>0</v>
      </c>
    </row>
    <row r="214" spans="1:7" x14ac:dyDescent="0.25">
      <c r="A214" s="485" t="s">
        <v>904</v>
      </c>
      <c r="B214" s="485">
        <v>0</v>
      </c>
      <c r="C214" s="486">
        <v>23855.359100031401</v>
      </c>
      <c r="D214" s="487">
        <v>24.229198984475602</v>
      </c>
      <c r="E214" s="485">
        <v>3</v>
      </c>
      <c r="F214" s="485">
        <v>6</v>
      </c>
      <c r="G214" s="485">
        <v>0</v>
      </c>
    </row>
    <row r="215" spans="1:7" x14ac:dyDescent="0.25">
      <c r="A215" s="485" t="s">
        <v>905</v>
      </c>
      <c r="B215" s="485">
        <v>0</v>
      </c>
      <c r="C215" s="486">
        <v>7600.0172414553899</v>
      </c>
      <c r="D215" s="487">
        <v>156.06430378943901</v>
      </c>
      <c r="E215" s="485">
        <v>5</v>
      </c>
      <c r="F215" s="485">
        <v>1</v>
      </c>
      <c r="G215" s="485">
        <v>1</v>
      </c>
    </row>
    <row r="216" spans="1:7" x14ac:dyDescent="0.25">
      <c r="A216" s="485" t="s">
        <v>906</v>
      </c>
      <c r="B216" s="485">
        <v>0</v>
      </c>
      <c r="C216" s="486">
        <v>41768.656451622097</v>
      </c>
      <c r="D216" s="487">
        <v>0</v>
      </c>
      <c r="E216" s="485">
        <v>9</v>
      </c>
      <c r="F216" s="485">
        <v>9</v>
      </c>
      <c r="G216" s="485">
        <v>0</v>
      </c>
    </row>
    <row r="217" spans="1:7" x14ac:dyDescent="0.25">
      <c r="A217" s="485" t="s">
        <v>907</v>
      </c>
      <c r="B217" s="485">
        <v>0</v>
      </c>
      <c r="C217" s="486">
        <v>7495.9537497383999</v>
      </c>
      <c r="D217" s="487">
        <v>83.196215332896003</v>
      </c>
      <c r="E217" s="485">
        <v>3</v>
      </c>
      <c r="F217" s="485">
        <v>3</v>
      </c>
      <c r="G217" s="485">
        <v>1</v>
      </c>
    </row>
    <row r="218" spans="1:7" x14ac:dyDescent="0.25">
      <c r="A218" s="485" t="s">
        <v>908</v>
      </c>
      <c r="B218" s="485">
        <v>0</v>
      </c>
      <c r="C218" s="486">
        <v>59717.682230387203</v>
      </c>
      <c r="D218" s="487">
        <v>86.501708833343699</v>
      </c>
      <c r="E218" s="485">
        <v>6</v>
      </c>
      <c r="F218" s="485">
        <v>5</v>
      </c>
      <c r="G218" s="485">
        <v>0</v>
      </c>
    </row>
    <row r="219" spans="1:7" x14ac:dyDescent="0.25">
      <c r="A219" s="485" t="s">
        <v>909</v>
      </c>
      <c r="B219" s="485">
        <v>0</v>
      </c>
      <c r="C219" s="486">
        <v>43205.235535781103</v>
      </c>
      <c r="D219" s="487">
        <v>86.467944093445595</v>
      </c>
      <c r="E219" s="485">
        <v>6</v>
      </c>
      <c r="F219" s="485">
        <v>6</v>
      </c>
      <c r="G219" s="485">
        <v>0</v>
      </c>
    </row>
    <row r="220" spans="1:7" x14ac:dyDescent="0.25">
      <c r="A220" s="485" t="s">
        <v>910</v>
      </c>
      <c r="B220" s="485">
        <v>0</v>
      </c>
      <c r="C220" s="486">
        <v>60279.329631593901</v>
      </c>
      <c r="D220" s="487">
        <v>50.112774150565599</v>
      </c>
      <c r="E220" s="485">
        <v>4</v>
      </c>
      <c r="F220" s="485">
        <v>5</v>
      </c>
      <c r="G220" s="485">
        <v>0</v>
      </c>
    </row>
    <row r="221" spans="1:7" x14ac:dyDescent="0.25">
      <c r="A221" s="485" t="s">
        <v>911</v>
      </c>
      <c r="B221" s="485">
        <v>0</v>
      </c>
      <c r="C221" s="486">
        <v>18211.831564661999</v>
      </c>
      <c r="D221" s="487">
        <v>75.742059491424996</v>
      </c>
      <c r="E221" s="485">
        <v>8</v>
      </c>
      <c r="F221" s="485">
        <v>5</v>
      </c>
      <c r="G221" s="485">
        <v>0</v>
      </c>
    </row>
    <row r="222" spans="1:7" x14ac:dyDescent="0.25">
      <c r="A222" s="485" t="s">
        <v>912</v>
      </c>
      <c r="B222" s="485">
        <v>0</v>
      </c>
      <c r="C222" s="486">
        <v>39194.933361850097</v>
      </c>
      <c r="D222" s="487">
        <v>85.964759726773906</v>
      </c>
      <c r="E222" s="485">
        <v>5</v>
      </c>
      <c r="F222" s="485">
        <v>6</v>
      </c>
      <c r="G222" s="485">
        <v>0</v>
      </c>
    </row>
    <row r="223" spans="1:7" x14ac:dyDescent="0.25">
      <c r="A223" s="485" t="s">
        <v>913</v>
      </c>
      <c r="B223" s="485">
        <v>0</v>
      </c>
      <c r="C223" s="486">
        <v>6388.8342930972103</v>
      </c>
      <c r="D223" s="487">
        <v>40.162575209514301</v>
      </c>
      <c r="E223" s="485">
        <v>2</v>
      </c>
      <c r="F223" s="485">
        <v>6</v>
      </c>
      <c r="G223" s="485">
        <v>0</v>
      </c>
    </row>
    <row r="224" spans="1:7" x14ac:dyDescent="0.25">
      <c r="A224" s="485" t="s">
        <v>914</v>
      </c>
      <c r="B224" s="485">
        <v>0</v>
      </c>
      <c r="C224" s="486">
        <v>46528.1128253887</v>
      </c>
      <c r="D224" s="487">
        <v>86.012869605254195</v>
      </c>
      <c r="E224" s="485">
        <v>7</v>
      </c>
      <c r="F224" s="485">
        <v>6</v>
      </c>
      <c r="G224" s="485">
        <v>0</v>
      </c>
    </row>
    <row r="225" spans="1:7" x14ac:dyDescent="0.25">
      <c r="A225" s="485" t="s">
        <v>915</v>
      </c>
      <c r="B225" s="485">
        <v>0</v>
      </c>
      <c r="C225" s="486">
        <v>24876.536934694701</v>
      </c>
      <c r="D225" s="487">
        <v>35.688688353996298</v>
      </c>
      <c r="E225" s="485">
        <v>3</v>
      </c>
      <c r="F225" s="485">
        <v>6</v>
      </c>
      <c r="G225" s="485">
        <v>0</v>
      </c>
    </row>
    <row r="226" spans="1:7" x14ac:dyDescent="0.25">
      <c r="A226" s="485" t="s">
        <v>916</v>
      </c>
      <c r="B226" s="485">
        <v>0</v>
      </c>
      <c r="C226" s="486">
        <v>11045.0687610314</v>
      </c>
      <c r="D226" s="487">
        <v>16.470320165298102</v>
      </c>
      <c r="E226" s="485">
        <v>5</v>
      </c>
      <c r="F226" s="485">
        <v>7</v>
      </c>
      <c r="G226" s="485">
        <v>0</v>
      </c>
    </row>
    <row r="227" spans="1:7" x14ac:dyDescent="0.25">
      <c r="A227" s="485" t="s">
        <v>917</v>
      </c>
      <c r="B227" s="485">
        <v>0</v>
      </c>
      <c r="C227" s="486">
        <v>22293.300441576099</v>
      </c>
      <c r="D227" s="487">
        <v>163.263017244091</v>
      </c>
      <c r="E227" s="485">
        <v>5</v>
      </c>
      <c r="F227" s="485">
        <v>1</v>
      </c>
      <c r="G227" s="485">
        <v>1</v>
      </c>
    </row>
    <row r="228" spans="1:7" x14ac:dyDescent="0.25">
      <c r="A228" s="485" t="s">
        <v>918</v>
      </c>
      <c r="B228" s="485">
        <v>0</v>
      </c>
      <c r="C228" s="486">
        <v>9655.8406837670991</v>
      </c>
      <c r="D228" s="487">
        <v>27.045612982297602</v>
      </c>
      <c r="E228" s="485">
        <v>6</v>
      </c>
      <c r="F228" s="485">
        <v>5</v>
      </c>
      <c r="G228" s="485">
        <v>1</v>
      </c>
    </row>
    <row r="229" spans="1:7" x14ac:dyDescent="0.25">
      <c r="A229" s="485" t="s">
        <v>919</v>
      </c>
      <c r="B229" s="485">
        <v>0</v>
      </c>
      <c r="C229" s="486">
        <v>7780.1790710778896</v>
      </c>
      <c r="D229" s="487">
        <v>117.833880496906</v>
      </c>
      <c r="E229" s="485">
        <v>5</v>
      </c>
      <c r="F229" s="485">
        <v>3</v>
      </c>
      <c r="G229" s="485">
        <v>1</v>
      </c>
    </row>
    <row r="230" spans="1:7" x14ac:dyDescent="0.25">
      <c r="A230" s="485" t="s">
        <v>920</v>
      </c>
      <c r="B230" s="485">
        <v>0</v>
      </c>
      <c r="C230" s="486">
        <v>71172.307619916202</v>
      </c>
      <c r="D230" s="487">
        <v>11.562317949743999</v>
      </c>
      <c r="E230" s="485">
        <v>7</v>
      </c>
      <c r="F230" s="485">
        <v>8</v>
      </c>
      <c r="G230" s="485">
        <v>0</v>
      </c>
    </row>
    <row r="231" spans="1:7" x14ac:dyDescent="0.25">
      <c r="A231" s="485" t="s">
        <v>921</v>
      </c>
      <c r="B231" s="485">
        <v>0</v>
      </c>
      <c r="C231" s="486">
        <v>3236.9642929612701</v>
      </c>
      <c r="D231" s="487">
        <v>134.12894105779</v>
      </c>
      <c r="E231" s="485">
        <v>7</v>
      </c>
      <c r="F231" s="485">
        <v>2</v>
      </c>
      <c r="G231" s="485">
        <v>1</v>
      </c>
    </row>
    <row r="232" spans="1:7" x14ac:dyDescent="0.25">
      <c r="A232" s="485" t="s">
        <v>922</v>
      </c>
      <c r="B232" s="485">
        <v>0</v>
      </c>
      <c r="C232" s="486">
        <v>256243.45225707599</v>
      </c>
      <c r="D232" s="487">
        <v>3.6401875391069001</v>
      </c>
      <c r="E232" s="485">
        <v>7</v>
      </c>
      <c r="F232" s="485">
        <v>9</v>
      </c>
      <c r="G232" s="485">
        <v>0</v>
      </c>
    </row>
    <row r="233" spans="1:7" x14ac:dyDescent="0.25">
      <c r="A233" s="485" t="s">
        <v>923</v>
      </c>
      <c r="B233" s="485">
        <v>0</v>
      </c>
      <c r="C233" s="486">
        <v>76059.114535078901</v>
      </c>
      <c r="D233" s="487">
        <v>76.692465325732499</v>
      </c>
      <c r="E233" s="485">
        <v>2</v>
      </c>
      <c r="F233" s="485">
        <v>4</v>
      </c>
      <c r="G233" s="485">
        <v>1</v>
      </c>
    </row>
    <row r="234" spans="1:7" x14ac:dyDescent="0.25">
      <c r="A234" s="485" t="s">
        <v>924</v>
      </c>
      <c r="B234" s="485">
        <v>0</v>
      </c>
      <c r="C234" s="486">
        <v>147610.74957921999</v>
      </c>
      <c r="D234" s="487">
        <v>13.2562156765271</v>
      </c>
      <c r="E234" s="485">
        <v>7</v>
      </c>
      <c r="F234" s="485">
        <v>8</v>
      </c>
      <c r="G234" s="485">
        <v>0</v>
      </c>
    </row>
    <row r="235" spans="1:7" x14ac:dyDescent="0.25">
      <c r="A235" s="485" t="s">
        <v>925</v>
      </c>
      <c r="B235" s="485">
        <v>0</v>
      </c>
      <c r="C235" s="486">
        <v>19210.527299349898</v>
      </c>
      <c r="D235" s="487">
        <v>88.605892627110705</v>
      </c>
      <c r="E235" s="485">
        <v>3</v>
      </c>
      <c r="F235" s="485">
        <v>5</v>
      </c>
      <c r="G235" s="485">
        <v>1</v>
      </c>
    </row>
    <row r="236" spans="1:7" x14ac:dyDescent="0.25">
      <c r="A236" s="485" t="s">
        <v>926</v>
      </c>
      <c r="B236" s="485">
        <v>0</v>
      </c>
      <c r="C236" s="486">
        <v>13732.168616987999</v>
      </c>
      <c r="D236" s="487">
        <v>82.542668626736997</v>
      </c>
      <c r="E236" s="485">
        <v>2</v>
      </c>
      <c r="F236" s="485">
        <v>5</v>
      </c>
      <c r="G236" s="485">
        <v>0</v>
      </c>
    </row>
    <row r="237" spans="1:7" x14ac:dyDescent="0.25">
      <c r="A237" s="485" t="s">
        <v>927</v>
      </c>
      <c r="B237" s="485">
        <v>0</v>
      </c>
      <c r="C237" s="486">
        <v>76012.804829130095</v>
      </c>
      <c r="D237" s="487">
        <v>11.0212399434393</v>
      </c>
      <c r="E237" s="485">
        <v>4</v>
      </c>
      <c r="F237" s="485">
        <v>8</v>
      </c>
      <c r="G237" s="485">
        <v>0</v>
      </c>
    </row>
    <row r="238" spans="1:7" x14ac:dyDescent="0.25">
      <c r="A238" s="485" t="s">
        <v>928</v>
      </c>
      <c r="B238" s="485">
        <v>0</v>
      </c>
      <c r="C238" s="486">
        <v>169264.12882306901</v>
      </c>
      <c r="D238" s="487">
        <v>0</v>
      </c>
      <c r="E238" s="485">
        <v>8</v>
      </c>
      <c r="F238" s="485">
        <v>10</v>
      </c>
      <c r="G238" s="485">
        <v>0</v>
      </c>
    </row>
    <row r="239" spans="1:7" x14ac:dyDescent="0.25">
      <c r="A239" s="485" t="s">
        <v>929</v>
      </c>
      <c r="B239" s="485">
        <v>0</v>
      </c>
      <c r="C239" s="486">
        <v>47798.506244073003</v>
      </c>
      <c r="D239" s="487">
        <v>0</v>
      </c>
      <c r="E239" s="485">
        <v>9</v>
      </c>
      <c r="F239" s="485">
        <v>8</v>
      </c>
      <c r="G239" s="485">
        <v>0</v>
      </c>
    </row>
    <row r="240" spans="1:7" x14ac:dyDescent="0.25">
      <c r="A240" s="485" t="s">
        <v>930</v>
      </c>
      <c r="B240" s="485">
        <v>0</v>
      </c>
      <c r="C240" s="486">
        <v>8070.6136680002201</v>
      </c>
      <c r="D240" s="487">
        <v>78.0147471066295</v>
      </c>
      <c r="E240" s="485">
        <v>8</v>
      </c>
      <c r="F240" s="485">
        <v>4</v>
      </c>
      <c r="G240" s="485">
        <v>1</v>
      </c>
    </row>
    <row r="241" spans="1:7" x14ac:dyDescent="0.25">
      <c r="A241" s="485" t="s">
        <v>931</v>
      </c>
      <c r="B241" s="485">
        <v>1</v>
      </c>
      <c r="C241" s="486">
        <v>8044.0345631758601</v>
      </c>
      <c r="D241" s="487">
        <v>143.65486534488298</v>
      </c>
      <c r="E241" s="485">
        <v>6</v>
      </c>
      <c r="F241" s="485">
        <v>1</v>
      </c>
      <c r="G241" s="485">
        <v>1</v>
      </c>
    </row>
    <row r="242" spans="1:7" x14ac:dyDescent="0.25">
      <c r="A242" s="485" t="s">
        <v>932</v>
      </c>
      <c r="B242" s="485">
        <v>0</v>
      </c>
      <c r="C242" s="486">
        <v>77772.256334615595</v>
      </c>
      <c r="D242" s="487">
        <v>2.5788503001912999</v>
      </c>
      <c r="E242" s="485">
        <v>8</v>
      </c>
      <c r="F242" s="485">
        <v>8</v>
      </c>
      <c r="G242" s="485">
        <v>0</v>
      </c>
    </row>
    <row r="243" spans="1:7" x14ac:dyDescent="0.25">
      <c r="A243" s="485" t="s">
        <v>933</v>
      </c>
      <c r="B243" s="485">
        <v>0</v>
      </c>
      <c r="C243" s="486">
        <v>6258.4014510423003</v>
      </c>
      <c r="D243" s="487">
        <v>91.142060795217702</v>
      </c>
      <c r="E243" s="485">
        <v>3</v>
      </c>
      <c r="F243" s="485">
        <v>3</v>
      </c>
      <c r="G243" s="485">
        <v>1</v>
      </c>
    </row>
    <row r="244" spans="1:7" x14ac:dyDescent="0.25">
      <c r="A244" s="485" t="s">
        <v>934</v>
      </c>
      <c r="B244" s="485">
        <v>0</v>
      </c>
      <c r="C244" s="486">
        <v>11819.0418456596</v>
      </c>
      <c r="D244" s="487">
        <v>100.401741360893</v>
      </c>
      <c r="E244" s="485">
        <v>1</v>
      </c>
      <c r="F244" s="485">
        <v>3</v>
      </c>
      <c r="G244" s="485">
        <v>1</v>
      </c>
    </row>
    <row r="245" spans="1:7" x14ac:dyDescent="0.25">
      <c r="A245" s="485" t="s">
        <v>935</v>
      </c>
      <c r="B245" s="485">
        <v>1</v>
      </c>
      <c r="C245" s="486">
        <v>11059.861688987599</v>
      </c>
      <c r="D245" s="487">
        <v>73.390290835373918</v>
      </c>
      <c r="E245" s="485">
        <v>6</v>
      </c>
      <c r="F245" s="485">
        <v>3</v>
      </c>
      <c r="G245" s="485">
        <v>1</v>
      </c>
    </row>
    <row r="246" spans="1:7" x14ac:dyDescent="0.25">
      <c r="A246" s="485" t="s">
        <v>936</v>
      </c>
      <c r="B246" s="485">
        <v>0</v>
      </c>
      <c r="C246" s="486">
        <v>30421.8307379822</v>
      </c>
      <c r="D246" s="487">
        <v>60.972943261399401</v>
      </c>
      <c r="E246" s="485">
        <v>5</v>
      </c>
      <c r="F246" s="485">
        <v>4</v>
      </c>
      <c r="G246" s="485">
        <v>1</v>
      </c>
    </row>
    <row r="247" spans="1:7" x14ac:dyDescent="0.25">
      <c r="A247" s="485" t="s">
        <v>937</v>
      </c>
      <c r="B247" s="485">
        <v>0</v>
      </c>
      <c r="C247" s="486">
        <v>21439.647316638198</v>
      </c>
      <c r="D247" s="487">
        <v>12.790734242969</v>
      </c>
      <c r="E247" s="485">
        <v>9</v>
      </c>
      <c r="F247" s="485">
        <v>7</v>
      </c>
      <c r="G247" s="485">
        <v>0</v>
      </c>
    </row>
    <row r="248" spans="1:7" x14ac:dyDescent="0.25">
      <c r="A248" s="485" t="s">
        <v>938</v>
      </c>
      <c r="B248" s="485">
        <v>1</v>
      </c>
      <c r="C248" s="486">
        <v>49953.851673001896</v>
      </c>
      <c r="D248" s="487">
        <v>40.243847282193464</v>
      </c>
      <c r="E248" s="485">
        <v>6</v>
      </c>
      <c r="F248" s="485">
        <v>5</v>
      </c>
      <c r="G248" s="485">
        <v>1</v>
      </c>
    </row>
    <row r="249" spans="1:7" x14ac:dyDescent="0.25">
      <c r="A249" s="485" t="s">
        <v>939</v>
      </c>
      <c r="B249" s="485">
        <v>0</v>
      </c>
      <c r="C249" s="486">
        <v>6979.8321069571002</v>
      </c>
      <c r="D249" s="487">
        <v>116.943670586716</v>
      </c>
      <c r="E249" s="485">
        <v>6</v>
      </c>
      <c r="F249" s="485">
        <v>3</v>
      </c>
      <c r="G249" s="485">
        <v>1</v>
      </c>
    </row>
    <row r="250" spans="1:7" x14ac:dyDescent="0.25">
      <c r="A250" s="485" t="s">
        <v>940</v>
      </c>
      <c r="B250" s="485">
        <v>0</v>
      </c>
      <c r="C250" s="486">
        <v>7373.2159193361304</v>
      </c>
      <c r="D250" s="487">
        <v>101.75115014471599</v>
      </c>
      <c r="E250" s="485">
        <v>3</v>
      </c>
      <c r="F250" s="485">
        <v>3</v>
      </c>
      <c r="G250" s="485">
        <v>1</v>
      </c>
    </row>
    <row r="251" spans="1:7" x14ac:dyDescent="0.25">
      <c r="A251" s="485" t="s">
        <v>941</v>
      </c>
      <c r="B251" s="485">
        <v>1</v>
      </c>
      <c r="C251" s="486">
        <v>9040.0757389783703</v>
      </c>
      <c r="D251" s="487">
        <v>62.883894579306663</v>
      </c>
      <c r="E251" s="485">
        <v>7</v>
      </c>
      <c r="F251" s="485">
        <v>4</v>
      </c>
      <c r="G251" s="485">
        <v>1</v>
      </c>
    </row>
    <row r="252" spans="1:7" x14ac:dyDescent="0.25">
      <c r="A252" s="489" t="s">
        <v>942</v>
      </c>
      <c r="B252" s="485">
        <v>0</v>
      </c>
      <c r="C252" s="490">
        <v>8517</v>
      </c>
      <c r="D252" s="490"/>
      <c r="E252" s="489">
        <v>7</v>
      </c>
      <c r="F252" s="489">
        <v>6</v>
      </c>
      <c r="G252" s="489">
        <v>0</v>
      </c>
    </row>
    <row r="253" spans="1:7" x14ac:dyDescent="0.25">
      <c r="A253" s="485" t="s">
        <v>943</v>
      </c>
      <c r="B253" s="485">
        <v>1</v>
      </c>
      <c r="C253" s="486">
        <v>12849.1224971874</v>
      </c>
      <c r="D253" s="487">
        <v>39.701287712432197</v>
      </c>
      <c r="E253" s="485">
        <v>5</v>
      </c>
      <c r="F253" s="485">
        <v>5</v>
      </c>
      <c r="G253" s="485">
        <v>0</v>
      </c>
    </row>
    <row r="254" spans="1:7" x14ac:dyDescent="0.25">
      <c r="A254" s="485" t="s">
        <v>944</v>
      </c>
      <c r="B254" s="485">
        <v>0</v>
      </c>
      <c r="C254" s="486">
        <v>42846.520442636298</v>
      </c>
      <c r="D254" s="487">
        <v>88.981870763665995</v>
      </c>
      <c r="E254" s="485">
        <v>3</v>
      </c>
      <c r="F254" s="485">
        <v>5</v>
      </c>
      <c r="G254" s="485">
        <v>1</v>
      </c>
    </row>
    <row r="255" spans="1:7" x14ac:dyDescent="0.25">
      <c r="A255" s="485" t="s">
        <v>945</v>
      </c>
      <c r="B255" s="485">
        <v>0</v>
      </c>
      <c r="C255" s="486">
        <v>466861.55818624701</v>
      </c>
      <c r="D255" s="487">
        <v>0</v>
      </c>
      <c r="E255" s="485">
        <v>8</v>
      </c>
      <c r="F255" s="485">
        <v>10</v>
      </c>
      <c r="G255" s="485">
        <v>0</v>
      </c>
    </row>
    <row r="256" spans="1:7" x14ac:dyDescent="0.25">
      <c r="A256" s="485" t="s">
        <v>946</v>
      </c>
      <c r="B256" s="485">
        <v>0</v>
      </c>
      <c r="C256" s="486">
        <v>14174.671140247599</v>
      </c>
      <c r="D256" s="487">
        <v>15.7640539819834</v>
      </c>
      <c r="E256" s="485">
        <v>9</v>
      </c>
      <c r="F256" s="485">
        <v>6</v>
      </c>
      <c r="G256" s="485">
        <v>0</v>
      </c>
    </row>
    <row r="257" spans="1:7" x14ac:dyDescent="0.25">
      <c r="A257" s="485" t="s">
        <v>947</v>
      </c>
      <c r="B257" s="485">
        <v>0</v>
      </c>
      <c r="C257" s="486">
        <v>22121.689229099899</v>
      </c>
      <c r="D257" s="487">
        <v>95.560066559369005</v>
      </c>
      <c r="E257" s="485">
        <v>1</v>
      </c>
      <c r="F257" s="485">
        <v>3</v>
      </c>
      <c r="G257" s="485">
        <v>1</v>
      </c>
    </row>
    <row r="258" spans="1:7" x14ac:dyDescent="0.25">
      <c r="A258" s="485" t="s">
        <v>948</v>
      </c>
      <c r="B258" s="485">
        <v>1</v>
      </c>
      <c r="C258" s="486">
        <v>1572.0232069830799</v>
      </c>
      <c r="D258" s="487">
        <v>145.7999978287248</v>
      </c>
      <c r="E258" s="485">
        <v>7</v>
      </c>
      <c r="F258" s="485">
        <v>1</v>
      </c>
      <c r="G258" s="485">
        <v>1</v>
      </c>
    </row>
  </sheetData>
  <sheetProtection algorithmName="SHA-512" hashValue="XsJmFVJG/KQCHXv6oXZ8I0XiVEmOeCx2M8lBKrzD3avj55kySQXZaWTqoxh+I7oZBWhqh1SlzGm0d9VAGEvyPQ==" saltValue="glLVl6ILBySKrbbSRL1gdA==" spinCount="100000" sheet="1" objects="1" scenarios="1" autoFilter="0"/>
  <autoFilter ref="A1:G258" xr:uid="{DFBAC08E-4287-44AA-8204-F23500D6DC3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9" ma:contentTypeDescription="צור מסמך חדש." ma:contentTypeScope="" ma:versionID="f402d34e33678f0b17588165739c30fd">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811bb93686e8399e601cd8a279b11b15"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CB2E0D0-F915-4F3D-859F-5CE399A65471}">
  <ds:schemaRefs>
    <ds:schemaRef ds:uri="http://schemas.microsoft.com/sharepoint/v3/contenttype/forms"/>
  </ds:schemaRefs>
</ds:datastoreItem>
</file>

<file path=customXml/itemProps2.xml><?xml version="1.0" encoding="utf-8"?>
<ds:datastoreItem xmlns:ds="http://schemas.openxmlformats.org/officeDocument/2006/customXml" ds:itemID="{7D0348A5-8C97-4277-AC97-28D556A37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CFF769-0438-4467-A081-844F8C687788}">
  <ds:schemaRefs>
    <ds:schemaRef ds:uri="http://schemas.microsoft.com/office/2006/documentManagement/types"/>
    <ds:schemaRef ds:uri="http://purl.org/dc/elements/1.1/"/>
    <ds:schemaRef ds:uri="http://schemas.microsoft.com/office/2006/metadata/properties"/>
    <ds:schemaRef ds:uri="ca106635-b9a8-4f0b-bbd7-d236a8880032"/>
    <ds:schemaRef ds:uri="http://purl.org/dc/terms/"/>
    <ds:schemaRef ds:uri="http://schemas.openxmlformats.org/package/2006/metadata/core-properties"/>
    <ds:schemaRef ds:uri="http://purl.org/dc/dcmitype/"/>
    <ds:schemaRef ds:uri="http://schemas.microsoft.com/office/infopath/2007/PartnerControls"/>
    <ds:schemaRef ds:uri="2254ba46-2b42-46e2-b1fb-c0e93dfa82a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29</vt:i4>
      </vt:variant>
      <vt:variant>
        <vt:lpstr>טווחים בעלי שם</vt:lpstr>
      </vt:variant>
      <vt:variant>
        <vt:i4>46</vt:i4>
      </vt:variant>
    </vt:vector>
  </HeadingPairs>
  <TitlesOfParts>
    <vt:vector size="75" baseType="lpstr">
      <vt:lpstr>הדרכה למשתמש</vt:lpstr>
      <vt:lpstr>פרמטרים לקריטריונים</vt:lpstr>
      <vt:lpstr>הוראת שעה</vt:lpstr>
      <vt:lpstr>תנאי סף</vt:lpstr>
      <vt:lpstr>סיווג</vt:lpstr>
      <vt:lpstr>מספר הרצות</vt:lpstr>
      <vt:lpstr>מספר מבצעים בתשלום</vt:lpstr>
      <vt:lpstr>מיקום ההרצות</vt:lpstr>
      <vt:lpstr>רמה מקצועית ואמנותית</vt:lpstr>
      <vt:lpstr>מיקום גיאוגרפי</vt:lpstr>
      <vt:lpstr>תקציב</vt:lpstr>
      <vt:lpstr>תיעוד</vt:lpstr>
      <vt:lpstr>עידוד יצירה ישראלית</vt:lpstr>
      <vt:lpstr>התחשיב הבסיסי</vt:lpstr>
      <vt:lpstr>פרמטרים לעקרונות חישוב התמיכה</vt:lpstr>
      <vt:lpstr>ייצוב</vt:lpstr>
      <vt:lpstr>גיליון2</vt:lpstr>
      <vt:lpstr>הגנה</vt:lpstr>
      <vt:lpstr>הרכב חברי הוועדה</vt:lpstr>
      <vt:lpstr>תמיכה מינימלית</vt:lpstr>
      <vt:lpstr>סיכום</vt:lpstr>
      <vt:lpstr>הגבלה לסכום מבוקש (1)</vt:lpstr>
      <vt:lpstr>קיזוזים בגין איחורים</vt:lpstr>
      <vt:lpstr>קיזוזים- החלטות ועדה</vt:lpstr>
      <vt:lpstr>הגבלה לסכום מבוקש (2)</vt:lpstr>
      <vt:lpstr>סיכום לועדה- הזנת נתונים</vt:lpstr>
      <vt:lpstr>סיכום לועדה - תוצאות</vt:lpstr>
      <vt:lpstr>מרכבה</vt:lpstr>
      <vt:lpstr>הלמס</vt:lpstr>
      <vt:lpstr>'הגבלה לסכום מבוקש (1)'!WPrint_Area_W</vt:lpstr>
      <vt:lpstr>'הגבלה לסכום מבוקש (2)'!WPrint_Area_W</vt:lpstr>
      <vt:lpstr>הגנה!WPrint_Area_W</vt:lpstr>
      <vt:lpstr>'הדרכה למשתמש'!WPrint_Area_W</vt:lpstr>
      <vt:lpstr>'הרכב חברי הוועדה'!WPrint_Area_W</vt:lpstr>
      <vt:lpstr>'התחשיב הבסיסי'!WPrint_Area_W</vt:lpstr>
      <vt:lpstr>ייצוב!WPrint_Area_W</vt:lpstr>
      <vt:lpstr>'מיקום גיאוגרפי'!WPrint_Area_W</vt:lpstr>
      <vt:lpstr>'מיקום ההרצות'!WPrint_Area_W</vt:lpstr>
      <vt:lpstr>'מספר הרצות'!WPrint_Area_W</vt:lpstr>
      <vt:lpstr>'מספר מבצעים בתשלום'!WPrint_Area_W</vt:lpstr>
      <vt:lpstr>סיווג!WPrint_Area_W</vt:lpstr>
      <vt:lpstr>סיכום!WPrint_Area_W</vt:lpstr>
      <vt:lpstr>'סיכום לועדה- הזנת נתונים'!WPrint_Area_W</vt:lpstr>
      <vt:lpstr>'סיכום לועדה - תוצאות'!WPrint_Area_W</vt:lpstr>
      <vt:lpstr>'עידוד יצירה ישראלית'!WPrint_Area_W</vt:lpstr>
      <vt:lpstr>'פרמטרים לעקרונות חישוב התמיכה'!WPrint_Area_W</vt:lpstr>
      <vt:lpstr>'פרמטרים לקריטריונים'!WPrint_Area_W</vt:lpstr>
      <vt:lpstr>'קיזוזים- החלטות ועדה'!WPrint_Area_W</vt:lpstr>
      <vt:lpstr>'קיזוזים בגין איחורים'!WPrint_Area_W</vt:lpstr>
      <vt:lpstr>'רמה מקצועית ואמנותית'!WPrint_Area_W</vt:lpstr>
      <vt:lpstr>תיעוד!WPrint_Area_W</vt:lpstr>
      <vt:lpstr>'תמיכה מינימלית'!WPrint_Area_W</vt:lpstr>
      <vt:lpstr>'תנאי סף'!WPrint_Area_W</vt:lpstr>
      <vt:lpstr>תקציב!WPrint_Area_W</vt:lpstr>
      <vt:lpstr>'הגבלה לסכום מבוקש (1)'!WPrint_TitlesW</vt:lpstr>
      <vt:lpstr>'הגבלה לסכום מבוקש (2)'!WPrint_TitlesW</vt:lpstr>
      <vt:lpstr>הגנה!WPrint_TitlesW</vt:lpstr>
      <vt:lpstr>'הרכב חברי הוועדה'!WPrint_TitlesW</vt:lpstr>
      <vt:lpstr>ייצוב!WPrint_TitlesW</vt:lpstr>
      <vt:lpstr>'מיקום גיאוגרפי'!WPrint_TitlesW</vt:lpstr>
      <vt:lpstr>'מיקום ההרצות'!WPrint_TitlesW</vt:lpstr>
      <vt:lpstr>'מספר הרצות'!WPrint_TitlesW</vt:lpstr>
      <vt:lpstr>'מספר מבצעים בתשלום'!WPrint_TitlesW</vt:lpstr>
      <vt:lpstr>סיווג!WPrint_TitlesW</vt:lpstr>
      <vt:lpstr>סיכום!WPrint_TitlesW</vt:lpstr>
      <vt:lpstr>'סיכום לועדה- הזנת נתונים'!WPrint_TitlesW</vt:lpstr>
      <vt:lpstr>'סיכום לועדה - תוצאות'!WPrint_TitlesW</vt:lpstr>
      <vt:lpstr>'עידוד יצירה ישראלית'!WPrint_TitlesW</vt:lpstr>
      <vt:lpstr>'קיזוזים- החלטות ועדה'!WPrint_TitlesW</vt:lpstr>
      <vt:lpstr>'קיזוזים בגין איחורים'!WPrint_TitlesW</vt:lpstr>
      <vt:lpstr>'רמה מקצועית ואמנותית'!WPrint_TitlesW</vt:lpstr>
      <vt:lpstr>תיעוד!WPrint_TitlesW</vt:lpstr>
      <vt:lpstr>'תמיכה מינימלית'!WPrint_TitlesW</vt:lpstr>
      <vt:lpstr>'תנאי סף'!WPrint_TitlesW</vt:lpstr>
      <vt:lpstr>תקציב!WPrint_TitlesW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א. חפץ ושות'</dc:creator>
  <cp:keywords/>
  <dc:description/>
  <cp:lastModifiedBy>Shai Zabari</cp:lastModifiedBy>
  <cp:revision/>
  <dcterms:created xsi:type="dcterms:W3CDTF">2013-07-14T08:24:14Z</dcterms:created>
  <dcterms:modified xsi:type="dcterms:W3CDTF">2025-11-18T11:51:01Z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rmulaDeskUniqueName">
    <vt:lpwstr>5e5f158a-168f-40f1-8b1e-3afd1cd42d2d</vt:lpwstr>
  </property>
  <property fmtid="{D5CDD505-2E9C-101B-9397-08002B2CF9AE}" pid="3" name="ContentTypeId">
    <vt:lpwstr>0x0101008AA96A946BC9DE42A81967A6D8625098</vt:lpwstr>
  </property>
  <property fmtid="{D5CDD505-2E9C-101B-9397-08002B2CF9AE}" pid="4" name="MediaServiceImageTags">
    <vt:lpwstr/>
  </property>
</Properties>
</file>